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080" tabRatio="851" activeTab="0"/>
  </bookViews>
  <sheets>
    <sheet name="1ページ（状況）" sheetId="1" r:id="rId1"/>
    <sheet name="2ページ（年次推移）" sheetId="2" r:id="rId2"/>
    <sheet name="3ページ（４５年との比較）" sheetId="3" r:id="rId3"/>
    <sheet name="4ページ（人口推移）" sheetId="4" r:id="rId4"/>
    <sheet name="5ページ(月別）" sheetId="5" r:id="rId5"/>
    <sheet name="★６ページ（行政区別）" sheetId="6" r:id="rId6"/>
    <sheet name="★７ページの最初の項目用" sheetId="7" r:id="rId7"/>
    <sheet name="★８ページ（幹線道路名）" sheetId="8" r:id="rId8"/>
    <sheet name="★９ページ（幹線道路別図）" sheetId="9" r:id="rId9"/>
    <sheet name="★10ページ（道路種別月率）" sheetId="10" r:id="rId10"/>
    <sheet name="★11ページ（時間別）" sheetId="11" r:id="rId11"/>
    <sheet name="★12ページ（時間道路別）" sheetId="12" r:id="rId12"/>
  </sheets>
  <definedNames>
    <definedName name="_xlnm.Print_Area" localSheetId="9">'★10ページ（道路種別月率）'!$A$1:$J$37</definedName>
    <definedName name="_xlnm.Print_Area" localSheetId="10">'★11ページ（時間別）'!$A$1:$L$46</definedName>
    <definedName name="_xlnm.Print_Area" localSheetId="11">'★12ページ（時間道路別）'!$A$1:$K$49</definedName>
    <definedName name="_xlnm.Print_Area" localSheetId="5">'★６ページ（行政区別）'!$A$1:$N$45</definedName>
    <definedName name="_xlnm.Print_Area" localSheetId="7">'★８ページ（幹線道路名）'!$A$1:$L$45</definedName>
    <definedName name="_xlnm.Print_Area" localSheetId="1">'2ページ（年次推移）'!$A$1:$K$55</definedName>
    <definedName name="_xlnm.Print_Area" localSheetId="3">'4ページ（人口推移）'!$A$1:$M$53</definedName>
    <definedName name="_xlnm.Print_Area" localSheetId="4">'5ページ(月別）'!$A$1:$P$30</definedName>
  </definedNames>
  <calcPr fullCalcOnLoad="1"/>
</workbook>
</file>

<file path=xl/sharedStrings.xml><?xml version="1.0" encoding="utf-8"?>
<sst xmlns="http://schemas.openxmlformats.org/spreadsheetml/2006/main" count="470" uniqueCount="286">
  <si>
    <t>福島桜島線</t>
  </si>
  <si>
    <t>津守阿倍野杭全線</t>
  </si>
  <si>
    <t>府</t>
  </si>
  <si>
    <t>夜</t>
  </si>
  <si>
    <t>(注１)高速道路等を除く。</t>
  </si>
  <si>
    <t>負　　傷　　者　　数</t>
  </si>
  <si>
    <t>大阪八尾線</t>
  </si>
  <si>
    <t>負傷者数</t>
  </si>
  <si>
    <t>　　１　号</t>
  </si>
  <si>
    <t>大阪羽曳野線</t>
  </si>
  <si>
    <t>大阪高槻京都線</t>
  </si>
  <si>
    <t>負傷者数（人）</t>
  </si>
  <si>
    <t>松島安治川線</t>
  </si>
  <si>
    <t>増減率　　％</t>
  </si>
  <si>
    <t>天王寺</t>
  </si>
  <si>
    <t>住之江</t>
  </si>
  <si>
    <t>人対車両</t>
  </si>
  <si>
    <t>大和川北岸線</t>
  </si>
  <si>
    <t>浪速</t>
  </si>
  <si>
    <t>死者数</t>
  </si>
  <si>
    <t>豊崎鷺洲線</t>
  </si>
  <si>
    <t>淀川北岸線</t>
  </si>
  <si>
    <t>死者数</t>
  </si>
  <si>
    <t>東淀川</t>
  </si>
  <si>
    <t>死者数</t>
  </si>
  <si>
    <t>１６３　号</t>
  </si>
  <si>
    <t>区分</t>
  </si>
  <si>
    <t>車両単独</t>
  </si>
  <si>
    <t>増▲減</t>
  </si>
  <si>
    <t>国
道</t>
  </si>
  <si>
    <t>一般府道</t>
  </si>
  <si>
    <t>一
般
府
道</t>
  </si>
  <si>
    <t>阪</t>
  </si>
  <si>
    <t>(人）</t>
  </si>
  <si>
    <t>件　　数</t>
  </si>
  <si>
    <t>全</t>
  </si>
  <si>
    <t>大阪高石線</t>
  </si>
  <si>
    <t>負傷者数</t>
  </si>
  <si>
    <t>傷者</t>
  </si>
  <si>
    <t>住吉</t>
  </si>
  <si>
    <t>時間</t>
  </si>
  <si>
    <t>道路種別、月別発生件数、死者数、傷者数</t>
  </si>
  <si>
    <t>大阪市域内</t>
  </si>
  <si>
    <t>交通事故発生状況</t>
  </si>
  <si>
    <t>前年比較</t>
  </si>
  <si>
    <t>（1970年）</t>
  </si>
  <si>
    <t>市域内計</t>
  </si>
  <si>
    <t>昭和４５年との比較</t>
  </si>
  <si>
    <t>一般国道</t>
  </si>
  <si>
    <t>大阪市道</t>
  </si>
  <si>
    <t>前年比</t>
  </si>
  <si>
    <t>幹線道路計</t>
  </si>
  <si>
    <t>.</t>
  </si>
  <si>
    <t>路線別発生状況</t>
  </si>
  <si>
    <t>５次</t>
  </si>
  <si>
    <t>安全</t>
  </si>
  <si>
    <t>昭和45年との対比</t>
  </si>
  <si>
    <t>四天王寺巽線</t>
  </si>
  <si>
    <t>人　　口</t>
  </si>
  <si>
    <t>７次</t>
  </si>
  <si>
    <t>路　　線　　別</t>
  </si>
  <si>
    <t>堂島十三線</t>
  </si>
  <si>
    <t>合計</t>
  </si>
  <si>
    <t>桜川恵美須線</t>
  </si>
  <si>
    <t>道路別</t>
  </si>
  <si>
    <t>西成</t>
  </si>
  <si>
    <t>道路種別交通事故発生率推移</t>
  </si>
  <si>
    <t>昭和46</t>
  </si>
  <si>
    <t>東成</t>
  </si>
  <si>
    <t>３次</t>
  </si>
  <si>
    <t>市</t>
  </si>
  <si>
    <t>　２５　号</t>
  </si>
  <si>
    <t>負
傷
者
数</t>
  </si>
  <si>
    <t>件数</t>
  </si>
  <si>
    <t>総数</t>
  </si>
  <si>
    <t>域</t>
  </si>
  <si>
    <t>外</t>
  </si>
  <si>
    <t>負　傷　者　数</t>
  </si>
  <si>
    <t>世代別</t>
  </si>
  <si>
    <t>東住吉</t>
  </si>
  <si>
    <t>総数</t>
  </si>
  <si>
    <t>　　　　　件　数</t>
  </si>
  <si>
    <t>大阪府全域</t>
  </si>
  <si>
    <t>中之島桜川線</t>
  </si>
  <si>
    <t>住吉八尾線</t>
  </si>
  <si>
    <t>大正</t>
  </si>
  <si>
    <t>類型別</t>
  </si>
  <si>
    <t>尼崎平野線</t>
  </si>
  <si>
    <t>石切大阪線</t>
  </si>
  <si>
    <t>月別交通事故発生状況</t>
  </si>
  <si>
    <t>鶴見</t>
  </si>
  <si>
    <t>浜口南港線</t>
  </si>
  <si>
    <t>港</t>
  </si>
  <si>
    <t>総   数</t>
  </si>
  <si>
    <t>十三吹田線</t>
  </si>
  <si>
    <t>夜間計</t>
  </si>
  <si>
    <t>自動車保有台数</t>
  </si>
  <si>
    <t>人口･自動車保有台数・道路延長と交通事故死傷者の推移</t>
  </si>
  <si>
    <t>(ｋｍ)</t>
  </si>
  <si>
    <t>大阪生駒線</t>
  </si>
  <si>
    <t>大
阪
市
域
内</t>
  </si>
  <si>
    <t>難波境川線</t>
  </si>
  <si>
    <t>死者数</t>
  </si>
  <si>
    <t>大</t>
  </si>
  <si>
    <t>１００ｋｍ当り</t>
  </si>
  <si>
    <t>浪速鶴町線</t>
  </si>
  <si>
    <t>元</t>
  </si>
  <si>
    <t>内</t>
  </si>
  <si>
    <t>２次</t>
  </si>
  <si>
    <t>各年３月３１日現在</t>
  </si>
  <si>
    <t>０時とは０時から午前１時までの間をいう。以下同じ。</t>
  </si>
  <si>
    <t>(人)</t>
  </si>
  <si>
    <t>(件)</t>
  </si>
  <si>
    <t>４２３　号</t>
  </si>
  <si>
    <t>江戸堀北通線</t>
  </si>
  <si>
    <t>死　　者　　数</t>
  </si>
  <si>
    <t>列車</t>
  </si>
  <si>
    <t>旭</t>
  </si>
  <si>
    <t>幹線道路の事故率（％）</t>
  </si>
  <si>
    <t>人口</t>
  </si>
  <si>
    <t>件
数</t>
  </si>
  <si>
    <t>負傷者数</t>
  </si>
  <si>
    <t>件
数</t>
  </si>
  <si>
    <t>東淀川</t>
  </si>
  <si>
    <t>都島阿倍野線</t>
  </si>
  <si>
    <t>９次</t>
  </si>
  <si>
    <t>夜　　間</t>
  </si>
  <si>
    <t>―</t>
  </si>
  <si>
    <t>松島南恩加島町線</t>
  </si>
  <si>
    <t>１７６　号</t>
  </si>
  <si>
    <t>死
者
数</t>
  </si>
  <si>
    <t>　４３　号</t>
  </si>
  <si>
    <t>(注)大阪市域内は高速道路等を除く。</t>
  </si>
  <si>
    <t>大阪高槻線</t>
  </si>
  <si>
    <t>大
阪
市
道</t>
  </si>
  <si>
    <t>行政区別発生状況</t>
  </si>
  <si>
    <t>原付乗車中</t>
  </si>
  <si>
    <t>自動車乗車中</t>
  </si>
  <si>
    <t>昼・夜間別発生状況対前年比</t>
  </si>
  <si>
    <t>３０８　号</t>
  </si>
  <si>
    <t>天満橋筋線</t>
  </si>
  <si>
    <t>赤川天王寺線</t>
  </si>
  <si>
    <t>死　者　数</t>
  </si>
  <si>
    <t>此花</t>
  </si>
  <si>
    <t>旧大阪中央環状線</t>
  </si>
  <si>
    <t>正蓮寺川北岸線</t>
  </si>
  <si>
    <t>その他</t>
  </si>
  <si>
    <t>件　　数</t>
  </si>
  <si>
    <t>元</t>
  </si>
  <si>
    <t>間</t>
  </si>
  <si>
    <t>区別</t>
  </si>
  <si>
    <t>（２）行政区別</t>
  </si>
  <si>
    <t>中野住道矢田線</t>
  </si>
  <si>
    <t>昼間計</t>
  </si>
  <si>
    <t>大阪和泉泉南線</t>
  </si>
  <si>
    <t>　(注)大阪市域内は、高速道路等を除く。</t>
  </si>
  <si>
    <t>船町通線</t>
  </si>
  <si>
    <t>月別</t>
  </si>
  <si>
    <t>大阪中央環状線</t>
  </si>
  <si>
    <t>熊野大阪線</t>
  </si>
  <si>
    <t>大阪東大阪線</t>
  </si>
  <si>
    <t>子ども</t>
  </si>
  <si>
    <t>１０万人当り</t>
  </si>
  <si>
    <t>福島</t>
  </si>
  <si>
    <t>道路延長</t>
  </si>
  <si>
    <t>西</t>
  </si>
  <si>
    <t>　　区　分</t>
  </si>
  <si>
    <t>(人)</t>
  </si>
  <si>
    <t>阿倍野</t>
  </si>
  <si>
    <t>内高齢者</t>
  </si>
  <si>
    <t>主要地方道</t>
  </si>
  <si>
    <t>大阪環状線</t>
  </si>
  <si>
    <t>片町徳庵線</t>
  </si>
  <si>
    <t>扇町線</t>
  </si>
  <si>
    <t>昼　　間</t>
  </si>
  <si>
    <t>安治川南岸線</t>
  </si>
  <si>
    <t>８次</t>
  </si>
  <si>
    <t>本町左専道線</t>
  </si>
  <si>
    <t>南北線</t>
  </si>
  <si>
    <t>大阪狭山線</t>
  </si>
  <si>
    <t>（件数：件／死者数・負傷者数：人）</t>
  </si>
  <si>
    <t>都島茨田線</t>
  </si>
  <si>
    <t>年次別交通事故推移</t>
  </si>
  <si>
    <t>計画</t>
  </si>
  <si>
    <t>増　▲　減</t>
  </si>
  <si>
    <t>上新庄生野線</t>
  </si>
  <si>
    <t>（１）月別</t>
  </si>
  <si>
    <t>淀川</t>
  </si>
  <si>
    <t>大阪臨海線</t>
  </si>
  <si>
    <t>(注)</t>
  </si>
  <si>
    <t>平野</t>
  </si>
  <si>
    <t>幹線道路</t>
  </si>
  <si>
    <t>死者</t>
  </si>
  <si>
    <t>うちシートベルト非着用</t>
  </si>
  <si>
    <t>死者数（人）</t>
  </si>
  <si>
    <t>福町浜町線</t>
  </si>
  <si>
    <t>大阪池田線</t>
  </si>
  <si>
    <t>総数</t>
  </si>
  <si>
    <t>月別　 道路別</t>
  </si>
  <si>
    <t>１７２　号</t>
  </si>
  <si>
    <t>全　　　国</t>
  </si>
  <si>
    <t>６次</t>
  </si>
  <si>
    <t>大阪市域内</t>
  </si>
  <si>
    <t>築港深江線</t>
  </si>
  <si>
    <t>自転車乗車中</t>
  </si>
  <si>
    <t>１次</t>
  </si>
  <si>
    <t>自動二輪車乗車中</t>
  </si>
  <si>
    <t>天王寺方面東西33号線</t>
  </si>
  <si>
    <t>交通事故死者（大阪市域内）</t>
  </si>
  <si>
    <t>内子ども</t>
  </si>
  <si>
    <t>中央</t>
  </si>
  <si>
    <t>幹
線
道
路</t>
  </si>
  <si>
    <t>大
阪
府
全
域</t>
  </si>
  <si>
    <t>昭和45年</t>
  </si>
  <si>
    <t>増減率％</t>
  </si>
  <si>
    <t>木津川平野線</t>
  </si>
  <si>
    <t>各年４月１日現在</t>
  </si>
  <si>
    <t>４７９　号</t>
  </si>
  <si>
    <t>計</t>
  </si>
  <si>
    <t>城東</t>
  </si>
  <si>
    <t>負傷者数</t>
  </si>
  <si>
    <t>中津太子橋線</t>
  </si>
  <si>
    <t>新庄長柄線</t>
  </si>
  <si>
    <t>（２）交通情勢の推移</t>
  </si>
  <si>
    <t>１万台当り</t>
  </si>
  <si>
    <t>大阪港八尾線</t>
  </si>
  <si>
    <t>合計</t>
  </si>
  <si>
    <t>指数</t>
  </si>
  <si>
    <t>片町野江森小路線</t>
  </si>
  <si>
    <t>生野</t>
  </si>
  <si>
    <t>難波足代線</t>
  </si>
  <si>
    <t>天神橋天王寺線</t>
  </si>
  <si>
    <t>西淀川</t>
  </si>
  <si>
    <t>交通</t>
  </si>
  <si>
    <t>件数（件）</t>
  </si>
  <si>
    <t>西野田中津線</t>
  </si>
  <si>
    <t>状態別</t>
  </si>
  <si>
    <t>(人)</t>
  </si>
  <si>
    <t>年別</t>
  </si>
  <si>
    <t>高齢者</t>
  </si>
  <si>
    <t>都島</t>
  </si>
  <si>
    <t>全
国</t>
  </si>
  <si>
    <t>　　２　号</t>
  </si>
  <si>
    <t>(台)</t>
  </si>
  <si>
    <t>九条梅田線</t>
  </si>
  <si>
    <t>北</t>
  </si>
  <si>
    <t>大阪枚岡奈良線</t>
  </si>
  <si>
    <t>件数</t>
  </si>
  <si>
    <t>３０９　号</t>
  </si>
  <si>
    <t>（４）時間別</t>
  </si>
  <si>
    <t>４次</t>
  </si>
  <si>
    <t>昼間の事故の割合（％）</t>
  </si>
  <si>
    <t>路線別発生状況概略図（件数）</t>
  </si>
  <si>
    <t>（件数：件／死者数・負傷者数：人）</t>
  </si>
  <si>
    <t>件数</t>
  </si>
  <si>
    <t>恵美須南森町線</t>
  </si>
  <si>
    <t>増減率（％）</t>
  </si>
  <si>
    <t>　２６　号</t>
  </si>
  <si>
    <t>歌島豊里線</t>
  </si>
  <si>
    <t>車両相互</t>
  </si>
  <si>
    <t>種別</t>
  </si>
  <si>
    <t xml:space="preserve"> 時間別（幹線道路・その他）発生状況</t>
  </si>
  <si>
    <t>巽生野加美線</t>
  </si>
  <si>
    <t>大阪伊丹線</t>
  </si>
  <si>
    <t>２．交通事故の推移</t>
  </si>
  <si>
    <t>（３）道路種別</t>
  </si>
  <si>
    <t>　</t>
  </si>
  <si>
    <t>（件数：件／死者数・負傷者数：人）</t>
  </si>
  <si>
    <t>（１）交通事故の年別推移（昭和４５年以降）</t>
  </si>
  <si>
    <t>各年１０月１日現在</t>
  </si>
  <si>
    <t>高速道路等は大阪市域外に計上。</t>
  </si>
  <si>
    <t>子ども及び高齢者は自身の数を計上。</t>
  </si>
  <si>
    <t>平野守口線</t>
  </si>
  <si>
    <t>主
要
地
方
道</t>
  </si>
  <si>
    <t>幹線道路とは、８ページ記載の国道、主要地方道、一般府道、大阪市道を指す。
（以下のページについても同様である。）</t>
  </si>
  <si>
    <t>平成27年</t>
  </si>
  <si>
    <t>平成28年</t>
  </si>
  <si>
    <t>10次</t>
  </si>
  <si>
    <t>（2016年）</t>
  </si>
  <si>
    <t>平成22</t>
  </si>
  <si>
    <t>(注２)人口は平成28年10月1日現在の数値である。</t>
  </si>
  <si>
    <t>新木津川大橋</t>
  </si>
  <si>
    <t>ー</t>
  </si>
  <si>
    <t>―</t>
  </si>
  <si>
    <t>１．平成28年中の交通事故の概要</t>
  </si>
  <si>
    <t>３．平成28年中の大阪市の交通事故の発生状況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</si>
</sst>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0;&quot;△ &quot;0.0"/>
    <numFmt numFmtId="179" formatCode="0.0;&quot;▲ &quot;0.0"/>
    <numFmt numFmtId="180" formatCode="0;&quot;▲ &quot;0"/>
    <numFmt numFmtId="181" formatCode="#,##0_);[Red]\(#,##0\)"/>
    <numFmt numFmtId="182" formatCode="0.0"/>
    <numFmt numFmtId="183" formatCode="#,##0.0;[Red]\-#,##0.0"/>
    <numFmt numFmtId="184" formatCode="#,##0_ "/>
    <numFmt numFmtId="185" formatCode="#,##0_ ;[Red]\-#,##0\ "/>
    <numFmt numFmtId="186" formatCode="#,##0.0_);[Red]\(#,##0.0\)"/>
    <numFmt numFmtId="187" formatCode="###,###,###,###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63"/>
      <name val="ＭＳ Ｐゴシック"/>
      <family val="3"/>
    </font>
    <font>
      <sz val="11"/>
      <color indexed="63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.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1"/>
      <name val="Yu Gothic"/>
      <family val="3"/>
    </font>
    <font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0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79" fontId="22" fillId="0" borderId="24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179" fontId="22" fillId="0" borderId="29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right"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3" fillId="0" borderId="37" xfId="0" applyFont="1" applyBorder="1" applyAlignment="1">
      <alignment horizontal="distributed" vertical="center"/>
    </xf>
    <xf numFmtId="0" fontId="23" fillId="0" borderId="38" xfId="0" applyFont="1" applyBorder="1" applyAlignment="1">
      <alignment horizontal="distributed" vertical="center"/>
    </xf>
    <xf numFmtId="0" fontId="23" fillId="0" borderId="39" xfId="0" applyFont="1" applyBorder="1" applyAlignment="1">
      <alignment horizontal="distributed" vertical="center"/>
    </xf>
    <xf numFmtId="0" fontId="23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181" fontId="22" fillId="0" borderId="27" xfId="48" applyNumberFormat="1" applyFont="1" applyBorder="1" applyAlignment="1">
      <alignment vertical="center"/>
    </xf>
    <xf numFmtId="181" fontId="22" fillId="0" borderId="43" xfId="0" applyNumberFormat="1" applyFont="1" applyBorder="1" applyAlignment="1">
      <alignment vertical="center"/>
    </xf>
    <xf numFmtId="181" fontId="22" fillId="0" borderId="44" xfId="48" applyNumberFormat="1" applyFont="1" applyBorder="1" applyAlignment="1">
      <alignment vertical="center"/>
    </xf>
    <xf numFmtId="181" fontId="22" fillId="0" borderId="45" xfId="48" applyNumberFormat="1" applyFont="1" applyBorder="1" applyAlignment="1">
      <alignment vertical="center"/>
    </xf>
    <xf numFmtId="181" fontId="22" fillId="0" borderId="43" xfId="48" applyNumberFormat="1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/>
    </xf>
    <xf numFmtId="181" fontId="22" fillId="0" borderId="17" xfId="48" applyNumberFormat="1" applyFont="1" applyBorder="1" applyAlignment="1">
      <alignment vertical="center"/>
    </xf>
    <xf numFmtId="181" fontId="22" fillId="0" borderId="48" xfId="0" applyNumberFormat="1" applyFont="1" applyBorder="1" applyAlignment="1">
      <alignment vertical="center"/>
    </xf>
    <xf numFmtId="181" fontId="22" fillId="0" borderId="49" xfId="48" applyNumberFormat="1" applyFont="1" applyBorder="1" applyAlignment="1">
      <alignment vertical="center"/>
    </xf>
    <xf numFmtId="181" fontId="22" fillId="0" borderId="18" xfId="48" applyNumberFormat="1" applyFont="1" applyBorder="1" applyAlignment="1">
      <alignment vertical="center"/>
    </xf>
    <xf numFmtId="181" fontId="22" fillId="0" borderId="48" xfId="48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181" fontId="22" fillId="0" borderId="26" xfId="48" applyNumberFormat="1" applyFont="1" applyBorder="1" applyAlignment="1">
      <alignment vertical="center"/>
    </xf>
    <xf numFmtId="181" fontId="22" fillId="0" borderId="51" xfId="0" applyNumberFormat="1" applyFont="1" applyBorder="1" applyAlignment="1">
      <alignment vertical="center"/>
    </xf>
    <xf numFmtId="181" fontId="22" fillId="0" borderId="52" xfId="48" applyNumberFormat="1" applyFont="1" applyBorder="1" applyAlignment="1">
      <alignment vertical="center"/>
    </xf>
    <xf numFmtId="181" fontId="22" fillId="0" borderId="29" xfId="48" applyNumberFormat="1" applyFont="1" applyBorder="1" applyAlignment="1">
      <alignment vertical="center"/>
    </xf>
    <xf numFmtId="181" fontId="22" fillId="0" borderId="51" xfId="48" applyNumberFormat="1" applyFont="1" applyBorder="1" applyAlignment="1">
      <alignment vertical="center"/>
    </xf>
    <xf numFmtId="0" fontId="22" fillId="0" borderId="34" xfId="0" applyFont="1" applyBorder="1" applyAlignment="1">
      <alignment horizontal="center"/>
    </xf>
    <xf numFmtId="181" fontId="22" fillId="0" borderId="0" xfId="48" applyNumberFormat="1" applyFont="1" applyBorder="1" applyAlignment="1">
      <alignment vertical="center"/>
    </xf>
    <xf numFmtId="181" fontId="22" fillId="0" borderId="53" xfId="0" applyNumberFormat="1" applyFont="1" applyBorder="1" applyAlignment="1">
      <alignment vertical="center"/>
    </xf>
    <xf numFmtId="181" fontId="22" fillId="0" borderId="54" xfId="48" applyNumberFormat="1" applyFont="1" applyBorder="1" applyAlignment="1">
      <alignment vertical="center"/>
    </xf>
    <xf numFmtId="181" fontId="22" fillId="0" borderId="55" xfId="48" applyNumberFormat="1" applyFont="1" applyBorder="1" applyAlignment="1">
      <alignment vertical="center"/>
    </xf>
    <xf numFmtId="181" fontId="22" fillId="0" borderId="53" xfId="48" applyNumberFormat="1" applyFont="1" applyBorder="1" applyAlignment="1">
      <alignment vertical="center"/>
    </xf>
    <xf numFmtId="181" fontId="22" fillId="0" borderId="29" xfId="48" applyNumberFormat="1" applyFont="1" applyFill="1" applyBorder="1" applyAlignment="1">
      <alignment vertical="center"/>
    </xf>
    <xf numFmtId="181" fontId="22" fillId="0" borderId="45" xfId="48" applyNumberFormat="1" applyFont="1" applyFill="1" applyBorder="1" applyAlignment="1">
      <alignment vertical="center"/>
    </xf>
    <xf numFmtId="181" fontId="22" fillId="0" borderId="18" xfId="48" applyNumberFormat="1" applyFont="1" applyFill="1" applyBorder="1" applyAlignment="1">
      <alignment vertical="center"/>
    </xf>
    <xf numFmtId="181" fontId="22" fillId="0" borderId="55" xfId="48" applyNumberFormat="1" applyFont="1" applyFill="1" applyBorder="1" applyAlignment="1">
      <alignment vertical="center"/>
    </xf>
    <xf numFmtId="181" fontId="22" fillId="0" borderId="50" xfId="48" applyNumberFormat="1" applyFont="1" applyFill="1" applyBorder="1" applyAlignment="1">
      <alignment vertical="center"/>
    </xf>
    <xf numFmtId="181" fontId="22" fillId="0" borderId="47" xfId="48" applyNumberFormat="1" applyFont="1" applyFill="1" applyBorder="1" applyAlignment="1">
      <alignment vertical="center"/>
    </xf>
    <xf numFmtId="0" fontId="22" fillId="0" borderId="56" xfId="0" applyFont="1" applyBorder="1" applyAlignment="1">
      <alignment horizontal="center"/>
    </xf>
    <xf numFmtId="181" fontId="22" fillId="0" borderId="46" xfId="48" applyNumberFormat="1" applyFont="1" applyBorder="1" applyAlignment="1">
      <alignment vertical="center"/>
    </xf>
    <xf numFmtId="181" fontId="22" fillId="0" borderId="56" xfId="48" applyNumberFormat="1" applyFont="1" applyBorder="1" applyAlignment="1">
      <alignment vertical="center"/>
    </xf>
    <xf numFmtId="181" fontId="22" fillId="0" borderId="46" xfId="48" applyNumberFormat="1" applyFont="1" applyFill="1" applyBorder="1" applyAlignment="1">
      <alignment vertical="center"/>
    </xf>
    <xf numFmtId="181" fontId="22" fillId="0" borderId="48" xfId="0" applyNumberFormat="1" applyFont="1" applyFill="1" applyBorder="1" applyAlignment="1">
      <alignment vertical="center"/>
    </xf>
    <xf numFmtId="181" fontId="22" fillId="0" borderId="16" xfId="48" applyNumberFormat="1" applyFont="1" applyBorder="1" applyAlignment="1">
      <alignment vertical="center"/>
    </xf>
    <xf numFmtId="181" fontId="22" fillId="0" borderId="47" xfId="48" applyNumberFormat="1" applyFont="1" applyBorder="1" applyAlignment="1">
      <alignment vertical="center"/>
    </xf>
    <xf numFmtId="181" fontId="22" fillId="0" borderId="17" xfId="0" applyNumberFormat="1" applyFont="1" applyBorder="1" applyAlignment="1">
      <alignment vertical="center"/>
    </xf>
    <xf numFmtId="181" fontId="22" fillId="0" borderId="16" xfId="48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/>
    </xf>
    <xf numFmtId="181" fontId="22" fillId="0" borderId="57" xfId="48" applyNumberFormat="1" applyFont="1" applyFill="1" applyBorder="1" applyAlignment="1">
      <alignment vertical="center"/>
    </xf>
    <xf numFmtId="181" fontId="22" fillId="0" borderId="51" xfId="0" applyNumberFormat="1" applyFont="1" applyFill="1" applyBorder="1" applyAlignment="1">
      <alignment vertical="center"/>
    </xf>
    <xf numFmtId="181" fontId="22" fillId="0" borderId="58" xfId="48" applyNumberFormat="1" applyFont="1" applyFill="1" applyBorder="1" applyAlignment="1">
      <alignment vertical="center"/>
    </xf>
    <xf numFmtId="181" fontId="22" fillId="0" borderId="19" xfId="48" applyNumberFormat="1" applyFont="1" applyFill="1" applyBorder="1" applyAlignment="1">
      <alignment vertical="center"/>
    </xf>
    <xf numFmtId="181" fontId="22" fillId="0" borderId="51" xfId="48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/>
    </xf>
    <xf numFmtId="181" fontId="22" fillId="0" borderId="41" xfId="48" applyNumberFormat="1" applyFont="1" applyFill="1" applyBorder="1" applyAlignment="1">
      <alignment vertical="center"/>
    </xf>
    <xf numFmtId="181" fontId="22" fillId="0" borderId="43" xfId="0" applyNumberFormat="1" applyFont="1" applyFill="1" applyBorder="1" applyAlignment="1">
      <alignment vertical="center"/>
    </xf>
    <xf numFmtId="181" fontId="22" fillId="0" borderId="42" xfId="48" applyNumberFormat="1" applyFont="1" applyFill="1" applyBorder="1" applyAlignment="1">
      <alignment vertical="center"/>
    </xf>
    <xf numFmtId="181" fontId="22" fillId="0" borderId="59" xfId="48" applyNumberFormat="1" applyFont="1" applyFill="1" applyBorder="1" applyAlignment="1">
      <alignment vertical="center"/>
    </xf>
    <xf numFmtId="181" fontId="22" fillId="0" borderId="28" xfId="48" applyNumberFormat="1" applyFont="1" applyFill="1" applyBorder="1" applyAlignment="1">
      <alignment vertical="center"/>
    </xf>
    <xf numFmtId="181" fontId="22" fillId="0" borderId="43" xfId="48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/>
    </xf>
    <xf numFmtId="181" fontId="22" fillId="0" borderId="33" xfId="48" applyNumberFormat="1" applyFont="1" applyFill="1" applyBorder="1" applyAlignment="1">
      <alignment vertical="center"/>
    </xf>
    <xf numFmtId="181" fontId="22" fillId="0" borderId="53" xfId="0" applyNumberFormat="1" applyFont="1" applyFill="1" applyBorder="1" applyAlignment="1">
      <alignment vertical="center"/>
    </xf>
    <xf numFmtId="181" fontId="22" fillId="0" borderId="34" xfId="48" applyNumberFormat="1" applyFont="1" applyFill="1" applyBorder="1" applyAlignment="1">
      <alignment vertical="center"/>
    </xf>
    <xf numFmtId="181" fontId="22" fillId="0" borderId="60" xfId="48" applyNumberFormat="1" applyFont="1" applyFill="1" applyBorder="1" applyAlignment="1">
      <alignment vertical="center"/>
    </xf>
    <xf numFmtId="181" fontId="22" fillId="0" borderId="25" xfId="48" applyNumberFormat="1" applyFont="1" applyFill="1" applyBorder="1" applyAlignment="1">
      <alignment vertical="center"/>
    </xf>
    <xf numFmtId="181" fontId="22" fillId="0" borderId="53" xfId="48" applyNumberFormat="1" applyFont="1" applyFill="1" applyBorder="1" applyAlignment="1">
      <alignment vertical="center"/>
    </xf>
    <xf numFmtId="181" fontId="22" fillId="0" borderId="57" xfId="0" applyNumberFormat="1" applyFont="1" applyFill="1" applyBorder="1" applyAlignment="1">
      <alignment vertical="center"/>
    </xf>
    <xf numFmtId="181" fontId="22" fillId="0" borderId="50" xfId="0" applyNumberFormat="1" applyFont="1" applyFill="1" applyBorder="1" applyAlignment="1">
      <alignment vertical="center"/>
    </xf>
    <xf numFmtId="181" fontId="22" fillId="0" borderId="58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right"/>
    </xf>
    <xf numFmtId="0" fontId="22" fillId="0" borderId="32" xfId="0" applyFont="1" applyBorder="1" applyAlignment="1">
      <alignment horizontal="distributed" vertical="center"/>
    </xf>
    <xf numFmtId="38" fontId="22" fillId="0" borderId="23" xfId="48" applyFont="1" applyBorder="1" applyAlignment="1">
      <alignment horizontal="center" vertical="center"/>
    </xf>
    <xf numFmtId="177" fontId="22" fillId="0" borderId="61" xfId="48" applyNumberFormat="1" applyFont="1" applyBorder="1" applyAlignment="1">
      <alignment horizontal="right" vertical="center"/>
    </xf>
    <xf numFmtId="0" fontId="22" fillId="0" borderId="54" xfId="0" applyFont="1" applyBorder="1" applyAlignment="1">
      <alignment vertical="center"/>
    </xf>
    <xf numFmtId="0" fontId="22" fillId="0" borderId="50" xfId="0" applyFont="1" applyBorder="1" applyAlignment="1">
      <alignment horizontal="distributed" vertical="center"/>
    </xf>
    <xf numFmtId="38" fontId="22" fillId="0" borderId="19" xfId="48" applyFont="1" applyBorder="1" applyAlignment="1">
      <alignment horizontal="center" vertical="center"/>
    </xf>
    <xf numFmtId="177" fontId="22" fillId="0" borderId="58" xfId="48" applyNumberFormat="1" applyFont="1" applyBorder="1" applyAlignment="1">
      <alignment horizontal="right" vertical="center"/>
    </xf>
    <xf numFmtId="0" fontId="22" fillId="0" borderId="44" xfId="0" applyFont="1" applyBorder="1" applyAlignment="1">
      <alignment/>
    </xf>
    <xf numFmtId="0" fontId="22" fillId="0" borderId="42" xfId="0" applyFont="1" applyBorder="1" applyAlignment="1">
      <alignment horizontal="distributed" vertical="center"/>
    </xf>
    <xf numFmtId="0" fontId="22" fillId="0" borderId="54" xfId="0" applyFont="1" applyBorder="1" applyAlignment="1">
      <alignment/>
    </xf>
    <xf numFmtId="0" fontId="22" fillId="0" borderId="34" xfId="0" applyFont="1" applyBorder="1" applyAlignment="1">
      <alignment horizontal="distributed" vertical="center"/>
    </xf>
    <xf numFmtId="0" fontId="22" fillId="0" borderId="54" xfId="0" applyFont="1" applyBorder="1" applyAlignment="1">
      <alignment horizontal="center" vertical="center"/>
    </xf>
    <xf numFmtId="0" fontId="22" fillId="0" borderId="36" xfId="0" applyFont="1" applyBorder="1" applyAlignment="1">
      <alignment horizontal="distributed" vertical="center"/>
    </xf>
    <xf numFmtId="38" fontId="22" fillId="0" borderId="20" xfId="48" applyFont="1" applyBorder="1" applyAlignment="1">
      <alignment horizontal="center" vertical="center"/>
    </xf>
    <xf numFmtId="177" fontId="22" fillId="0" borderId="62" xfId="48" applyNumberFormat="1" applyFont="1" applyBorder="1" applyAlignment="1">
      <alignment horizontal="right" vertical="center"/>
    </xf>
    <xf numFmtId="179" fontId="22" fillId="0" borderId="4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2" fillId="0" borderId="63" xfId="0" applyFont="1" applyBorder="1" applyAlignment="1">
      <alignment horizontal="right"/>
    </xf>
    <xf numFmtId="0" fontId="0" fillId="0" borderId="51" xfId="0" applyBorder="1" applyAlignment="1">
      <alignment/>
    </xf>
    <xf numFmtId="0" fontId="22" fillId="0" borderId="64" xfId="0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22" fillId="0" borderId="65" xfId="0" applyFont="1" applyBorder="1" applyAlignment="1">
      <alignment horizontal="center"/>
    </xf>
    <xf numFmtId="38" fontId="22" fillId="0" borderId="0" xfId="48" applyFont="1" applyFill="1" applyBorder="1" applyAlignment="1">
      <alignment/>
    </xf>
    <xf numFmtId="0" fontId="22" fillId="0" borderId="53" xfId="0" applyFont="1" applyFill="1" applyBorder="1" applyAlignment="1">
      <alignment/>
    </xf>
    <xf numFmtId="182" fontId="22" fillId="0" borderId="53" xfId="0" applyNumberFormat="1" applyFont="1" applyFill="1" applyBorder="1" applyAlignment="1">
      <alignment/>
    </xf>
    <xf numFmtId="183" fontId="22" fillId="0" borderId="34" xfId="48" applyNumberFormat="1" applyFont="1" applyFill="1" applyBorder="1" applyAlignment="1">
      <alignment/>
    </xf>
    <xf numFmtId="38" fontId="22" fillId="0" borderId="54" xfId="48" applyFont="1" applyFill="1" applyBorder="1" applyAlignment="1">
      <alignment/>
    </xf>
    <xf numFmtId="0" fontId="22" fillId="0" borderId="66" xfId="0" applyFont="1" applyBorder="1" applyAlignment="1">
      <alignment horizontal="center"/>
    </xf>
    <xf numFmtId="38" fontId="22" fillId="0" borderId="26" xfId="48" applyFont="1" applyFill="1" applyBorder="1" applyAlignment="1">
      <alignment/>
    </xf>
    <xf numFmtId="182" fontId="22" fillId="0" borderId="51" xfId="0" applyNumberFormat="1" applyFont="1" applyFill="1" applyBorder="1" applyAlignment="1">
      <alignment/>
    </xf>
    <xf numFmtId="183" fontId="22" fillId="0" borderId="50" xfId="48" applyNumberFormat="1" applyFont="1" applyFill="1" applyBorder="1" applyAlignment="1">
      <alignment/>
    </xf>
    <xf numFmtId="38" fontId="22" fillId="0" borderId="52" xfId="48" applyFont="1" applyFill="1" applyBorder="1" applyAlignment="1">
      <alignment/>
    </xf>
    <xf numFmtId="182" fontId="22" fillId="0" borderId="50" xfId="0" applyNumberFormat="1" applyFont="1" applyFill="1" applyBorder="1" applyAlignment="1">
      <alignment/>
    </xf>
    <xf numFmtId="182" fontId="22" fillId="0" borderId="34" xfId="0" applyNumberFormat="1" applyFont="1" applyFill="1" applyBorder="1" applyAlignment="1">
      <alignment/>
    </xf>
    <xf numFmtId="0" fontId="0" fillId="0" borderId="0" xfId="0" applyAlignment="1">
      <alignment vertical="center"/>
    </xf>
    <xf numFmtId="38" fontId="22" fillId="0" borderId="57" xfId="48" applyFont="1" applyFill="1" applyBorder="1" applyAlignment="1">
      <alignment/>
    </xf>
    <xf numFmtId="38" fontId="22" fillId="0" borderId="17" xfId="48" applyFont="1" applyFill="1" applyBorder="1" applyAlignment="1">
      <alignment/>
    </xf>
    <xf numFmtId="182" fontId="22" fillId="0" borderId="48" xfId="0" applyNumberFormat="1" applyFont="1" applyFill="1" applyBorder="1" applyAlignment="1">
      <alignment/>
    </xf>
    <xf numFmtId="38" fontId="22" fillId="0" borderId="49" xfId="48" applyFont="1" applyFill="1" applyBorder="1" applyAlignment="1">
      <alignment/>
    </xf>
    <xf numFmtId="182" fontId="22" fillId="0" borderId="18" xfId="0" applyNumberFormat="1" applyFont="1" applyFill="1" applyBorder="1" applyAlignment="1">
      <alignment/>
    </xf>
    <xf numFmtId="183" fontId="22" fillId="0" borderId="18" xfId="48" applyNumberFormat="1" applyFont="1" applyFill="1" applyBorder="1" applyAlignment="1">
      <alignment/>
    </xf>
    <xf numFmtId="0" fontId="22" fillId="0" borderId="67" xfId="0" applyFont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2" fillId="0" borderId="68" xfId="0" applyFont="1" applyBorder="1" applyAlignment="1">
      <alignment vertical="center"/>
    </xf>
    <xf numFmtId="182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5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1" xfId="0" applyFont="1" applyBorder="1" applyAlignment="1">
      <alignment horizontal="center"/>
    </xf>
    <xf numFmtId="184" fontId="31" fillId="0" borderId="63" xfId="0" applyNumberFormat="1" applyFont="1" applyBorder="1" applyAlignment="1">
      <alignment vertical="center"/>
    </xf>
    <xf numFmtId="0" fontId="22" fillId="0" borderId="33" xfId="0" applyFont="1" applyBorder="1" applyAlignment="1">
      <alignment horizontal="center"/>
    </xf>
    <xf numFmtId="0" fontId="22" fillId="0" borderId="56" xfId="0" applyFont="1" applyBorder="1" applyAlignment="1">
      <alignment horizontal="distributed" vertical="center"/>
    </xf>
    <xf numFmtId="184" fontId="31" fillId="0" borderId="66" xfId="0" applyNumberFormat="1" applyFont="1" applyBorder="1" applyAlignment="1">
      <alignment vertical="center"/>
    </xf>
    <xf numFmtId="0" fontId="22" fillId="0" borderId="53" xfId="0" applyFont="1" applyBorder="1" applyAlignment="1">
      <alignment horizontal="distributed" vertical="center"/>
    </xf>
    <xf numFmtId="184" fontId="31" fillId="0" borderId="65" xfId="0" applyNumberFormat="1" applyFont="1" applyBorder="1" applyAlignment="1">
      <alignment vertical="center"/>
    </xf>
    <xf numFmtId="0" fontId="22" fillId="0" borderId="43" xfId="0" applyFont="1" applyBorder="1" applyAlignment="1">
      <alignment horizontal="distributed" vertical="center"/>
    </xf>
    <xf numFmtId="184" fontId="31" fillId="0" borderId="69" xfId="0" applyNumberFormat="1" applyFont="1" applyBorder="1" applyAlignment="1">
      <alignment vertical="center"/>
    </xf>
    <xf numFmtId="0" fontId="22" fillId="0" borderId="35" xfId="0" applyFont="1" applyBorder="1" applyAlignment="1">
      <alignment horizontal="center"/>
    </xf>
    <xf numFmtId="0" fontId="22" fillId="0" borderId="70" xfId="0" applyFont="1" applyBorder="1" applyAlignment="1">
      <alignment horizontal="distributed" vertical="center"/>
    </xf>
    <xf numFmtId="184" fontId="31" fillId="0" borderId="64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22" fillId="0" borderId="69" xfId="0" applyFont="1" applyBorder="1" applyAlignment="1">
      <alignment horizontal="distributed" vertical="center"/>
    </xf>
    <xf numFmtId="38" fontId="0" fillId="0" borderId="51" xfId="48" applyFont="1" applyBorder="1" applyAlignment="1">
      <alignment vertical="center"/>
    </xf>
    <xf numFmtId="0" fontId="22" fillId="0" borderId="66" xfId="0" applyFont="1" applyBorder="1" applyAlignment="1">
      <alignment horizontal="distributed" vertical="center"/>
    </xf>
    <xf numFmtId="0" fontId="22" fillId="0" borderId="68" xfId="0" applyFont="1" applyBorder="1" applyAlignment="1">
      <alignment horizontal="distributed" vertical="center"/>
    </xf>
    <xf numFmtId="0" fontId="22" fillId="0" borderId="68" xfId="0" applyFont="1" applyFill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184" fontId="33" fillId="0" borderId="5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/>
    </xf>
    <xf numFmtId="184" fontId="34" fillId="0" borderId="0" xfId="0" applyNumberFormat="1" applyFont="1" applyBorder="1" applyAlignment="1">
      <alignment/>
    </xf>
    <xf numFmtId="0" fontId="22" fillId="0" borderId="71" xfId="0" applyFont="1" applyBorder="1" applyAlignment="1">
      <alignment horizontal="distributed" vertical="center"/>
    </xf>
    <xf numFmtId="0" fontId="22" fillId="0" borderId="71" xfId="0" applyFont="1" applyFill="1" applyBorder="1" applyAlignment="1">
      <alignment horizontal="distributed" vertical="center"/>
    </xf>
    <xf numFmtId="184" fontId="32" fillId="0" borderId="1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72" xfId="0" applyFont="1" applyBorder="1" applyAlignment="1">
      <alignment vertical="center"/>
    </xf>
    <xf numFmtId="0" fontId="37" fillId="0" borderId="19" xfId="0" applyFont="1" applyFill="1" applyBorder="1" applyAlignment="1">
      <alignment horizontal="distributed" vertical="center"/>
    </xf>
    <xf numFmtId="0" fontId="37" fillId="0" borderId="27" xfId="0" applyFont="1" applyFill="1" applyBorder="1" applyAlignment="1">
      <alignment horizontal="distributed" vertical="center"/>
    </xf>
    <xf numFmtId="0" fontId="37" fillId="0" borderId="26" xfId="0" applyFont="1" applyFill="1" applyBorder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37" fillId="0" borderId="56" xfId="0" applyFont="1" applyFill="1" applyBorder="1" applyAlignment="1">
      <alignment horizontal="distributed" vertical="center"/>
    </xf>
    <xf numFmtId="181" fontId="0" fillId="0" borderId="73" xfId="48" applyNumberFormat="1" applyFont="1" applyFill="1" applyBorder="1" applyAlignment="1">
      <alignment vertical="center"/>
    </xf>
    <xf numFmtId="181" fontId="0" fillId="0" borderId="74" xfId="48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4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vertical="center"/>
    </xf>
    <xf numFmtId="0" fontId="37" fillId="0" borderId="46" xfId="0" applyFont="1" applyBorder="1" applyAlignment="1">
      <alignment horizontal="distributed" vertical="center"/>
    </xf>
    <xf numFmtId="0" fontId="37" fillId="0" borderId="48" xfId="0" applyFont="1" applyFill="1" applyBorder="1" applyAlignment="1">
      <alignment horizontal="distributed" vertical="center"/>
    </xf>
    <xf numFmtId="0" fontId="37" fillId="0" borderId="56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185" fontId="4" fillId="0" borderId="32" xfId="48" applyNumberFormat="1" applyFont="1" applyBorder="1" applyAlignment="1">
      <alignment vertical="center"/>
    </xf>
    <xf numFmtId="185" fontId="4" fillId="0" borderId="32" xfId="48" applyNumberFormat="1" applyFont="1" applyFill="1" applyBorder="1" applyAlignment="1">
      <alignment vertical="center"/>
    </xf>
    <xf numFmtId="185" fontId="4" fillId="0" borderId="0" xfId="48" applyNumberFormat="1" applyFont="1" applyBorder="1" applyAlignment="1">
      <alignment vertical="center"/>
    </xf>
    <xf numFmtId="185" fontId="4" fillId="0" borderId="50" xfId="48" applyNumberFormat="1" applyFont="1" applyBorder="1" applyAlignment="1">
      <alignment vertical="center"/>
    </xf>
    <xf numFmtId="185" fontId="4" fillId="0" borderId="50" xfId="48" applyNumberFormat="1" applyFont="1" applyFill="1" applyBorder="1" applyAlignment="1">
      <alignment vertical="center"/>
    </xf>
    <xf numFmtId="185" fontId="4" fillId="0" borderId="36" xfId="48" applyNumberFormat="1" applyFont="1" applyBorder="1" applyAlignment="1">
      <alignment vertical="center"/>
    </xf>
    <xf numFmtId="185" fontId="4" fillId="0" borderId="36" xfId="48" applyNumberFormat="1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185" fontId="4" fillId="0" borderId="76" xfId="48" applyNumberFormat="1" applyFont="1" applyBorder="1" applyAlignment="1">
      <alignment vertical="center"/>
    </xf>
    <xf numFmtId="185" fontId="4" fillId="0" borderId="77" xfId="48" applyNumberFormat="1" applyFont="1" applyBorder="1" applyAlignment="1">
      <alignment vertical="center"/>
    </xf>
    <xf numFmtId="185" fontId="4" fillId="0" borderId="78" xfId="48" applyNumberFormat="1" applyFont="1" applyBorder="1" applyAlignment="1">
      <alignment vertical="center"/>
    </xf>
    <xf numFmtId="185" fontId="4" fillId="0" borderId="79" xfId="48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42" xfId="0" applyFont="1" applyBorder="1" applyAlignment="1">
      <alignment horizontal="distributed" vertical="center"/>
    </xf>
    <xf numFmtId="181" fontId="0" fillId="0" borderId="72" xfId="48" applyNumberFormat="1" applyFont="1" applyBorder="1" applyAlignment="1">
      <alignment horizontal="right" vertical="center"/>
    </xf>
    <xf numFmtId="181" fontId="4" fillId="0" borderId="80" xfId="48" applyNumberFormat="1" applyFont="1" applyFill="1" applyBorder="1" applyAlignment="1">
      <alignment horizontal="right" vertical="center"/>
    </xf>
    <xf numFmtId="181" fontId="4" fillId="0" borderId="22" xfId="48" applyNumberFormat="1" applyFont="1" applyFill="1" applyBorder="1" applyAlignment="1">
      <alignment horizontal="right" vertical="center"/>
    </xf>
    <xf numFmtId="181" fontId="4" fillId="0" borderId="23" xfId="48" applyNumberFormat="1" applyFont="1" applyFill="1" applyBorder="1" applyAlignment="1">
      <alignment horizontal="right" vertical="center"/>
    </xf>
    <xf numFmtId="181" fontId="4" fillId="0" borderId="81" xfId="48" applyNumberFormat="1" applyFont="1" applyFill="1" applyBorder="1" applyAlignment="1">
      <alignment horizontal="right" vertical="center"/>
    </xf>
    <xf numFmtId="38" fontId="35" fillId="0" borderId="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0" fontId="37" fillId="0" borderId="50" xfId="0" applyFont="1" applyFill="1" applyBorder="1" applyAlignment="1">
      <alignment horizontal="distributed" vertical="center"/>
    </xf>
    <xf numFmtId="181" fontId="0" fillId="0" borderId="57" xfId="48" applyNumberFormat="1" applyFont="1" applyFill="1" applyBorder="1" applyAlignment="1">
      <alignment horizontal="right" vertical="center"/>
    </xf>
    <xf numFmtId="181" fontId="4" fillId="0" borderId="51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81" fontId="4" fillId="0" borderId="50" xfId="48" applyNumberFormat="1" applyFont="1" applyFill="1" applyBorder="1" applyAlignment="1">
      <alignment horizontal="right" vertical="center"/>
    </xf>
    <xf numFmtId="0" fontId="37" fillId="0" borderId="55" xfId="0" applyFont="1" applyFill="1" applyBorder="1" applyAlignment="1">
      <alignment horizontal="center" vertical="center"/>
    </xf>
    <xf numFmtId="181" fontId="0" fillId="0" borderId="33" xfId="48" applyNumberFormat="1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center" vertical="center" wrapText="1"/>
    </xf>
    <xf numFmtId="186" fontId="0" fillId="0" borderId="82" xfId="0" applyNumberFormat="1" applyFont="1" applyFill="1" applyBorder="1" applyAlignment="1">
      <alignment horizontal="right" vertical="center"/>
    </xf>
    <xf numFmtId="186" fontId="0" fillId="0" borderId="38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39" xfId="0" applyNumberFormat="1" applyFont="1" applyFill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41" fillId="0" borderId="0" xfId="0" applyNumberFormat="1" applyFont="1" applyBorder="1" applyAlignment="1">
      <alignment horizontal="right" vertical="center"/>
    </xf>
    <xf numFmtId="0" fontId="37" fillId="0" borderId="81" xfId="0" applyFont="1" applyFill="1" applyBorder="1" applyAlignment="1">
      <alignment horizontal="distributed" vertical="center"/>
    </xf>
    <xf numFmtId="181" fontId="0" fillId="0" borderId="72" xfId="48" applyNumberFormat="1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distributed" vertical="center"/>
    </xf>
    <xf numFmtId="186" fontId="0" fillId="0" borderId="7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6" fillId="0" borderId="46" xfId="0" applyFont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81" fontId="42" fillId="0" borderId="23" xfId="0" applyNumberFormat="1" applyFont="1" applyFill="1" applyBorder="1" applyAlignment="1">
      <alignment vertical="center"/>
    </xf>
    <xf numFmtId="181" fontId="42" fillId="0" borderId="32" xfId="0" applyNumberFormat="1" applyFont="1" applyFill="1" applyBorder="1" applyAlignment="1">
      <alignment vertical="center"/>
    </xf>
    <xf numFmtId="186" fontId="42" fillId="0" borderId="83" xfId="0" applyNumberFormat="1" applyFont="1" applyFill="1" applyBorder="1" applyAlignment="1">
      <alignment vertical="center"/>
    </xf>
    <xf numFmtId="186" fontId="42" fillId="0" borderId="84" xfId="0" applyNumberFormat="1" applyFont="1" applyFill="1" applyBorder="1" applyAlignment="1">
      <alignment vertical="center"/>
    </xf>
    <xf numFmtId="186" fontId="42" fillId="0" borderId="32" xfId="0" applyNumberFormat="1" applyFont="1" applyFill="1" applyBorder="1" applyAlignment="1">
      <alignment vertical="center"/>
    </xf>
    <xf numFmtId="0" fontId="36" fillId="0" borderId="39" xfId="0" applyFont="1" applyBorder="1" applyAlignment="1">
      <alignment horizontal="center" vertical="center"/>
    </xf>
    <xf numFmtId="181" fontId="42" fillId="0" borderId="33" xfId="0" applyNumberFormat="1" applyFont="1" applyFill="1" applyBorder="1" applyAlignment="1">
      <alignment vertical="center"/>
    </xf>
    <xf numFmtId="181" fontId="42" fillId="0" borderId="53" xfId="0" applyNumberFormat="1" applyFont="1" applyFill="1" applyBorder="1" applyAlignment="1">
      <alignment vertical="center"/>
    </xf>
    <xf numFmtId="181" fontId="42" fillId="0" borderId="25" xfId="0" applyNumberFormat="1" applyFont="1" applyFill="1" applyBorder="1" applyAlignment="1">
      <alignment vertical="center"/>
    </xf>
    <xf numFmtId="181" fontId="42" fillId="0" borderId="39" xfId="0" applyNumberFormat="1" applyFont="1" applyFill="1" applyBorder="1" applyAlignment="1">
      <alignment vertical="center"/>
    </xf>
    <xf numFmtId="186" fontId="42" fillId="0" borderId="62" xfId="0" applyNumberFormat="1" applyFont="1" applyFill="1" applyBorder="1" applyAlignment="1">
      <alignment vertical="center"/>
    </xf>
    <xf numFmtId="186" fontId="42" fillId="0" borderId="38" xfId="0" applyNumberFormat="1" applyFont="1" applyFill="1" applyBorder="1" applyAlignment="1">
      <alignment vertical="center"/>
    </xf>
    <xf numFmtId="186" fontId="42" fillId="0" borderId="39" xfId="0" applyNumberFormat="1" applyFont="1" applyFill="1" applyBorder="1" applyAlignment="1">
      <alignment vertical="center"/>
    </xf>
    <xf numFmtId="181" fontId="42" fillId="0" borderId="35" xfId="0" applyNumberFormat="1" applyFont="1" applyFill="1" applyBorder="1" applyAlignment="1">
      <alignment vertical="center"/>
    </xf>
    <xf numFmtId="181" fontId="42" fillId="0" borderId="70" xfId="0" applyNumberFormat="1" applyFont="1" applyFill="1" applyBorder="1" applyAlignment="1">
      <alignment vertical="center"/>
    </xf>
    <xf numFmtId="181" fontId="42" fillId="0" borderId="30" xfId="0" applyNumberFormat="1" applyFont="1" applyFill="1" applyBorder="1" applyAlignment="1">
      <alignment vertical="center"/>
    </xf>
    <xf numFmtId="186" fontId="42" fillId="0" borderId="72" xfId="0" applyNumberFormat="1" applyFont="1" applyFill="1" applyBorder="1" applyAlignment="1">
      <alignment vertical="center"/>
    </xf>
    <xf numFmtId="186" fontId="42" fillId="0" borderId="80" xfId="0" applyNumberFormat="1" applyFont="1" applyFill="1" applyBorder="1" applyAlignment="1">
      <alignment vertical="center"/>
    </xf>
    <xf numFmtId="186" fontId="42" fillId="0" borderId="81" xfId="0" applyNumberFormat="1" applyFont="1" applyFill="1" applyBorder="1" applyAlignment="1">
      <alignment vertical="center"/>
    </xf>
    <xf numFmtId="186" fontId="42" fillId="0" borderId="82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7" fillId="0" borderId="12" xfId="0" applyFont="1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37" fillId="0" borderId="48" xfId="0" applyFont="1" applyBorder="1" applyAlignment="1">
      <alignment horizontal="distributed" vertical="center"/>
    </xf>
    <xf numFmtId="0" fontId="37" fillId="0" borderId="47" xfId="0" applyFont="1" applyFill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81" xfId="0" applyFont="1" applyBorder="1" applyAlignment="1">
      <alignment vertical="center"/>
    </xf>
    <xf numFmtId="185" fontId="4" fillId="0" borderId="72" xfId="48" applyNumberFormat="1" applyFont="1" applyBorder="1" applyAlignment="1">
      <alignment vertical="center"/>
    </xf>
    <xf numFmtId="185" fontId="4" fillId="0" borderId="72" xfId="48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185" fontId="4" fillId="0" borderId="57" xfId="48" applyNumberFormat="1" applyFont="1" applyBorder="1" applyAlignment="1">
      <alignment vertical="center"/>
    </xf>
    <xf numFmtId="185" fontId="4" fillId="0" borderId="57" xfId="48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85" fontId="4" fillId="0" borderId="82" xfId="48" applyNumberFormat="1" applyFont="1" applyBorder="1" applyAlignment="1">
      <alignment vertical="center"/>
    </xf>
    <xf numFmtId="185" fontId="4" fillId="0" borderId="82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 vertical="center"/>
    </xf>
    <xf numFmtId="185" fontId="4" fillId="0" borderId="81" xfId="48" applyNumberFormat="1" applyFont="1" applyFill="1" applyBorder="1" applyAlignment="1">
      <alignment vertical="center"/>
    </xf>
    <xf numFmtId="185" fontId="4" fillId="0" borderId="51" xfId="48" applyNumberFormat="1" applyFont="1" applyFill="1" applyBorder="1" applyAlignment="1">
      <alignment vertical="center"/>
    </xf>
    <xf numFmtId="185" fontId="4" fillId="0" borderId="38" xfId="48" applyNumberFormat="1" applyFont="1" applyFill="1" applyBorder="1" applyAlignment="1">
      <alignment vertical="center"/>
    </xf>
    <xf numFmtId="185" fontId="4" fillId="0" borderId="39" xfId="48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vertical="center"/>
    </xf>
    <xf numFmtId="177" fontId="22" fillId="0" borderId="83" xfId="48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9" fontId="22" fillId="0" borderId="24" xfId="42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176" fontId="22" fillId="0" borderId="26" xfId="0" applyNumberFormat="1" applyFont="1" applyFill="1" applyBorder="1" applyAlignment="1">
      <alignment vertical="center"/>
    </xf>
    <xf numFmtId="177" fontId="22" fillId="0" borderId="58" xfId="48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9" fontId="22" fillId="0" borderId="29" xfId="42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 shrinkToFit="1"/>
    </xf>
    <xf numFmtId="177" fontId="22" fillId="0" borderId="60" xfId="48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7" fontId="22" fillId="0" borderId="85" xfId="48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40" xfId="42" applyNumberFormat="1" applyFont="1" applyFill="1" applyBorder="1" applyAlignment="1">
      <alignment vertical="center"/>
    </xf>
    <xf numFmtId="177" fontId="22" fillId="0" borderId="61" xfId="48" applyNumberFormat="1" applyFont="1" applyFill="1" applyBorder="1" applyAlignment="1">
      <alignment vertical="center"/>
    </xf>
    <xf numFmtId="177" fontId="22" fillId="0" borderId="59" xfId="48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9" fontId="22" fillId="0" borderId="45" xfId="42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180" fontId="22" fillId="0" borderId="51" xfId="0" applyNumberFormat="1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0" fontId="23" fillId="0" borderId="19" xfId="0" applyFont="1" applyFill="1" applyBorder="1" applyAlignment="1">
      <alignment/>
    </xf>
    <xf numFmtId="0" fontId="22" fillId="0" borderId="85" xfId="0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22" fillId="0" borderId="0" xfId="0" applyNumberFormat="1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39" xfId="0" applyFont="1" applyBorder="1" applyAlignment="1">
      <alignment horizontal="center" vertical="center"/>
    </xf>
    <xf numFmtId="181" fontId="22" fillId="0" borderId="32" xfId="48" applyNumberFormat="1" applyFont="1" applyFill="1" applyBorder="1" applyAlignment="1">
      <alignment/>
    </xf>
    <xf numFmtId="181" fontId="22" fillId="0" borderId="32" xfId="0" applyNumberFormat="1" applyFont="1" applyFill="1" applyBorder="1" applyAlignment="1">
      <alignment/>
    </xf>
    <xf numFmtId="181" fontId="22" fillId="0" borderId="34" xfId="48" applyNumberFormat="1" applyFont="1" applyFill="1" applyBorder="1" applyAlignment="1">
      <alignment/>
    </xf>
    <xf numFmtId="181" fontId="22" fillId="0" borderId="50" xfId="48" applyNumberFormat="1" applyFont="1" applyFill="1" applyBorder="1" applyAlignment="1">
      <alignment/>
    </xf>
    <xf numFmtId="181" fontId="22" fillId="0" borderId="50" xfId="0" applyNumberFormat="1" applyFont="1" applyFill="1" applyBorder="1" applyAlignment="1">
      <alignment/>
    </xf>
    <xf numFmtId="181" fontId="22" fillId="0" borderId="34" xfId="0" applyNumberFormat="1" applyFont="1" applyFill="1" applyBorder="1" applyAlignment="1">
      <alignment/>
    </xf>
    <xf numFmtId="181" fontId="22" fillId="0" borderId="39" xfId="48" applyNumberFormat="1" applyFont="1" applyFill="1" applyBorder="1" applyAlignment="1">
      <alignment/>
    </xf>
    <xf numFmtId="181" fontId="22" fillId="0" borderId="39" xfId="0" applyNumberFormat="1" applyFont="1" applyFill="1" applyBorder="1" applyAlignment="1">
      <alignment/>
    </xf>
    <xf numFmtId="0" fontId="22" fillId="0" borderId="64" xfId="0" applyFont="1" applyBorder="1" applyAlignment="1">
      <alignment horizontal="distributed" vertical="center"/>
    </xf>
    <xf numFmtId="181" fontId="22" fillId="0" borderId="30" xfId="0" applyNumberFormat="1" applyFont="1" applyBorder="1" applyAlignment="1">
      <alignment/>
    </xf>
    <xf numFmtId="181" fontId="22" fillId="0" borderId="36" xfId="0" applyNumberFormat="1" applyFont="1" applyBorder="1" applyAlignment="1">
      <alignment/>
    </xf>
    <xf numFmtId="181" fontId="22" fillId="0" borderId="10" xfId="48" applyNumberFormat="1" applyFont="1" applyBorder="1" applyAlignment="1">
      <alignment/>
    </xf>
    <xf numFmtId="181" fontId="22" fillId="0" borderId="36" xfId="48" applyNumberFormat="1" applyFont="1" applyBorder="1" applyAlignment="1">
      <alignment/>
    </xf>
    <xf numFmtId="0" fontId="22" fillId="0" borderId="63" xfId="0" applyFont="1" applyFill="1" applyBorder="1" applyAlignment="1">
      <alignment horizontal="distributed" vertical="center"/>
    </xf>
    <xf numFmtId="0" fontId="22" fillId="0" borderId="66" xfId="0" applyFont="1" applyFill="1" applyBorder="1" applyAlignment="1">
      <alignment horizontal="distributed" vertical="center"/>
    </xf>
    <xf numFmtId="0" fontId="22" fillId="0" borderId="65" xfId="0" applyFont="1" applyFill="1" applyBorder="1" applyAlignment="1">
      <alignment horizontal="distributed" vertical="center"/>
    </xf>
    <xf numFmtId="0" fontId="36" fillId="0" borderId="80" xfId="0" applyFont="1" applyFill="1" applyBorder="1" applyAlignment="1">
      <alignment horizontal="distributed" vertical="center"/>
    </xf>
    <xf numFmtId="0" fontId="36" fillId="0" borderId="81" xfId="0" applyFont="1" applyFill="1" applyBorder="1" applyAlignment="1">
      <alignment horizontal="distributed" vertical="center"/>
    </xf>
    <xf numFmtId="0" fontId="51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22" fillId="0" borderId="33" xfId="0" applyNumberFormat="1" applyFont="1" applyFill="1" applyBorder="1" applyAlignment="1">
      <alignment vertical="center"/>
    </xf>
    <xf numFmtId="181" fontId="22" fillId="0" borderId="34" xfId="0" applyNumberFormat="1" applyFont="1" applyFill="1" applyBorder="1" applyAlignment="1">
      <alignment vertical="center"/>
    </xf>
    <xf numFmtId="181" fontId="22" fillId="0" borderId="6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84" fontId="23" fillId="0" borderId="72" xfId="0" applyNumberFormat="1" applyFont="1" applyFill="1" applyBorder="1" applyAlignment="1">
      <alignment vertical="center"/>
    </xf>
    <xf numFmtId="184" fontId="23" fillId="0" borderId="80" xfId="0" applyNumberFormat="1" applyFont="1" applyFill="1" applyBorder="1" applyAlignment="1">
      <alignment vertical="center"/>
    </xf>
    <xf numFmtId="184" fontId="32" fillId="0" borderId="51" xfId="0" applyNumberFormat="1" applyFont="1" applyFill="1" applyBorder="1" applyAlignment="1">
      <alignment vertical="center"/>
    </xf>
    <xf numFmtId="184" fontId="32" fillId="0" borderId="57" xfId="0" applyNumberFormat="1" applyFont="1" applyFill="1" applyBorder="1" applyAlignment="1">
      <alignment vertical="center"/>
    </xf>
    <xf numFmtId="184" fontId="32" fillId="0" borderId="19" xfId="0" applyNumberFormat="1" applyFont="1" applyFill="1" applyBorder="1" applyAlignment="1">
      <alignment vertical="center"/>
    </xf>
    <xf numFmtId="184" fontId="23" fillId="0" borderId="51" xfId="0" applyNumberFormat="1" applyFont="1" applyFill="1" applyBorder="1" applyAlignment="1">
      <alignment vertical="center"/>
    </xf>
    <xf numFmtId="184" fontId="23" fillId="0" borderId="81" xfId="0" applyNumberFormat="1" applyFont="1" applyFill="1" applyBorder="1" applyAlignment="1">
      <alignment vertical="center"/>
    </xf>
    <xf numFmtId="184" fontId="23" fillId="0" borderId="57" xfId="0" applyNumberFormat="1" applyFont="1" applyFill="1" applyBorder="1" applyAlignment="1">
      <alignment vertical="center"/>
    </xf>
    <xf numFmtId="184" fontId="23" fillId="0" borderId="50" xfId="0" applyNumberFormat="1" applyFont="1" applyFill="1" applyBorder="1" applyAlignment="1">
      <alignment vertical="center"/>
    </xf>
    <xf numFmtId="184" fontId="32" fillId="0" borderId="50" xfId="0" applyNumberFormat="1" applyFont="1" applyFill="1" applyBorder="1" applyAlignment="1">
      <alignment vertical="center"/>
    </xf>
    <xf numFmtId="184" fontId="32" fillId="0" borderId="82" xfId="0" applyNumberFormat="1" applyFont="1" applyFill="1" applyBorder="1" applyAlignment="1">
      <alignment vertical="center"/>
    </xf>
    <xf numFmtId="184" fontId="32" fillId="0" borderId="38" xfId="0" applyNumberFormat="1" applyFont="1" applyFill="1" applyBorder="1" applyAlignment="1">
      <alignment vertical="center"/>
    </xf>
    <xf numFmtId="184" fontId="32" fillId="0" borderId="39" xfId="0" applyNumberFormat="1" applyFont="1" applyFill="1" applyBorder="1" applyAlignment="1">
      <alignment vertical="center"/>
    </xf>
    <xf numFmtId="38" fontId="23" fillId="0" borderId="14" xfId="48" applyFont="1" applyFill="1" applyBorder="1" applyAlignment="1">
      <alignment horizontal="right" vertical="center"/>
    </xf>
    <xf numFmtId="38" fontId="23" fillId="0" borderId="77" xfId="48" applyFont="1" applyFill="1" applyBorder="1" applyAlignment="1">
      <alignment horizontal="right" vertical="center"/>
    </xf>
    <xf numFmtId="38" fontId="23" fillId="0" borderId="79" xfId="48" applyFont="1" applyFill="1" applyBorder="1" applyAlignment="1">
      <alignment horizontal="right" vertical="center"/>
    </xf>
    <xf numFmtId="38" fontId="23" fillId="0" borderId="86" xfId="48" applyFont="1" applyFill="1" applyBorder="1" applyAlignment="1">
      <alignment horizontal="right" vertical="center"/>
    </xf>
    <xf numFmtId="38" fontId="23" fillId="0" borderId="76" xfId="48" applyFont="1" applyFill="1" applyBorder="1" applyAlignment="1">
      <alignment horizontal="right" vertical="center"/>
    </xf>
    <xf numFmtId="176" fontId="22" fillId="0" borderId="81" xfId="0" applyNumberFormat="1" applyFont="1" applyFill="1" applyBorder="1" applyAlignment="1">
      <alignment vertical="center"/>
    </xf>
    <xf numFmtId="176" fontId="22" fillId="0" borderId="50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0" fontId="0" fillId="0" borderId="82" xfId="0" applyBorder="1" applyAlignment="1">
      <alignment horizontal="center" vertical="center"/>
    </xf>
    <xf numFmtId="176" fontId="22" fillId="0" borderId="21" xfId="0" applyNumberFormat="1" applyFont="1" applyFill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1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181" fontId="22" fillId="0" borderId="82" xfId="0" applyNumberFormat="1" applyFont="1" applyFill="1" applyBorder="1" applyAlignment="1">
      <alignment vertical="center"/>
    </xf>
    <xf numFmtId="181" fontId="22" fillId="0" borderId="38" xfId="48" applyNumberFormat="1" applyFont="1" applyFill="1" applyBorder="1" applyAlignment="1">
      <alignment vertical="center"/>
    </xf>
    <xf numFmtId="181" fontId="22" fillId="0" borderId="40" xfId="48" applyNumberFormat="1" applyFont="1" applyFill="1" applyBorder="1" applyAlignment="1">
      <alignment vertical="center"/>
    </xf>
    <xf numFmtId="181" fontId="22" fillId="0" borderId="38" xfId="0" applyNumberFormat="1" applyFont="1" applyFill="1" applyBorder="1" applyAlignment="1">
      <alignment vertical="center"/>
    </xf>
    <xf numFmtId="181" fontId="22" fillId="0" borderId="39" xfId="0" applyNumberFormat="1" applyFont="1" applyFill="1" applyBorder="1" applyAlignment="1">
      <alignment vertical="center"/>
    </xf>
    <xf numFmtId="181" fontId="22" fillId="0" borderId="62" xfId="0" applyNumberFormat="1" applyFont="1" applyFill="1" applyBorder="1" applyAlignment="1">
      <alignment vertical="center"/>
    </xf>
    <xf numFmtId="184" fontId="23" fillId="0" borderId="72" xfId="0" applyNumberFormat="1" applyFont="1" applyFill="1" applyBorder="1" applyAlignment="1">
      <alignment horizontal="right" vertical="center"/>
    </xf>
    <xf numFmtId="184" fontId="23" fillId="0" borderId="80" xfId="0" applyNumberFormat="1" applyFont="1" applyFill="1" applyBorder="1" applyAlignment="1">
      <alignment horizontal="right" vertical="center"/>
    </xf>
    <xf numFmtId="184" fontId="23" fillId="0" borderId="23" xfId="0" applyNumberFormat="1" applyFont="1" applyFill="1" applyBorder="1" applyAlignment="1">
      <alignment horizontal="right" vertical="center"/>
    </xf>
    <xf numFmtId="184" fontId="32" fillId="0" borderId="52" xfId="0" applyNumberFormat="1" applyFont="1" applyFill="1" applyBorder="1" applyAlignment="1">
      <alignment vertical="center"/>
    </xf>
    <xf numFmtId="184" fontId="32" fillId="0" borderId="58" xfId="0" applyNumberFormat="1" applyFont="1" applyFill="1" applyBorder="1" applyAlignment="1">
      <alignment vertical="center"/>
    </xf>
    <xf numFmtId="184" fontId="23" fillId="0" borderId="52" xfId="0" applyNumberFormat="1" applyFont="1" applyFill="1" applyBorder="1" applyAlignment="1">
      <alignment vertical="center"/>
    </xf>
    <xf numFmtId="184" fontId="23" fillId="0" borderId="58" xfId="0" applyNumberFormat="1" applyFont="1" applyFill="1" applyBorder="1" applyAlignment="1">
      <alignment vertical="center"/>
    </xf>
    <xf numFmtId="184" fontId="32" fillId="0" borderId="46" xfId="0" applyNumberFormat="1" applyFont="1" applyFill="1" applyBorder="1" applyAlignment="1">
      <alignment vertical="center"/>
    </xf>
    <xf numFmtId="184" fontId="32" fillId="0" borderId="48" xfId="0" applyNumberFormat="1" applyFont="1" applyFill="1" applyBorder="1" applyAlignment="1">
      <alignment vertical="center"/>
    </xf>
    <xf numFmtId="184" fontId="32" fillId="0" borderId="56" xfId="0" applyNumberFormat="1" applyFont="1" applyFill="1" applyBorder="1" applyAlignment="1">
      <alignment vertical="center"/>
    </xf>
    <xf numFmtId="184" fontId="23" fillId="0" borderId="23" xfId="0" applyNumberFormat="1" applyFont="1" applyFill="1" applyBorder="1" applyAlignment="1">
      <alignment vertical="center"/>
    </xf>
    <xf numFmtId="184" fontId="23" fillId="0" borderId="19" xfId="0" applyNumberFormat="1" applyFont="1" applyFill="1" applyBorder="1" applyAlignment="1">
      <alignment vertical="center"/>
    </xf>
    <xf numFmtId="184" fontId="32" fillId="0" borderId="20" xfId="0" applyNumberFormat="1" applyFont="1" applyFill="1" applyBorder="1" applyAlignment="1">
      <alignment vertical="center"/>
    </xf>
    <xf numFmtId="184" fontId="32" fillId="0" borderId="41" xfId="0" applyNumberFormat="1" applyFont="1" applyFill="1" applyBorder="1" applyAlignment="1">
      <alignment horizontal="right" vertical="center"/>
    </xf>
    <xf numFmtId="184" fontId="32" fillId="0" borderId="43" xfId="0" applyNumberFormat="1" applyFont="1" applyFill="1" applyBorder="1" applyAlignment="1">
      <alignment horizontal="right" vertical="center"/>
    </xf>
    <xf numFmtId="184" fontId="32" fillId="0" borderId="42" xfId="0" applyNumberFormat="1" applyFont="1" applyFill="1" applyBorder="1" applyAlignment="1">
      <alignment horizontal="right" vertical="center"/>
    </xf>
    <xf numFmtId="184" fontId="32" fillId="0" borderId="57" xfId="0" applyNumberFormat="1" applyFont="1" applyFill="1" applyBorder="1" applyAlignment="1">
      <alignment horizontal="right" vertical="center"/>
    </xf>
    <xf numFmtId="184" fontId="32" fillId="0" borderId="51" xfId="0" applyNumberFormat="1" applyFont="1" applyFill="1" applyBorder="1" applyAlignment="1">
      <alignment horizontal="right" vertical="center"/>
    </xf>
    <xf numFmtId="184" fontId="32" fillId="0" borderId="50" xfId="0" applyNumberFormat="1" applyFont="1" applyFill="1" applyBorder="1" applyAlignment="1">
      <alignment horizontal="right" vertical="center"/>
    </xf>
    <xf numFmtId="38" fontId="32" fillId="0" borderId="82" xfId="48" applyFont="1" applyFill="1" applyBorder="1" applyAlignment="1">
      <alignment horizontal="right" vertical="center"/>
    </xf>
    <xf numFmtId="184" fontId="32" fillId="0" borderId="38" xfId="0" applyNumberFormat="1" applyFont="1" applyFill="1" applyBorder="1" applyAlignment="1">
      <alignment horizontal="right" vertical="center"/>
    </xf>
    <xf numFmtId="184" fontId="32" fillId="0" borderId="39" xfId="0" applyNumberFormat="1" applyFont="1" applyFill="1" applyBorder="1" applyAlignment="1">
      <alignment horizontal="right" vertical="center"/>
    </xf>
    <xf numFmtId="184" fontId="32" fillId="0" borderId="82" xfId="0" applyNumberFormat="1" applyFont="1" applyFill="1" applyBorder="1" applyAlignment="1">
      <alignment horizontal="right" vertical="center"/>
    </xf>
    <xf numFmtId="179" fontId="22" fillId="0" borderId="29" xfId="42" applyNumberFormat="1" applyFont="1" applyFill="1" applyBorder="1" applyAlignment="1">
      <alignment horizontal="right" vertical="center"/>
    </xf>
    <xf numFmtId="181" fontId="22" fillId="0" borderId="11" xfId="48" applyNumberFormat="1" applyFont="1" applyFill="1" applyBorder="1" applyAlignment="1">
      <alignment/>
    </xf>
    <xf numFmtId="181" fontId="22" fillId="0" borderId="52" xfId="48" applyNumberFormat="1" applyFont="1" applyFill="1" applyBorder="1" applyAlignment="1">
      <alignment/>
    </xf>
    <xf numFmtId="181" fontId="22" fillId="0" borderId="54" xfId="48" applyNumberFormat="1" applyFont="1" applyFill="1" applyBorder="1" applyAlignment="1">
      <alignment/>
    </xf>
    <xf numFmtId="181" fontId="22" fillId="0" borderId="71" xfId="48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81" fontId="22" fillId="0" borderId="26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37" xfId="0" applyNumberFormat="1" applyFont="1" applyFill="1" applyBorder="1" applyAlignment="1">
      <alignment/>
    </xf>
    <xf numFmtId="181" fontId="22" fillId="0" borderId="0" xfId="48" applyNumberFormat="1" applyFont="1" applyFill="1" applyBorder="1" applyAlignment="1">
      <alignment/>
    </xf>
    <xf numFmtId="181" fontId="22" fillId="0" borderId="26" xfId="48" applyNumberFormat="1" applyFont="1" applyFill="1" applyBorder="1" applyAlignment="1">
      <alignment/>
    </xf>
    <xf numFmtId="181" fontId="22" fillId="0" borderId="37" xfId="48" applyNumberFormat="1" applyFont="1" applyFill="1" applyBorder="1" applyAlignment="1">
      <alignment/>
    </xf>
    <xf numFmtId="184" fontId="0" fillId="0" borderId="51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84" fontId="0" fillId="0" borderId="48" xfId="0" applyNumberFormat="1" applyFont="1" applyFill="1" applyBorder="1" applyAlignment="1">
      <alignment vertical="center"/>
    </xf>
    <xf numFmtId="184" fontId="0" fillId="0" borderId="56" xfId="0" applyNumberFormat="1" applyFont="1" applyFill="1" applyBorder="1" applyAlignment="1">
      <alignment vertical="center"/>
    </xf>
    <xf numFmtId="0" fontId="0" fillId="0" borderId="38" xfId="0" applyFill="1" applyBorder="1" applyAlignment="1">
      <alignment/>
    </xf>
    <xf numFmtId="184" fontId="0" fillId="0" borderId="50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51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181" fontId="0" fillId="0" borderId="79" xfId="0" applyNumberFormat="1" applyFont="1" applyFill="1" applyBorder="1" applyAlignment="1">
      <alignment vertical="center"/>
    </xf>
    <xf numFmtId="181" fontId="42" fillId="0" borderId="72" xfId="0" applyNumberFormat="1" applyFont="1" applyFill="1" applyBorder="1" applyAlignment="1">
      <alignment vertical="center"/>
    </xf>
    <xf numFmtId="181" fontId="42" fillId="0" borderId="80" xfId="0" applyNumberFormat="1" applyFont="1" applyFill="1" applyBorder="1" applyAlignment="1">
      <alignment vertical="center"/>
    </xf>
    <xf numFmtId="185" fontId="0" fillId="0" borderId="80" xfId="48" applyNumberFormat="1" applyFont="1" applyFill="1" applyBorder="1" applyAlignment="1">
      <alignment vertical="center"/>
    </xf>
    <xf numFmtId="185" fontId="0" fillId="0" borderId="81" xfId="48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vertical="center"/>
    </xf>
    <xf numFmtId="185" fontId="0" fillId="0" borderId="50" xfId="48" applyNumberFormat="1" applyFont="1" applyFill="1" applyBorder="1" applyAlignment="1">
      <alignment vertical="center"/>
    </xf>
    <xf numFmtId="185" fontId="0" fillId="0" borderId="38" xfId="48" applyNumberFormat="1" applyFont="1" applyFill="1" applyBorder="1" applyAlignment="1">
      <alignment vertical="center"/>
    </xf>
    <xf numFmtId="185" fontId="0" fillId="0" borderId="39" xfId="48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72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distributed" vertical="center"/>
    </xf>
    <xf numFmtId="0" fontId="37" fillId="0" borderId="20" xfId="0" applyFont="1" applyFill="1" applyBorder="1" applyAlignment="1">
      <alignment horizontal="distributed" vertical="center"/>
    </xf>
    <xf numFmtId="181" fontId="0" fillId="0" borderId="76" xfId="48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textRotation="255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79" fontId="22" fillId="0" borderId="23" xfId="0" applyNumberFormat="1" applyFont="1" applyFill="1" applyBorder="1" applyAlignment="1">
      <alignment horizontal="right" vertical="center"/>
    </xf>
    <xf numFmtId="179" fontId="22" fillId="0" borderId="24" xfId="0" applyNumberFormat="1" applyFont="1" applyFill="1" applyBorder="1" applyAlignment="1">
      <alignment horizontal="right" vertical="center"/>
    </xf>
    <xf numFmtId="0" fontId="22" fillId="0" borderId="46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179" fontId="22" fillId="0" borderId="28" xfId="0" applyNumberFormat="1" applyFont="1" applyFill="1" applyBorder="1" applyAlignment="1">
      <alignment horizontal="right" vertical="center"/>
    </xf>
    <xf numFmtId="179" fontId="22" fillId="0" borderId="45" xfId="0" applyNumberFormat="1" applyFont="1" applyFill="1" applyBorder="1" applyAlignment="1">
      <alignment horizontal="right" vertical="center"/>
    </xf>
    <xf numFmtId="179" fontId="22" fillId="0" borderId="25" xfId="0" applyNumberFormat="1" applyFont="1" applyFill="1" applyBorder="1" applyAlignment="1">
      <alignment horizontal="right" vertical="center"/>
    </xf>
    <xf numFmtId="179" fontId="22" fillId="0" borderId="5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179" fontId="22" fillId="0" borderId="19" xfId="0" applyNumberFormat="1" applyFont="1" applyFill="1" applyBorder="1" applyAlignment="1">
      <alignment horizontal="right" vertical="center"/>
    </xf>
    <xf numFmtId="179" fontId="22" fillId="0" borderId="29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textRotation="255"/>
    </xf>
    <xf numFmtId="179" fontId="22" fillId="0" borderId="20" xfId="0" applyNumberFormat="1" applyFont="1" applyFill="1" applyBorder="1" applyAlignment="1">
      <alignment horizontal="right" vertical="center"/>
    </xf>
    <xf numFmtId="179" fontId="22" fillId="0" borderId="40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8" fontId="22" fillId="0" borderId="21" xfId="48" applyFont="1" applyFill="1" applyBorder="1" applyAlignment="1">
      <alignment horizontal="right" vertical="center"/>
    </xf>
    <xf numFmtId="38" fontId="22" fillId="0" borderId="61" xfId="48" applyFont="1" applyFill="1" applyBorder="1" applyAlignment="1">
      <alignment horizontal="right" vertical="center"/>
    </xf>
    <xf numFmtId="38" fontId="22" fillId="0" borderId="23" xfId="48" applyFont="1" applyBorder="1" applyAlignment="1">
      <alignment horizontal="right" vertical="center"/>
    </xf>
    <xf numFmtId="38" fontId="22" fillId="0" borderId="61" xfId="48" applyFont="1" applyBorder="1" applyAlignment="1">
      <alignment horizontal="right" vertical="center"/>
    </xf>
    <xf numFmtId="38" fontId="22" fillId="0" borderId="52" xfId="48" applyFont="1" applyFill="1" applyBorder="1" applyAlignment="1">
      <alignment horizontal="right" vertical="center"/>
    </xf>
    <xf numFmtId="38" fontId="22" fillId="0" borderId="58" xfId="48" applyFont="1" applyFill="1" applyBorder="1" applyAlignment="1">
      <alignment horizontal="right" vertical="center"/>
    </xf>
    <xf numFmtId="38" fontId="22" fillId="0" borderId="19" xfId="48" applyFont="1" applyBorder="1" applyAlignment="1">
      <alignment horizontal="right" vertical="center"/>
    </xf>
    <xf numFmtId="38" fontId="22" fillId="0" borderId="58" xfId="48" applyFont="1" applyBorder="1" applyAlignment="1">
      <alignment horizontal="right" vertical="center"/>
    </xf>
    <xf numFmtId="38" fontId="22" fillId="0" borderId="71" xfId="48" applyFont="1" applyFill="1" applyBorder="1" applyAlignment="1">
      <alignment horizontal="right" vertical="center"/>
    </xf>
    <xf numFmtId="38" fontId="22" fillId="0" borderId="62" xfId="48" applyFont="1" applyFill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38" fontId="22" fillId="0" borderId="62" xfId="48" applyFont="1" applyBorder="1" applyAlignment="1">
      <alignment horizontal="right" vertical="center"/>
    </xf>
    <xf numFmtId="0" fontId="22" fillId="0" borderId="7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2" fillId="0" borderId="5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0" fillId="0" borderId="0" xfId="0" applyAlignment="1">
      <alignment/>
    </xf>
    <xf numFmtId="184" fontId="22" fillId="0" borderId="84" xfId="0" applyNumberFormat="1" applyFont="1" applyFill="1" applyBorder="1" applyAlignment="1">
      <alignment horizontal="distributed" vertical="center"/>
    </xf>
    <xf numFmtId="184" fontId="22" fillId="0" borderId="70" xfId="0" applyNumberFormat="1" applyFont="1" applyFill="1" applyBorder="1" applyAlignment="1">
      <alignment horizontal="distributed" vertical="center"/>
    </xf>
    <xf numFmtId="0" fontId="22" fillId="0" borderId="84" xfId="0" applyFont="1" applyBorder="1" applyAlignment="1">
      <alignment horizontal="distributed" vertical="center"/>
    </xf>
    <xf numFmtId="0" fontId="22" fillId="0" borderId="70" xfId="0" applyFont="1" applyBorder="1" applyAlignment="1">
      <alignment horizontal="distributed" vertical="center"/>
    </xf>
    <xf numFmtId="184" fontId="32" fillId="0" borderId="84" xfId="0" applyNumberFormat="1" applyFont="1" applyFill="1" applyBorder="1" applyAlignment="1">
      <alignment horizontal="distributed" vertical="center"/>
    </xf>
    <xf numFmtId="184" fontId="32" fillId="0" borderId="70" xfId="0" applyNumberFormat="1" applyFont="1" applyFill="1" applyBorder="1" applyAlignment="1">
      <alignment horizontal="distributed" vertical="center"/>
    </xf>
    <xf numFmtId="184" fontId="60" fillId="0" borderId="88" xfId="0" applyNumberFormat="1" applyFont="1" applyFill="1" applyBorder="1" applyAlignment="1">
      <alignment horizontal="right" vertical="center"/>
    </xf>
    <xf numFmtId="184" fontId="60" fillId="0" borderId="13" xfId="0" applyNumberFormat="1" applyFont="1" applyFill="1" applyBorder="1" applyAlignment="1">
      <alignment horizontal="right" vertical="center"/>
    </xf>
    <xf numFmtId="184" fontId="60" fillId="0" borderId="19" xfId="0" applyNumberFormat="1" applyFont="1" applyFill="1" applyBorder="1" applyAlignment="1">
      <alignment horizontal="right" vertical="center"/>
    </xf>
    <xf numFmtId="184" fontId="60" fillId="0" borderId="29" xfId="0" applyNumberFormat="1" applyFont="1" applyFill="1" applyBorder="1" applyAlignment="1">
      <alignment horizontal="right" vertical="center"/>
    </xf>
    <xf numFmtId="184" fontId="60" fillId="0" borderId="28" xfId="0" applyNumberFormat="1" applyFont="1" applyFill="1" applyBorder="1" applyAlignment="1">
      <alignment horizontal="right" vertical="center"/>
    </xf>
    <xf numFmtId="184" fontId="60" fillId="0" borderId="45" xfId="0" applyNumberFormat="1" applyFont="1" applyFill="1" applyBorder="1" applyAlignment="1">
      <alignment horizontal="right" vertical="center"/>
    </xf>
    <xf numFmtId="184" fontId="60" fillId="0" borderId="77" xfId="0" applyNumberFormat="1" applyFont="1" applyFill="1" applyBorder="1" applyAlignment="1">
      <alignment horizontal="right" vertical="center"/>
    </xf>
    <xf numFmtId="184" fontId="60" fillId="0" borderId="74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0" fontId="22" fillId="0" borderId="35" xfId="0" applyFont="1" applyBorder="1" applyAlignment="1">
      <alignment horizontal="distributed" vertical="center"/>
    </xf>
    <xf numFmtId="184" fontId="22" fillId="0" borderId="31" xfId="0" applyNumberFormat="1" applyFont="1" applyFill="1" applyBorder="1" applyAlignment="1">
      <alignment horizontal="distributed" vertical="center"/>
    </xf>
    <xf numFmtId="184" fontId="22" fillId="0" borderId="35" xfId="0" applyNumberFormat="1" applyFont="1" applyFill="1" applyBorder="1" applyAlignment="1">
      <alignment horizontal="distributed" vertical="center"/>
    </xf>
    <xf numFmtId="0" fontId="32" fillId="0" borderId="32" xfId="0" applyFont="1" applyBorder="1" applyAlignment="1">
      <alignment horizontal="distributed" vertical="center"/>
    </xf>
    <xf numFmtId="0" fontId="32" fillId="0" borderId="36" xfId="0" applyFont="1" applyBorder="1" applyAlignment="1">
      <alignment horizontal="distributed" vertical="center"/>
    </xf>
    <xf numFmtId="184" fontId="22" fillId="0" borderId="88" xfId="0" applyNumberFormat="1" applyFont="1" applyFill="1" applyBorder="1" applyAlignment="1">
      <alignment horizontal="distributed" vertical="center"/>
    </xf>
    <xf numFmtId="184" fontId="22" fillId="0" borderId="13" xfId="0" applyNumberFormat="1" applyFont="1" applyFill="1" applyBorder="1" applyAlignment="1">
      <alignment horizontal="distributed" vertical="center"/>
    </xf>
    <xf numFmtId="184" fontId="22" fillId="0" borderId="30" xfId="0" applyNumberFormat="1" applyFont="1" applyFill="1" applyBorder="1" applyAlignment="1">
      <alignment horizontal="distributed" vertical="center"/>
    </xf>
    <xf numFmtId="184" fontId="22" fillId="0" borderId="15" xfId="0" applyNumberFormat="1" applyFont="1" applyFill="1" applyBorder="1" applyAlignment="1">
      <alignment horizontal="distributed" vertical="center"/>
    </xf>
    <xf numFmtId="0" fontId="32" fillId="0" borderId="84" xfId="0" applyFont="1" applyBorder="1" applyAlignment="1">
      <alignment horizontal="distributed" vertical="center"/>
    </xf>
    <xf numFmtId="0" fontId="32" fillId="0" borderId="70" xfId="0" applyFont="1" applyBorder="1" applyAlignment="1">
      <alignment horizontal="distributed" vertical="center"/>
    </xf>
    <xf numFmtId="0" fontId="22" fillId="0" borderId="6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36" fillId="0" borderId="10" xfId="0" applyFont="1" applyBorder="1" applyAlignment="1">
      <alignment horizontal="right"/>
    </xf>
    <xf numFmtId="0" fontId="0" fillId="0" borderId="8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6" fillId="0" borderId="72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7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8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Relationship Id="rId2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各区における人口及び事故件数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1575"/>
          <c:w val="0.7765"/>
          <c:h val="0.733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'★６ページ（行政区別）'!$Q$6:$Q$29</c:f>
              <c:numCache/>
            </c:numRef>
          </c:val>
        </c:ser>
        <c:axId val="50356165"/>
        <c:axId val="50552302"/>
      </c:barChart>
      <c:lineChart>
        <c:grouping val="standard"/>
        <c:varyColors val="0"/>
        <c:ser>
          <c:idx val="0"/>
          <c:order val="1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'★６ページ（行政区別）'!$R$6:$R$29</c:f>
              <c:numCache/>
            </c:numRef>
          </c:val>
          <c:smooth val="0"/>
        </c:ser>
        <c:axId val="52317535"/>
        <c:axId val="1095768"/>
      </c:lineChart>
      <c:cat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区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2302"/>
        <c:crosses val="autoZero"/>
        <c:auto val="0"/>
        <c:lblOffset val="100"/>
        <c:tickLblSkip val="1"/>
        <c:tickMarkSkip val="2"/>
        <c:noMultiLvlLbl val="0"/>
      </c:catAx>
      <c:valAx>
        <c:axId val="50552302"/>
        <c:scaling>
          <c:orientation val="minMax"/>
          <c:max val="2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56165"/>
        <c:crossesAt val="1"/>
        <c:crossBetween val="between"/>
        <c:dispUnits/>
      </c:valAx>
      <c:catAx>
        <c:axId val="523175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5768"/>
        <c:crosses val="autoZero"/>
        <c:auto val="0"/>
        <c:lblOffset val="100"/>
        <c:tickLblSkip val="1"/>
        <c:noMultiLvlLbl val="0"/>
      </c:catAx>
      <c:valAx>
        <c:axId val="1095768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"/>
          <c:y val="0.933"/>
          <c:w val="0.195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道路種別交通事故発生件数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625"/>
          <c:w val="0.788"/>
          <c:h val="0.748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'★７ページの最初の項目用'!$B$6:$C$6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'★７ページの最初の項目用'!$B$7:$C$7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'★７ページの最初の項目用'!$B$8:$C$8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'★７ページの最初の項目用'!$B$9:$C$9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'★７ページの最初の項目用'!$B$10:$C$10</c:f>
              <c:numCache/>
            </c:numRef>
          </c:val>
        </c:ser>
        <c:overlap val="100"/>
        <c:axId val="9861913"/>
        <c:axId val="21648354"/>
      </c:barChart>
      <c:catAx>
        <c:axId val="9861913"/>
        <c:scaling>
          <c:orientation val="minMax"/>
        </c:scaling>
        <c:axPos val="l"/>
        <c:delete val="1"/>
        <c:majorTickMark val="out"/>
        <c:minorTickMark val="none"/>
        <c:tickLblPos val="nextTo"/>
        <c:crossAx val="21648354"/>
        <c:crosses val="autoZero"/>
        <c:auto val="0"/>
        <c:lblOffset val="100"/>
        <c:tickLblSkip val="1"/>
        <c:noMultiLvlLbl val="0"/>
      </c:catAx>
      <c:valAx>
        <c:axId val="21648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6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道路種別死亡事故死者数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65"/>
          <c:w val="0.769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'★７ページの最初の項目用'!$D$6:$E$6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'★７ページの最初の項目用'!$D$7:$E$7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'★７ページの最初の項目用'!$D$8:$E$8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'★７ページの最初の項目用'!$D$9:$E$9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'★７ページの最初の項目用'!$D$10:$E$10</c:f>
              <c:numCache/>
            </c:numRef>
          </c:val>
        </c:ser>
        <c:overlap val="100"/>
        <c:axId val="60617459"/>
        <c:axId val="8686220"/>
      </c:barChart>
      <c:catAx>
        <c:axId val="60617459"/>
        <c:scaling>
          <c:orientation val="minMax"/>
        </c:scaling>
        <c:axPos val="l"/>
        <c:delete val="1"/>
        <c:majorTickMark val="out"/>
        <c:minorTickMark val="none"/>
        <c:tickLblPos val="nextTo"/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0225"/>
          <c:w val="0.80725"/>
          <c:h val="0.744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'★７ページの最初の項目用'!$F$6:$G$6</c:f>
              <c:numCache/>
            </c:numRef>
          </c:val>
        </c:ser>
        <c:ser>
          <c:idx val="1"/>
          <c:order val="1"/>
          <c:tx>
            <c:v>主要地方道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'★７ページの最初の項目用'!$F$7:$G$7</c:f>
              <c:numCache/>
            </c:numRef>
          </c:val>
        </c:ser>
        <c:ser>
          <c:idx val="2"/>
          <c:order val="2"/>
          <c:tx>
            <c:v>一般府道</c:v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'★７ページの最初の項目用'!$F$8:$G$8</c:f>
              <c:numCache/>
            </c:numRef>
          </c:val>
        </c:ser>
        <c:ser>
          <c:idx val="3"/>
          <c:order val="3"/>
          <c:tx>
            <c:v>大阪市道</c:v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'★７ページの最初の項目用'!$F$9:$G$9</c:f>
              <c:numCache/>
            </c:numRef>
          </c:val>
        </c:ser>
        <c:ser>
          <c:idx val="4"/>
          <c:order val="4"/>
          <c:tx>
            <c:v>その他</c:v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'★７ページの最初の項目用'!$F$10:$G$10</c:f>
              <c:numCache/>
            </c:numRef>
          </c:val>
        </c:ser>
        <c:overlap val="100"/>
        <c:axId val="11067117"/>
        <c:axId val="32495190"/>
      </c:barChart>
      <c:catAx>
        <c:axId val="11067117"/>
        <c:scaling>
          <c:orientation val="minMax"/>
        </c:scaling>
        <c:axPos val="l"/>
        <c:delete val="1"/>
        <c:majorTickMark val="out"/>
        <c:minorTickMark val="none"/>
        <c:tickLblPos val="nextTo"/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7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昼夜別交通事故件数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005"/>
          <c:w val="0.79875"/>
          <c:h val="0.737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('★11ページ（時間別）'!$E$6,'★11ページ（時間別）'!$E$7)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('★11ページ（時間別）'!$H$6,'★11ページ（時間別）'!$H$7)</c:f>
              <c:numCache/>
            </c:numRef>
          </c:val>
        </c:ser>
        <c:overlap val="100"/>
        <c:axId val="24021255"/>
        <c:axId val="14864704"/>
      </c:barChart>
      <c:catAx>
        <c:axId val="2402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4704"/>
        <c:crosses val="autoZero"/>
        <c:auto val="0"/>
        <c:lblOffset val="100"/>
        <c:tickLblSkip val="1"/>
        <c:noMultiLvlLbl val="0"/>
      </c:catAx>
      <c:valAx>
        <c:axId val="14864704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9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22"/>
          <c:w val="0.76475"/>
          <c:h val="0.711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'★11ページ（時間別）'!$E$8:$E$9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'★11ページ（時間別）'!$H$8:$H$9</c:f>
              <c:numCache/>
            </c:numRef>
          </c:val>
        </c:ser>
        <c:overlap val="100"/>
        <c:axId val="66673473"/>
        <c:axId val="63190346"/>
      </c:barChart>
      <c:catAx>
        <c:axId val="66673473"/>
        <c:scaling>
          <c:orientation val="minMax"/>
        </c:scaling>
        <c:axPos val="l"/>
        <c:delete val="1"/>
        <c:majorTickMark val="out"/>
        <c:minorTickMark val="none"/>
        <c:tickLblPos val="nextTo"/>
        <c:crossAx val="63190346"/>
        <c:crosses val="autoZero"/>
        <c:auto val="0"/>
        <c:lblOffset val="100"/>
        <c:tickLblSkip val="1"/>
        <c:noMultiLvlLbl val="0"/>
      </c:catAx>
      <c:valAx>
        <c:axId val="631903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3125"/>
          <c:w val="0.113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175"/>
          <c:w val="0.79"/>
          <c:h val="0.735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'★11ページ（時間別）'!$E$10:$E$11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'★11ページ（時間別）'!$H$10:$H$11</c:f>
              <c:numCache/>
            </c:numRef>
          </c:val>
        </c:ser>
        <c:overlap val="100"/>
        <c:axId val="31842203"/>
        <c:axId val="18144372"/>
      </c:barChart>
      <c:catAx>
        <c:axId val="31842203"/>
        <c:scaling>
          <c:orientation val="minMax"/>
        </c:scaling>
        <c:axPos val="l"/>
        <c:delete val="1"/>
        <c:majorTickMark val="out"/>
        <c:minorTickMark val="none"/>
        <c:tickLblPos val="nextTo"/>
        <c:crossAx val="18144372"/>
        <c:crosses val="autoZero"/>
        <c:auto val="0"/>
        <c:lblOffset val="100"/>
        <c:tickLblSkip val="1"/>
        <c:noMultiLvlLbl val="0"/>
      </c:catAx>
      <c:valAx>
        <c:axId val="181443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42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575"/>
          <c:w val="0.106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8225"/>
          <c:w val="0.49075"/>
          <c:h val="0.82775"/>
        </c:manualLayout>
      </c:layout>
      <c:radarChart>
        <c:radarStyle val="marker"/>
        <c:varyColors val="0"/>
        <c:ser>
          <c:idx val="0"/>
          <c:order val="0"/>
          <c:tx>
            <c:v>件数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'★12ページ（時間道路別）'!$C$5:$C$28</c:f>
              <c:numCache/>
            </c:numRef>
          </c:val>
        </c:ser>
        <c:ser>
          <c:idx val="1"/>
          <c:order val="1"/>
          <c:tx>
            <c:v>負傷者数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'★12ページ（時間道路別）'!$I$5:$I$28</c:f>
              <c:numCache/>
            </c:numRef>
          </c:val>
        </c:ser>
        <c:axId val="29081621"/>
        <c:axId val="60407998"/>
      </c:radarChart>
      <c:catAx>
        <c:axId val="290816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 val="autoZero"/>
        <c:auto val="0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34775"/>
          <c:w val="0.246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71525"/>
          <a:ext cx="1190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0</xdr:colOff>
      <xdr:row>26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124575"/>
          <a:ext cx="2152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66675</xdr:rowOff>
    </xdr:from>
    <xdr:to>
      <xdr:col>7</xdr:col>
      <xdr:colOff>552450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66675" y="2590800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38100</xdr:rowOff>
    </xdr:from>
    <xdr:to>
      <xdr:col>7</xdr:col>
      <xdr:colOff>561975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6675" y="4619625"/>
        <a:ext cx="62769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37</xdr:row>
      <xdr:rowOff>28575</xdr:rowOff>
    </xdr:from>
    <xdr:to>
      <xdr:col>7</xdr:col>
      <xdr:colOff>542925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76200" y="6838950"/>
        <a:ext cx="62484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180975</xdr:colOff>
      <xdr:row>15</xdr:row>
      <xdr:rowOff>85725</xdr:rowOff>
    </xdr:from>
    <xdr:ext cx="609600" cy="257175"/>
    <xdr:sp>
      <xdr:nvSpPr>
        <xdr:cNvPr id="4" name="Text Box 4"/>
        <xdr:cNvSpPr txBox="1">
          <a:spLocks noChangeArrowheads="1"/>
        </xdr:cNvSpPr>
      </xdr:nvSpPr>
      <xdr:spPr>
        <a:xfrm>
          <a:off x="180975" y="3124200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xdr:txBody>
    </xdr:sp>
    <xdr:clientData/>
  </xdr:oneCellAnchor>
  <xdr:oneCellAnchor>
    <xdr:from>
      <xdr:col>0</xdr:col>
      <xdr:colOff>190500</xdr:colOff>
      <xdr:row>18</xdr:row>
      <xdr:rowOff>142875</xdr:rowOff>
    </xdr:from>
    <xdr:ext cx="609600" cy="209550"/>
    <xdr:sp>
      <xdr:nvSpPr>
        <xdr:cNvPr id="5" name="Text Box 5"/>
        <xdr:cNvSpPr txBox="1">
          <a:spLocks noChangeArrowheads="1"/>
        </xdr:cNvSpPr>
      </xdr:nvSpPr>
      <xdr:spPr>
        <a:xfrm>
          <a:off x="190500" y="36957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xdr:txBody>
    </xdr:sp>
    <xdr:clientData/>
  </xdr:oneCellAnchor>
  <xdr:twoCellAnchor>
    <xdr:from>
      <xdr:col>1</xdr:col>
      <xdr:colOff>161925</xdr:colOff>
      <xdr:row>19</xdr:row>
      <xdr:rowOff>9525</xdr:rowOff>
    </xdr:from>
    <xdr:to>
      <xdr:col>1</xdr:col>
      <xdr:colOff>657225</xdr:colOff>
      <xdr:row>19</xdr:row>
      <xdr:rowOff>142875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1057275" y="3733800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409575</xdr:colOff>
      <xdr:row>15</xdr:row>
      <xdr:rowOff>152400</xdr:rowOff>
    </xdr:from>
    <xdr:ext cx="523875" cy="133350"/>
    <xdr:sp>
      <xdr:nvSpPr>
        <xdr:cNvPr id="7" name="テキスト ボックス 1"/>
        <xdr:cNvSpPr txBox="1">
          <a:spLocks noChangeArrowheads="1"/>
        </xdr:cNvSpPr>
      </xdr:nvSpPr>
      <xdr:spPr>
        <a:xfrm>
          <a:off x="2095500" y="319087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352425</xdr:colOff>
      <xdr:row>19</xdr:row>
      <xdr:rowOff>9525</xdr:rowOff>
    </xdr:from>
    <xdr:ext cx="523875" cy="133350"/>
    <xdr:sp>
      <xdr:nvSpPr>
        <xdr:cNvPr id="8" name="テキスト ボックス 1"/>
        <xdr:cNvSpPr txBox="1">
          <a:spLocks noChangeArrowheads="1"/>
        </xdr:cNvSpPr>
      </xdr:nvSpPr>
      <xdr:spPr>
        <a:xfrm>
          <a:off x="2038350" y="373380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304800</xdr:colOff>
      <xdr:row>14</xdr:row>
      <xdr:rowOff>133350</xdr:rowOff>
    </xdr:from>
    <xdr:to>
      <xdr:col>3</xdr:col>
      <xdr:colOff>714375</xdr:colOff>
      <xdr:row>15</xdr:row>
      <xdr:rowOff>76200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828925" y="30003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219075</xdr:colOff>
      <xdr:row>18</xdr:row>
      <xdr:rowOff>0</xdr:rowOff>
    </xdr:from>
    <xdr:to>
      <xdr:col>3</xdr:col>
      <xdr:colOff>628650</xdr:colOff>
      <xdr:row>18</xdr:row>
      <xdr:rowOff>123825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2743200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714375</xdr:colOff>
      <xdr:row>14</xdr:row>
      <xdr:rowOff>133350</xdr:rowOff>
    </xdr:from>
    <xdr:to>
      <xdr:col>4</xdr:col>
      <xdr:colOff>295275</xdr:colOff>
      <xdr:row>15</xdr:row>
      <xdr:rowOff>76200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238500" y="30003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628650</xdr:colOff>
      <xdr:row>18</xdr:row>
      <xdr:rowOff>0</xdr:rowOff>
    </xdr:from>
    <xdr:to>
      <xdr:col>4</xdr:col>
      <xdr:colOff>209550</xdr:colOff>
      <xdr:row>18</xdr:row>
      <xdr:rowOff>123825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3152775" y="355282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704850</xdr:colOff>
      <xdr:row>15</xdr:row>
      <xdr:rowOff>152400</xdr:rowOff>
    </xdr:from>
    <xdr:ext cx="304800" cy="133350"/>
    <xdr:sp>
      <xdr:nvSpPr>
        <xdr:cNvPr id="13" name="テキスト ボックス 1"/>
        <xdr:cNvSpPr txBox="1">
          <a:spLocks noChangeArrowheads="1"/>
        </xdr:cNvSpPr>
      </xdr:nvSpPr>
      <xdr:spPr>
        <a:xfrm>
          <a:off x="4057650" y="31908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714375</xdr:colOff>
      <xdr:row>19</xdr:row>
      <xdr:rowOff>9525</xdr:rowOff>
    </xdr:from>
    <xdr:ext cx="304800" cy="133350"/>
    <xdr:sp>
      <xdr:nvSpPr>
        <xdr:cNvPr id="14" name="テキスト ボックス 1"/>
        <xdr:cNvSpPr txBox="1">
          <a:spLocks noChangeArrowheads="1"/>
        </xdr:cNvSpPr>
      </xdr:nvSpPr>
      <xdr:spPr>
        <a:xfrm>
          <a:off x="4067175" y="37338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47625</xdr:colOff>
      <xdr:row>28</xdr:row>
      <xdr:rowOff>28575</xdr:rowOff>
    </xdr:from>
    <xdr:to>
      <xdr:col>1</xdr:col>
      <xdr:colOff>495300</xdr:colOff>
      <xdr:row>28</xdr:row>
      <xdr:rowOff>133350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942975" y="5295900"/>
          <a:ext cx="4476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19050</xdr:colOff>
      <xdr:row>31</xdr:row>
      <xdr:rowOff>152400</xdr:rowOff>
    </xdr:from>
    <xdr:to>
      <xdr:col>1</xdr:col>
      <xdr:colOff>514350</xdr:colOff>
      <xdr:row>32</xdr:row>
      <xdr:rowOff>95250</xdr:rowOff>
    </xdr:to>
    <xdr:sp>
      <xdr:nvSpPr>
        <xdr:cNvPr id="16" name="テキスト ボックス 1"/>
        <xdr:cNvSpPr txBox="1">
          <a:spLocks noChangeArrowheads="1"/>
        </xdr:cNvSpPr>
      </xdr:nvSpPr>
      <xdr:spPr>
        <a:xfrm>
          <a:off x="914400" y="5934075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352425</xdr:colOff>
      <xdr:row>28</xdr:row>
      <xdr:rowOff>9525</xdr:rowOff>
    </xdr:from>
    <xdr:ext cx="523875" cy="133350"/>
    <xdr:sp>
      <xdr:nvSpPr>
        <xdr:cNvPr id="17" name="テキスト ボックス 1"/>
        <xdr:cNvSpPr txBox="1">
          <a:spLocks noChangeArrowheads="1"/>
        </xdr:cNvSpPr>
      </xdr:nvSpPr>
      <xdr:spPr>
        <a:xfrm>
          <a:off x="2038350" y="527685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104775</xdr:colOff>
      <xdr:row>31</xdr:row>
      <xdr:rowOff>133350</xdr:rowOff>
    </xdr:from>
    <xdr:ext cx="523875" cy="133350"/>
    <xdr:sp>
      <xdr:nvSpPr>
        <xdr:cNvPr id="18" name="テキスト ボックス 1"/>
        <xdr:cNvSpPr txBox="1">
          <a:spLocks noChangeArrowheads="1"/>
        </xdr:cNvSpPr>
      </xdr:nvSpPr>
      <xdr:spPr>
        <a:xfrm>
          <a:off x="1790700" y="591502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209550</xdr:colOff>
      <xdr:row>26</xdr:row>
      <xdr:rowOff>171450</xdr:rowOff>
    </xdr:from>
    <xdr:to>
      <xdr:col>3</xdr:col>
      <xdr:colOff>619125</xdr:colOff>
      <xdr:row>27</xdr:row>
      <xdr:rowOff>114300</xdr:rowOff>
    </xdr:to>
    <xdr:sp>
      <xdr:nvSpPr>
        <xdr:cNvPr id="19" name="テキスト ボックス 1"/>
        <xdr:cNvSpPr txBox="1">
          <a:spLocks noChangeArrowheads="1"/>
        </xdr:cNvSpPr>
      </xdr:nvSpPr>
      <xdr:spPr>
        <a:xfrm>
          <a:off x="2733675" y="50958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2</xdr:col>
      <xdr:colOff>819150</xdr:colOff>
      <xdr:row>30</xdr:row>
      <xdr:rowOff>95250</xdr:rowOff>
    </xdr:from>
    <xdr:to>
      <xdr:col>3</xdr:col>
      <xdr:colOff>390525</xdr:colOff>
      <xdr:row>31</xdr:row>
      <xdr:rowOff>38100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2505075" y="57054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390525</xdr:colOff>
      <xdr:row>30</xdr:row>
      <xdr:rowOff>95250</xdr:rowOff>
    </xdr:from>
    <xdr:to>
      <xdr:col>3</xdr:col>
      <xdr:colOff>800100</xdr:colOff>
      <xdr:row>31</xdr:row>
      <xdr:rowOff>38100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2914650" y="57054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638175</xdr:colOff>
      <xdr:row>26</xdr:row>
      <xdr:rowOff>161925</xdr:rowOff>
    </xdr:from>
    <xdr:to>
      <xdr:col>4</xdr:col>
      <xdr:colOff>219075</xdr:colOff>
      <xdr:row>27</xdr:row>
      <xdr:rowOff>104775</xdr:rowOff>
    </xdr:to>
    <xdr:sp>
      <xdr:nvSpPr>
        <xdr:cNvPr id="22" name="テキスト ボックス 1"/>
        <xdr:cNvSpPr txBox="1">
          <a:spLocks noChangeArrowheads="1"/>
        </xdr:cNvSpPr>
      </xdr:nvSpPr>
      <xdr:spPr>
        <a:xfrm>
          <a:off x="3162300" y="50863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514350</xdr:colOff>
      <xdr:row>28</xdr:row>
      <xdr:rowOff>19050</xdr:rowOff>
    </xdr:from>
    <xdr:ext cx="304800" cy="133350"/>
    <xdr:sp>
      <xdr:nvSpPr>
        <xdr:cNvPr id="23" name="テキスト ボックス 1"/>
        <xdr:cNvSpPr txBox="1">
          <a:spLocks noChangeArrowheads="1"/>
        </xdr:cNvSpPr>
      </xdr:nvSpPr>
      <xdr:spPr>
        <a:xfrm>
          <a:off x="3867150" y="52863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304800</xdr:colOff>
      <xdr:row>31</xdr:row>
      <xdr:rowOff>123825</xdr:rowOff>
    </xdr:from>
    <xdr:ext cx="304800" cy="133350"/>
    <xdr:sp>
      <xdr:nvSpPr>
        <xdr:cNvPr id="24" name="テキスト ボックス 1"/>
        <xdr:cNvSpPr txBox="1">
          <a:spLocks noChangeArrowheads="1"/>
        </xdr:cNvSpPr>
      </xdr:nvSpPr>
      <xdr:spPr>
        <a:xfrm>
          <a:off x="3657600" y="590550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5</xdr:col>
      <xdr:colOff>57150</xdr:colOff>
      <xdr:row>40</xdr:row>
      <xdr:rowOff>161925</xdr:rowOff>
    </xdr:from>
    <xdr:ext cx="304800" cy="133350"/>
    <xdr:sp>
      <xdr:nvSpPr>
        <xdr:cNvPr id="25" name="テキスト ボックス 1"/>
        <xdr:cNvSpPr txBox="1">
          <a:spLocks noChangeArrowheads="1"/>
        </xdr:cNvSpPr>
      </xdr:nvSpPr>
      <xdr:spPr>
        <a:xfrm>
          <a:off x="4229100" y="7486650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638175</xdr:colOff>
      <xdr:row>44</xdr:row>
      <xdr:rowOff>57150</xdr:rowOff>
    </xdr:from>
    <xdr:ext cx="304800" cy="133350"/>
    <xdr:sp>
      <xdr:nvSpPr>
        <xdr:cNvPr id="26" name="テキスト ボックス 1"/>
        <xdr:cNvSpPr txBox="1">
          <a:spLocks noChangeArrowheads="1"/>
        </xdr:cNvSpPr>
      </xdr:nvSpPr>
      <xdr:spPr>
        <a:xfrm>
          <a:off x="3990975" y="8067675"/>
          <a:ext cx="304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266700</xdr:colOff>
      <xdr:row>41</xdr:row>
      <xdr:rowOff>9525</xdr:rowOff>
    </xdr:from>
    <xdr:to>
      <xdr:col>1</xdr:col>
      <xdr:colOff>742950</xdr:colOff>
      <xdr:row>41</xdr:row>
      <xdr:rowOff>123825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1162050" y="7505700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228600</xdr:colOff>
      <xdr:row>44</xdr:row>
      <xdr:rowOff>76200</xdr:rowOff>
    </xdr:from>
    <xdr:to>
      <xdr:col>1</xdr:col>
      <xdr:colOff>704850</xdr:colOff>
      <xdr:row>45</xdr:row>
      <xdr:rowOff>19050</xdr:rowOff>
    </xdr:to>
    <xdr:sp>
      <xdr:nvSpPr>
        <xdr:cNvPr id="28" name="テキスト ボックス 1"/>
        <xdr:cNvSpPr txBox="1">
          <a:spLocks noChangeArrowheads="1"/>
        </xdr:cNvSpPr>
      </xdr:nvSpPr>
      <xdr:spPr>
        <a:xfrm>
          <a:off x="1123950" y="8086725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609600</xdr:colOff>
      <xdr:row>40</xdr:row>
      <xdr:rowOff>152400</xdr:rowOff>
    </xdr:from>
    <xdr:ext cx="523875" cy="133350"/>
    <xdr:sp>
      <xdr:nvSpPr>
        <xdr:cNvPr id="29" name="テキスト ボックス 1"/>
        <xdr:cNvSpPr txBox="1">
          <a:spLocks noChangeArrowheads="1"/>
        </xdr:cNvSpPr>
      </xdr:nvSpPr>
      <xdr:spPr>
        <a:xfrm>
          <a:off x="2295525" y="7477125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514350</xdr:colOff>
      <xdr:row>44</xdr:row>
      <xdr:rowOff>38100</xdr:rowOff>
    </xdr:from>
    <xdr:ext cx="561975" cy="133350"/>
    <xdr:sp>
      <xdr:nvSpPr>
        <xdr:cNvPr id="30" name="テキスト ボックス 1"/>
        <xdr:cNvSpPr txBox="1">
          <a:spLocks noChangeArrowheads="1"/>
        </xdr:cNvSpPr>
      </xdr:nvSpPr>
      <xdr:spPr>
        <a:xfrm>
          <a:off x="2200275" y="8048625"/>
          <a:ext cx="561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352425</xdr:colOff>
      <xdr:row>43</xdr:row>
      <xdr:rowOff>28575</xdr:rowOff>
    </xdr:from>
    <xdr:to>
      <xdr:col>3</xdr:col>
      <xdr:colOff>762000</xdr:colOff>
      <xdr:row>43</xdr:row>
      <xdr:rowOff>142875</xdr:rowOff>
    </xdr:to>
    <xdr:sp>
      <xdr:nvSpPr>
        <xdr:cNvPr id="31" name="テキスト ボックス 1"/>
        <xdr:cNvSpPr txBox="1">
          <a:spLocks noChangeArrowheads="1"/>
        </xdr:cNvSpPr>
      </xdr:nvSpPr>
      <xdr:spPr>
        <a:xfrm>
          <a:off x="2876550" y="78676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457200</xdr:colOff>
      <xdr:row>39</xdr:row>
      <xdr:rowOff>142875</xdr:rowOff>
    </xdr:from>
    <xdr:to>
      <xdr:col>4</xdr:col>
      <xdr:colOff>38100</xdr:colOff>
      <xdr:row>40</xdr:row>
      <xdr:rowOff>95250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2981325" y="7296150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4</xdr:col>
      <xdr:colOff>57150</xdr:colOff>
      <xdr:row>39</xdr:row>
      <xdr:rowOff>142875</xdr:rowOff>
    </xdr:from>
    <xdr:to>
      <xdr:col>4</xdr:col>
      <xdr:colOff>466725</xdr:colOff>
      <xdr:row>40</xdr:row>
      <xdr:rowOff>95250</xdr:rowOff>
    </xdr:to>
    <xdr:sp>
      <xdr:nvSpPr>
        <xdr:cNvPr id="33" name="テキスト ボックス 1"/>
        <xdr:cNvSpPr txBox="1">
          <a:spLocks noChangeArrowheads="1"/>
        </xdr:cNvSpPr>
      </xdr:nvSpPr>
      <xdr:spPr>
        <a:xfrm>
          <a:off x="3409950" y="7296150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771525</xdr:colOff>
      <xdr:row>43</xdr:row>
      <xdr:rowOff>28575</xdr:rowOff>
    </xdr:from>
    <xdr:to>
      <xdr:col>4</xdr:col>
      <xdr:colOff>352425</xdr:colOff>
      <xdr:row>43</xdr:row>
      <xdr:rowOff>142875</xdr:rowOff>
    </xdr:to>
    <xdr:sp>
      <xdr:nvSpPr>
        <xdr:cNvPr id="34" name="テキスト ボックス 1"/>
        <xdr:cNvSpPr txBox="1">
          <a:spLocks noChangeArrowheads="1"/>
        </xdr:cNvSpPr>
      </xdr:nvSpPr>
      <xdr:spPr>
        <a:xfrm>
          <a:off x="3295650" y="78676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23</xdr:row>
      <xdr:rowOff>38100</xdr:rowOff>
    </xdr:from>
    <xdr:to>
      <xdr:col>37</xdr:col>
      <xdr:colOff>152400</xdr:colOff>
      <xdr:row>64</xdr:row>
      <xdr:rowOff>9525</xdr:rowOff>
    </xdr:to>
    <xdr:sp>
      <xdr:nvSpPr>
        <xdr:cNvPr id="1" name="角丸四角形 1"/>
        <xdr:cNvSpPr>
          <a:spLocks noChangeAspect="1"/>
        </xdr:cNvSpPr>
      </xdr:nvSpPr>
      <xdr:spPr>
        <a:xfrm>
          <a:off x="6324600" y="4352925"/>
          <a:ext cx="171450" cy="7000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53</xdr:row>
      <xdr:rowOff>47625</xdr:rowOff>
    </xdr:from>
    <xdr:to>
      <xdr:col>69</xdr:col>
      <xdr:colOff>38100</xdr:colOff>
      <xdr:row>54</xdr:row>
      <xdr:rowOff>47625</xdr:rowOff>
    </xdr:to>
    <xdr:sp>
      <xdr:nvSpPr>
        <xdr:cNvPr id="2" name="角丸四角形 2"/>
        <xdr:cNvSpPr>
          <a:spLocks noChangeAspect="1"/>
        </xdr:cNvSpPr>
      </xdr:nvSpPr>
      <xdr:spPr>
        <a:xfrm rot="7030523" flipH="1">
          <a:off x="4648200" y="9505950"/>
          <a:ext cx="7219950" cy="1714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9525</xdr:rowOff>
    </xdr:from>
    <xdr:to>
      <xdr:col>58</xdr:col>
      <xdr:colOff>19050</xdr:colOff>
      <xdr:row>31</xdr:row>
      <xdr:rowOff>152400</xdr:rowOff>
    </xdr:to>
    <xdr:sp>
      <xdr:nvSpPr>
        <xdr:cNvPr id="3" name="角丸四角形 3"/>
        <xdr:cNvSpPr>
          <a:spLocks noChangeAspect="1"/>
        </xdr:cNvSpPr>
      </xdr:nvSpPr>
      <xdr:spPr>
        <a:xfrm>
          <a:off x="590550" y="5695950"/>
          <a:ext cx="9372600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9525</xdr:rowOff>
    </xdr:from>
    <xdr:to>
      <xdr:col>48</xdr:col>
      <xdr:colOff>9525</xdr:colOff>
      <xdr:row>64</xdr:row>
      <xdr:rowOff>66675</xdr:rowOff>
    </xdr:to>
    <xdr:sp>
      <xdr:nvSpPr>
        <xdr:cNvPr id="4" name="角丸四角形 4"/>
        <xdr:cNvSpPr>
          <a:spLocks noChangeAspect="1"/>
        </xdr:cNvSpPr>
      </xdr:nvSpPr>
      <xdr:spPr>
        <a:xfrm>
          <a:off x="8077200" y="1409700"/>
          <a:ext cx="161925" cy="100012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114300</xdr:rowOff>
    </xdr:from>
    <xdr:to>
      <xdr:col>58</xdr:col>
      <xdr:colOff>171450</xdr:colOff>
      <xdr:row>56</xdr:row>
      <xdr:rowOff>19050</xdr:rowOff>
    </xdr:to>
    <xdr:sp>
      <xdr:nvSpPr>
        <xdr:cNvPr id="5" name="角丸四角形 5"/>
        <xdr:cNvSpPr>
          <a:spLocks noChangeAspect="1"/>
        </xdr:cNvSpPr>
      </xdr:nvSpPr>
      <xdr:spPr>
        <a:xfrm>
          <a:off x="9944100" y="1343025"/>
          <a:ext cx="171450" cy="8648700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19050</xdr:rowOff>
    </xdr:from>
    <xdr:to>
      <xdr:col>30</xdr:col>
      <xdr:colOff>152400</xdr:colOff>
      <xdr:row>40</xdr:row>
      <xdr:rowOff>123825</xdr:rowOff>
    </xdr:to>
    <xdr:sp>
      <xdr:nvSpPr>
        <xdr:cNvPr id="6" name="角丸四角形 6"/>
        <xdr:cNvSpPr>
          <a:spLocks noChangeAspect="1"/>
        </xdr:cNvSpPr>
      </xdr:nvSpPr>
      <xdr:spPr>
        <a:xfrm>
          <a:off x="5124450" y="4333875"/>
          <a:ext cx="171450" cy="3019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40</xdr:row>
      <xdr:rowOff>76200</xdr:rowOff>
    </xdr:from>
    <xdr:to>
      <xdr:col>29</xdr:col>
      <xdr:colOff>133350</xdr:colOff>
      <xdr:row>63</xdr:row>
      <xdr:rowOff>152400</xdr:rowOff>
    </xdr:to>
    <xdr:sp>
      <xdr:nvSpPr>
        <xdr:cNvPr id="7" name="角丸四角形 7"/>
        <xdr:cNvSpPr>
          <a:spLocks noChangeAspect="1"/>
        </xdr:cNvSpPr>
      </xdr:nvSpPr>
      <xdr:spPr>
        <a:xfrm>
          <a:off x="4933950" y="7305675"/>
          <a:ext cx="171450" cy="40195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</xdr:row>
      <xdr:rowOff>19050</xdr:rowOff>
    </xdr:from>
    <xdr:to>
      <xdr:col>30</xdr:col>
      <xdr:colOff>152400</xdr:colOff>
      <xdr:row>22</xdr:row>
      <xdr:rowOff>133350</xdr:rowOff>
    </xdr:to>
    <xdr:sp>
      <xdr:nvSpPr>
        <xdr:cNvPr id="8" name="角丸四角形 8"/>
        <xdr:cNvSpPr>
          <a:spLocks noChangeAspect="1"/>
        </xdr:cNvSpPr>
      </xdr:nvSpPr>
      <xdr:spPr>
        <a:xfrm>
          <a:off x="5133975" y="1419225"/>
          <a:ext cx="161925" cy="28575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23</xdr:row>
      <xdr:rowOff>104775</xdr:rowOff>
    </xdr:from>
    <xdr:to>
      <xdr:col>29</xdr:col>
      <xdr:colOff>85725</xdr:colOff>
      <xdr:row>29</xdr:row>
      <xdr:rowOff>38100</xdr:rowOff>
    </xdr:to>
    <xdr:sp>
      <xdr:nvSpPr>
        <xdr:cNvPr id="9" name="テキスト ボックス 9"/>
        <xdr:cNvSpPr txBox="1">
          <a:spLocks noChangeAspect="1" noChangeArrowheads="1"/>
        </xdr:cNvSpPr>
      </xdr:nvSpPr>
      <xdr:spPr>
        <a:xfrm>
          <a:off x="4791075" y="4419600"/>
          <a:ext cx="2667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27</xdr:col>
      <xdr:colOff>152400</xdr:colOff>
      <xdr:row>7</xdr:row>
      <xdr:rowOff>152400</xdr:rowOff>
    </xdr:from>
    <xdr:to>
      <xdr:col>29</xdr:col>
      <xdr:colOff>76200</xdr:colOff>
      <xdr:row>15</xdr:row>
      <xdr:rowOff>9525</xdr:rowOff>
    </xdr:to>
    <xdr:sp>
      <xdr:nvSpPr>
        <xdr:cNvPr id="10" name="テキスト ボックス 10"/>
        <xdr:cNvSpPr txBox="1">
          <a:spLocks noChangeAspect="1" noChangeArrowheads="1"/>
        </xdr:cNvSpPr>
      </xdr:nvSpPr>
      <xdr:spPr>
        <a:xfrm>
          <a:off x="4781550" y="1724025"/>
          <a:ext cx="2667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４２３号線</a:t>
          </a:r>
        </a:p>
      </xdr:txBody>
    </xdr:sp>
    <xdr:clientData/>
  </xdr:twoCellAnchor>
  <xdr:twoCellAnchor>
    <xdr:from>
      <xdr:col>30</xdr:col>
      <xdr:colOff>161925</xdr:colOff>
      <xdr:row>35</xdr:row>
      <xdr:rowOff>85725</xdr:rowOff>
    </xdr:from>
    <xdr:to>
      <xdr:col>45</xdr:col>
      <xdr:colOff>133350</xdr:colOff>
      <xdr:row>36</xdr:row>
      <xdr:rowOff>76200</xdr:rowOff>
    </xdr:to>
    <xdr:sp>
      <xdr:nvSpPr>
        <xdr:cNvPr id="11" name="角丸四角形 11"/>
        <xdr:cNvSpPr>
          <a:spLocks noChangeAspect="1"/>
        </xdr:cNvSpPr>
      </xdr:nvSpPr>
      <xdr:spPr>
        <a:xfrm>
          <a:off x="5305425" y="6457950"/>
          <a:ext cx="2543175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85725</xdr:colOff>
      <xdr:row>40</xdr:row>
      <xdr:rowOff>0</xdr:rowOff>
    </xdr:to>
    <xdr:sp>
      <xdr:nvSpPr>
        <xdr:cNvPr id="12" name="角丸四角形 12"/>
        <xdr:cNvSpPr>
          <a:spLocks noChangeAspect="1"/>
        </xdr:cNvSpPr>
      </xdr:nvSpPr>
      <xdr:spPr>
        <a:xfrm>
          <a:off x="5314950" y="7058025"/>
          <a:ext cx="2143125" cy="171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35</xdr:row>
      <xdr:rowOff>104775</xdr:rowOff>
    </xdr:from>
    <xdr:to>
      <xdr:col>44</xdr:col>
      <xdr:colOff>19050</xdr:colOff>
      <xdr:row>40</xdr:row>
      <xdr:rowOff>0</xdr:rowOff>
    </xdr:to>
    <xdr:sp>
      <xdr:nvSpPr>
        <xdr:cNvPr id="13" name="角丸四角形 13"/>
        <xdr:cNvSpPr>
          <a:spLocks noChangeAspect="1"/>
        </xdr:cNvSpPr>
      </xdr:nvSpPr>
      <xdr:spPr>
        <a:xfrm>
          <a:off x="7391400" y="6477000"/>
          <a:ext cx="171450" cy="752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31</xdr:row>
      <xdr:rowOff>114300</xdr:rowOff>
    </xdr:from>
    <xdr:to>
      <xdr:col>45</xdr:col>
      <xdr:colOff>161925</xdr:colOff>
      <xdr:row>36</xdr:row>
      <xdr:rowOff>66675</xdr:rowOff>
    </xdr:to>
    <xdr:sp>
      <xdr:nvSpPr>
        <xdr:cNvPr id="14" name="角丸四角形 14"/>
        <xdr:cNvSpPr>
          <a:spLocks noChangeAspect="1"/>
        </xdr:cNvSpPr>
      </xdr:nvSpPr>
      <xdr:spPr>
        <a:xfrm>
          <a:off x="7743825" y="5800725"/>
          <a:ext cx="133350" cy="8096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133350</xdr:rowOff>
    </xdr:from>
    <xdr:to>
      <xdr:col>55</xdr:col>
      <xdr:colOff>85725</xdr:colOff>
      <xdr:row>30</xdr:row>
      <xdr:rowOff>123825</xdr:rowOff>
    </xdr:to>
    <xdr:sp>
      <xdr:nvSpPr>
        <xdr:cNvPr id="15" name="テキスト ボックス 15"/>
        <xdr:cNvSpPr txBox="1">
          <a:spLocks noChangeAspect="1" noChangeArrowheads="1"/>
        </xdr:cNvSpPr>
      </xdr:nvSpPr>
      <xdr:spPr>
        <a:xfrm>
          <a:off x="8629650" y="5305425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３０８号線</a:t>
          </a:r>
        </a:p>
      </xdr:txBody>
    </xdr:sp>
    <xdr:clientData/>
  </xdr:twoCellAnchor>
  <xdr:twoCellAnchor>
    <xdr:from>
      <xdr:col>19</xdr:col>
      <xdr:colOff>9525</xdr:colOff>
      <xdr:row>22</xdr:row>
      <xdr:rowOff>85725</xdr:rowOff>
    </xdr:from>
    <xdr:to>
      <xdr:col>43</xdr:col>
      <xdr:colOff>123825</xdr:colOff>
      <xdr:row>23</xdr:row>
      <xdr:rowOff>76200</xdr:rowOff>
    </xdr:to>
    <xdr:sp>
      <xdr:nvSpPr>
        <xdr:cNvPr id="16" name="角丸四角形 16"/>
        <xdr:cNvSpPr>
          <a:spLocks noChangeAspect="1"/>
        </xdr:cNvSpPr>
      </xdr:nvSpPr>
      <xdr:spPr>
        <a:xfrm>
          <a:off x="3267075" y="4229100"/>
          <a:ext cx="4229100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152400</xdr:rowOff>
    </xdr:from>
    <xdr:to>
      <xdr:col>44</xdr:col>
      <xdr:colOff>38100</xdr:colOff>
      <xdr:row>23</xdr:row>
      <xdr:rowOff>85725</xdr:rowOff>
    </xdr:to>
    <xdr:sp>
      <xdr:nvSpPr>
        <xdr:cNvPr id="17" name="角丸四角形 17"/>
        <xdr:cNvSpPr>
          <a:spLocks noChangeAspect="1"/>
        </xdr:cNvSpPr>
      </xdr:nvSpPr>
      <xdr:spPr>
        <a:xfrm>
          <a:off x="7381875" y="2581275"/>
          <a:ext cx="200025" cy="18192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10</xdr:row>
      <xdr:rowOff>0</xdr:rowOff>
    </xdr:from>
    <xdr:to>
      <xdr:col>50</xdr:col>
      <xdr:colOff>123825</xdr:colOff>
      <xdr:row>10</xdr:row>
      <xdr:rowOff>142875</xdr:rowOff>
    </xdr:to>
    <xdr:sp>
      <xdr:nvSpPr>
        <xdr:cNvPr id="18" name="角丸四角形 18"/>
        <xdr:cNvSpPr>
          <a:spLocks noChangeAspect="1"/>
        </xdr:cNvSpPr>
      </xdr:nvSpPr>
      <xdr:spPr>
        <a:xfrm rot="2886273">
          <a:off x="7239000" y="2085975"/>
          <a:ext cx="1457325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76200</xdr:rowOff>
    </xdr:from>
    <xdr:to>
      <xdr:col>24</xdr:col>
      <xdr:colOff>0</xdr:colOff>
      <xdr:row>47</xdr:row>
      <xdr:rowOff>104775</xdr:rowOff>
    </xdr:to>
    <xdr:sp>
      <xdr:nvSpPr>
        <xdr:cNvPr id="19" name="角丸四角形 19"/>
        <xdr:cNvSpPr>
          <a:spLocks noChangeAspect="1"/>
        </xdr:cNvSpPr>
      </xdr:nvSpPr>
      <xdr:spPr>
        <a:xfrm>
          <a:off x="3933825" y="3190875"/>
          <a:ext cx="180975" cy="53435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57150</xdr:rowOff>
    </xdr:from>
    <xdr:to>
      <xdr:col>16</xdr:col>
      <xdr:colOff>104775</xdr:colOff>
      <xdr:row>24</xdr:row>
      <xdr:rowOff>114300</xdr:rowOff>
    </xdr:to>
    <xdr:sp>
      <xdr:nvSpPr>
        <xdr:cNvPr id="20" name="角丸四角形 20"/>
        <xdr:cNvSpPr>
          <a:spLocks noChangeAspect="1"/>
        </xdr:cNvSpPr>
      </xdr:nvSpPr>
      <xdr:spPr>
        <a:xfrm rot="19470331">
          <a:off x="2647950" y="2314575"/>
          <a:ext cx="200025" cy="22860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114300</xdr:rowOff>
    </xdr:from>
    <xdr:to>
      <xdr:col>21</xdr:col>
      <xdr:colOff>28575</xdr:colOff>
      <xdr:row>18</xdr:row>
      <xdr:rowOff>0</xdr:rowOff>
    </xdr:to>
    <xdr:sp>
      <xdr:nvSpPr>
        <xdr:cNvPr id="21" name="角丸四角形 21"/>
        <xdr:cNvSpPr>
          <a:spLocks noChangeAspect="1"/>
        </xdr:cNvSpPr>
      </xdr:nvSpPr>
      <xdr:spPr>
        <a:xfrm rot="19470331">
          <a:off x="3438525" y="1685925"/>
          <a:ext cx="190500" cy="1771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46</xdr:row>
      <xdr:rowOff>161925</xdr:rowOff>
    </xdr:from>
    <xdr:to>
      <xdr:col>44</xdr:col>
      <xdr:colOff>123825</xdr:colOff>
      <xdr:row>48</xdr:row>
      <xdr:rowOff>161925</xdr:rowOff>
    </xdr:to>
    <xdr:sp>
      <xdr:nvSpPr>
        <xdr:cNvPr id="22" name="テキスト ボックス 22"/>
        <xdr:cNvSpPr txBox="1">
          <a:spLocks noChangeAspect="1" noChangeArrowheads="1"/>
        </xdr:cNvSpPr>
      </xdr:nvSpPr>
      <xdr:spPr>
        <a:xfrm>
          <a:off x="6915150" y="84201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19</xdr:col>
      <xdr:colOff>66675</xdr:colOff>
      <xdr:row>23</xdr:row>
      <xdr:rowOff>85725</xdr:rowOff>
    </xdr:from>
    <xdr:to>
      <xdr:col>20</xdr:col>
      <xdr:colOff>85725</xdr:colOff>
      <xdr:row>63</xdr:row>
      <xdr:rowOff>161925</xdr:rowOff>
    </xdr:to>
    <xdr:sp>
      <xdr:nvSpPr>
        <xdr:cNvPr id="23" name="角丸四角形 23"/>
        <xdr:cNvSpPr>
          <a:spLocks noChangeAspect="1"/>
        </xdr:cNvSpPr>
      </xdr:nvSpPr>
      <xdr:spPr>
        <a:xfrm>
          <a:off x="3324225" y="4400550"/>
          <a:ext cx="190500" cy="69342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161925</xdr:rowOff>
    </xdr:from>
    <xdr:to>
      <xdr:col>20</xdr:col>
      <xdr:colOff>114300</xdr:colOff>
      <xdr:row>78</xdr:row>
      <xdr:rowOff>161925</xdr:rowOff>
    </xdr:to>
    <xdr:sp>
      <xdr:nvSpPr>
        <xdr:cNvPr id="24" name="テキスト ボックス 24"/>
        <xdr:cNvSpPr txBox="1">
          <a:spLocks noChangeAspect="1" noChangeArrowheads="1"/>
        </xdr:cNvSpPr>
      </xdr:nvSpPr>
      <xdr:spPr>
        <a:xfrm>
          <a:off x="3276600" y="11334750"/>
          <a:ext cx="2667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大阪臨海線（新なにわ筋）</a:t>
          </a:r>
        </a:p>
      </xdr:txBody>
    </xdr:sp>
    <xdr:clientData/>
  </xdr:twoCellAnchor>
  <xdr:twoCellAnchor>
    <xdr:from>
      <xdr:col>24</xdr:col>
      <xdr:colOff>57150</xdr:colOff>
      <xdr:row>32</xdr:row>
      <xdr:rowOff>95250</xdr:rowOff>
    </xdr:from>
    <xdr:to>
      <xdr:col>25</xdr:col>
      <xdr:colOff>152400</xdr:colOff>
      <xdr:row>41</xdr:row>
      <xdr:rowOff>0</xdr:rowOff>
    </xdr:to>
    <xdr:sp>
      <xdr:nvSpPr>
        <xdr:cNvPr id="25" name="テキスト ボックス 25"/>
        <xdr:cNvSpPr txBox="1">
          <a:spLocks noChangeAspect="1" noChangeArrowheads="1"/>
        </xdr:cNvSpPr>
      </xdr:nvSpPr>
      <xdr:spPr>
        <a:xfrm>
          <a:off x="4171950" y="5953125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（なにわ筋）</a:t>
          </a:r>
        </a:p>
      </xdr:txBody>
    </xdr:sp>
    <xdr:clientData/>
  </xdr:twoCellAnchor>
  <xdr:twoCellAnchor>
    <xdr:from>
      <xdr:col>28</xdr:col>
      <xdr:colOff>57150</xdr:colOff>
      <xdr:row>64</xdr:row>
      <xdr:rowOff>0</xdr:rowOff>
    </xdr:from>
    <xdr:to>
      <xdr:col>29</xdr:col>
      <xdr:colOff>152400</xdr:colOff>
      <xdr:row>69</xdr:row>
      <xdr:rowOff>133350</xdr:rowOff>
    </xdr:to>
    <xdr:sp>
      <xdr:nvSpPr>
        <xdr:cNvPr id="26" name="テキスト ボックス 26"/>
        <xdr:cNvSpPr txBox="1">
          <a:spLocks noChangeAspect="1" noChangeArrowheads="1"/>
        </xdr:cNvSpPr>
      </xdr:nvSpPr>
      <xdr:spPr>
        <a:xfrm>
          <a:off x="4857750" y="11344275"/>
          <a:ext cx="266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２６号線</a:t>
          </a:r>
        </a:p>
      </xdr:txBody>
    </xdr:sp>
    <xdr:clientData/>
  </xdr:twoCellAnchor>
  <xdr:twoCellAnchor>
    <xdr:from>
      <xdr:col>36</xdr:col>
      <xdr:colOff>95250</xdr:colOff>
      <xdr:row>64</xdr:row>
      <xdr:rowOff>38100</xdr:rowOff>
    </xdr:from>
    <xdr:to>
      <xdr:col>38</xdr:col>
      <xdr:colOff>19050</xdr:colOff>
      <xdr:row>73</xdr:row>
      <xdr:rowOff>171450</xdr:rowOff>
    </xdr:to>
    <xdr:sp>
      <xdr:nvSpPr>
        <xdr:cNvPr id="27" name="テキスト ボックス 27"/>
        <xdr:cNvSpPr txBox="1">
          <a:spLocks noChangeAspect="1" noChangeArrowheads="1"/>
        </xdr:cNvSpPr>
      </xdr:nvSpPr>
      <xdr:spPr>
        <a:xfrm>
          <a:off x="6267450" y="11382375"/>
          <a:ext cx="2667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大阪和泉泉南線</a:t>
          </a:r>
        </a:p>
      </xdr:txBody>
    </xdr:sp>
    <xdr:clientData/>
  </xdr:twoCellAnchor>
  <xdr:twoCellAnchor>
    <xdr:from>
      <xdr:col>40</xdr:col>
      <xdr:colOff>19050</xdr:colOff>
      <xdr:row>56</xdr:row>
      <xdr:rowOff>76200</xdr:rowOff>
    </xdr:from>
    <xdr:to>
      <xdr:col>41</xdr:col>
      <xdr:colOff>9525</xdr:colOff>
      <xdr:row>64</xdr:row>
      <xdr:rowOff>19050</xdr:rowOff>
    </xdr:to>
    <xdr:sp>
      <xdr:nvSpPr>
        <xdr:cNvPr id="28" name="角丸四角形 28"/>
        <xdr:cNvSpPr>
          <a:spLocks noChangeAspect="1"/>
        </xdr:cNvSpPr>
      </xdr:nvSpPr>
      <xdr:spPr>
        <a:xfrm>
          <a:off x="6877050" y="10048875"/>
          <a:ext cx="161925" cy="1314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64</xdr:row>
      <xdr:rowOff>28575</xdr:rowOff>
    </xdr:from>
    <xdr:to>
      <xdr:col>41</xdr:col>
      <xdr:colOff>76200</xdr:colOff>
      <xdr:row>71</xdr:row>
      <xdr:rowOff>28575</xdr:rowOff>
    </xdr:to>
    <xdr:sp>
      <xdr:nvSpPr>
        <xdr:cNvPr id="29" name="テキスト ボックス 29"/>
        <xdr:cNvSpPr txBox="1">
          <a:spLocks noChangeAspect="1" noChangeArrowheads="1"/>
        </xdr:cNvSpPr>
      </xdr:nvSpPr>
      <xdr:spPr>
        <a:xfrm>
          <a:off x="6838950" y="11372850"/>
          <a:ext cx="2667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大阪高石線</a:t>
          </a:r>
        </a:p>
      </xdr:txBody>
    </xdr:sp>
    <xdr:clientData/>
  </xdr:twoCellAnchor>
  <xdr:twoCellAnchor>
    <xdr:from>
      <xdr:col>38</xdr:col>
      <xdr:colOff>0</xdr:colOff>
      <xdr:row>40</xdr:row>
      <xdr:rowOff>19050</xdr:rowOff>
    </xdr:from>
    <xdr:to>
      <xdr:col>45</xdr:col>
      <xdr:colOff>161925</xdr:colOff>
      <xdr:row>43</xdr:row>
      <xdr:rowOff>28575</xdr:rowOff>
    </xdr:to>
    <xdr:sp>
      <xdr:nvSpPr>
        <xdr:cNvPr id="30" name="テキスト ボックス 30"/>
        <xdr:cNvSpPr txBox="1">
          <a:spLocks noChangeAspect="1" noChangeArrowheads="1"/>
        </xdr:cNvSpPr>
      </xdr:nvSpPr>
      <xdr:spPr>
        <a:xfrm>
          <a:off x="6515100" y="7248525"/>
          <a:ext cx="1362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大阪枚岡奈良線（千日前通）</a:t>
          </a:r>
        </a:p>
      </xdr:txBody>
    </xdr:sp>
    <xdr:clientData/>
  </xdr:twoCellAnchor>
  <xdr:twoCellAnchor>
    <xdr:from>
      <xdr:col>36</xdr:col>
      <xdr:colOff>114300</xdr:colOff>
      <xdr:row>20</xdr:row>
      <xdr:rowOff>85725</xdr:rowOff>
    </xdr:from>
    <xdr:to>
      <xdr:col>41</xdr:col>
      <xdr:colOff>38100</xdr:colOff>
      <xdr:row>22</xdr:row>
      <xdr:rowOff>28575</xdr:rowOff>
    </xdr:to>
    <xdr:sp>
      <xdr:nvSpPr>
        <xdr:cNvPr id="31" name="テキスト ボックス 31"/>
        <xdr:cNvSpPr txBox="1">
          <a:spLocks noChangeAspect="1" noChangeArrowheads="1"/>
        </xdr:cNvSpPr>
      </xdr:nvSpPr>
      <xdr:spPr>
        <a:xfrm>
          <a:off x="6286500" y="38862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１号線</a:t>
          </a:r>
        </a:p>
      </xdr:txBody>
    </xdr:sp>
    <xdr:clientData/>
  </xdr:twoCellAnchor>
  <xdr:twoCellAnchor>
    <xdr:from>
      <xdr:col>24</xdr:col>
      <xdr:colOff>152400</xdr:colOff>
      <xdr:row>20</xdr:row>
      <xdr:rowOff>95250</xdr:rowOff>
    </xdr:from>
    <xdr:to>
      <xdr:col>29</xdr:col>
      <xdr:colOff>47625</xdr:colOff>
      <xdr:row>22</xdr:row>
      <xdr:rowOff>28575</xdr:rowOff>
    </xdr:to>
    <xdr:sp>
      <xdr:nvSpPr>
        <xdr:cNvPr id="32" name="テキスト ボックス 32"/>
        <xdr:cNvSpPr txBox="1">
          <a:spLocks noChangeAspect="1" noChangeArrowheads="1"/>
        </xdr:cNvSpPr>
      </xdr:nvSpPr>
      <xdr:spPr>
        <a:xfrm>
          <a:off x="4267200" y="3895725"/>
          <a:ext cx="752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２号線</a:t>
          </a:r>
        </a:p>
      </xdr:txBody>
    </xdr:sp>
    <xdr:clientData/>
  </xdr:twoCellAnchor>
  <xdr:twoCellAnchor>
    <xdr:from>
      <xdr:col>58</xdr:col>
      <xdr:colOff>9525</xdr:colOff>
      <xdr:row>56</xdr:row>
      <xdr:rowOff>0</xdr:rowOff>
    </xdr:from>
    <xdr:to>
      <xdr:col>59</xdr:col>
      <xdr:colOff>9525</xdr:colOff>
      <xdr:row>64</xdr:row>
      <xdr:rowOff>0</xdr:rowOff>
    </xdr:to>
    <xdr:sp>
      <xdr:nvSpPr>
        <xdr:cNvPr id="33" name="角丸四角形 33"/>
        <xdr:cNvSpPr>
          <a:spLocks noChangeAspect="1"/>
        </xdr:cNvSpPr>
      </xdr:nvSpPr>
      <xdr:spPr>
        <a:xfrm>
          <a:off x="9953625" y="9972675"/>
          <a:ext cx="171450" cy="13716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66675</xdr:rowOff>
    </xdr:from>
    <xdr:to>
      <xdr:col>58</xdr:col>
      <xdr:colOff>171450</xdr:colOff>
      <xdr:row>21</xdr:row>
      <xdr:rowOff>95250</xdr:rowOff>
    </xdr:to>
    <xdr:sp>
      <xdr:nvSpPr>
        <xdr:cNvPr id="34" name="角丸四角形 34"/>
        <xdr:cNvSpPr>
          <a:spLocks noChangeAspect="1"/>
        </xdr:cNvSpPr>
      </xdr:nvSpPr>
      <xdr:spPr>
        <a:xfrm>
          <a:off x="9944100" y="3524250"/>
          <a:ext cx="17145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11</xdr:row>
      <xdr:rowOff>161925</xdr:rowOff>
    </xdr:from>
    <xdr:to>
      <xdr:col>20</xdr:col>
      <xdr:colOff>95250</xdr:colOff>
      <xdr:row>18</xdr:row>
      <xdr:rowOff>57150</xdr:rowOff>
    </xdr:to>
    <xdr:sp>
      <xdr:nvSpPr>
        <xdr:cNvPr id="35" name="テキスト ボックス 35"/>
        <xdr:cNvSpPr txBox="1">
          <a:spLocks noChangeAspect="1" noChangeArrowheads="1"/>
        </xdr:cNvSpPr>
      </xdr:nvSpPr>
      <xdr:spPr>
        <a:xfrm rot="19710521">
          <a:off x="3257550" y="2419350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（十三筋）</a:t>
          </a:r>
        </a:p>
      </xdr:txBody>
    </xdr:sp>
    <xdr:clientData/>
  </xdr:twoCellAnchor>
  <xdr:twoCellAnchor>
    <xdr:from>
      <xdr:col>35</xdr:col>
      <xdr:colOff>19050</xdr:colOff>
      <xdr:row>40</xdr:row>
      <xdr:rowOff>57150</xdr:rowOff>
    </xdr:from>
    <xdr:to>
      <xdr:col>36</xdr:col>
      <xdr:colOff>114300</xdr:colOff>
      <xdr:row>45</xdr:row>
      <xdr:rowOff>57150</xdr:rowOff>
    </xdr:to>
    <xdr:sp>
      <xdr:nvSpPr>
        <xdr:cNvPr id="36" name="テキスト ボックス 36"/>
        <xdr:cNvSpPr txBox="1">
          <a:spLocks noChangeAspect="1" noChangeArrowheads="1"/>
        </xdr:cNvSpPr>
      </xdr:nvSpPr>
      <xdr:spPr>
        <a:xfrm>
          <a:off x="6019800" y="7286625"/>
          <a:ext cx="2667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（谷町筋）</a:t>
          </a:r>
        </a:p>
      </xdr:txBody>
    </xdr:sp>
    <xdr:clientData/>
  </xdr:twoCellAnchor>
  <xdr:twoCellAnchor>
    <xdr:from>
      <xdr:col>35</xdr:col>
      <xdr:colOff>19050</xdr:colOff>
      <xdr:row>56</xdr:row>
      <xdr:rowOff>85725</xdr:rowOff>
    </xdr:from>
    <xdr:to>
      <xdr:col>36</xdr:col>
      <xdr:colOff>123825</xdr:colOff>
      <xdr:row>63</xdr:row>
      <xdr:rowOff>19050</xdr:rowOff>
    </xdr:to>
    <xdr:sp>
      <xdr:nvSpPr>
        <xdr:cNvPr id="37" name="テキスト ボックス 37"/>
        <xdr:cNvSpPr txBox="1">
          <a:spLocks noChangeAspect="1" noChangeArrowheads="1"/>
        </xdr:cNvSpPr>
      </xdr:nvSpPr>
      <xdr:spPr>
        <a:xfrm>
          <a:off x="6019800" y="10058400"/>
          <a:ext cx="276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（あべの筋）</a:t>
          </a:r>
        </a:p>
      </xdr:txBody>
    </xdr:sp>
    <xdr:clientData/>
  </xdr:twoCellAnchor>
  <xdr:twoCellAnchor>
    <xdr:from>
      <xdr:col>41</xdr:col>
      <xdr:colOff>114300</xdr:colOff>
      <xdr:row>58</xdr:row>
      <xdr:rowOff>123825</xdr:rowOff>
    </xdr:from>
    <xdr:to>
      <xdr:col>43</xdr:col>
      <xdr:colOff>38100</xdr:colOff>
      <xdr:row>64</xdr:row>
      <xdr:rowOff>152400</xdr:rowOff>
    </xdr:to>
    <xdr:sp>
      <xdr:nvSpPr>
        <xdr:cNvPr id="38" name="テキスト ボックス 38"/>
        <xdr:cNvSpPr txBox="1">
          <a:spLocks noChangeAspect="1" noChangeArrowheads="1"/>
        </xdr:cNvSpPr>
      </xdr:nvSpPr>
      <xdr:spPr>
        <a:xfrm>
          <a:off x="7143750" y="10439400"/>
          <a:ext cx="266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（あびこ筋）</a:t>
          </a:r>
        </a:p>
      </xdr:txBody>
    </xdr:sp>
    <xdr:clientData/>
  </xdr:twoCellAnchor>
  <xdr:twoCellAnchor>
    <xdr:from>
      <xdr:col>10</xdr:col>
      <xdr:colOff>142875</xdr:colOff>
      <xdr:row>7</xdr:row>
      <xdr:rowOff>57150</xdr:rowOff>
    </xdr:from>
    <xdr:to>
      <xdr:col>16</xdr:col>
      <xdr:colOff>161925</xdr:colOff>
      <xdr:row>9</xdr:row>
      <xdr:rowOff>9525</xdr:rowOff>
    </xdr:to>
    <xdr:sp>
      <xdr:nvSpPr>
        <xdr:cNvPr id="39" name="テキスト ボックス 39"/>
        <xdr:cNvSpPr txBox="1">
          <a:spLocks noChangeAspect="1" noChangeArrowheads="1"/>
        </xdr:cNvSpPr>
      </xdr:nvSpPr>
      <xdr:spPr>
        <a:xfrm>
          <a:off x="1857375" y="16287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大阪伊丹線</a:t>
          </a:r>
        </a:p>
      </xdr:txBody>
    </xdr:sp>
    <xdr:clientData/>
  </xdr:twoCellAnchor>
  <xdr:twoCellAnchor>
    <xdr:from>
      <xdr:col>10</xdr:col>
      <xdr:colOff>133350</xdr:colOff>
      <xdr:row>28</xdr:row>
      <xdr:rowOff>142875</xdr:rowOff>
    </xdr:from>
    <xdr:to>
      <xdr:col>16</xdr:col>
      <xdr:colOff>161925</xdr:colOff>
      <xdr:row>30</xdr:row>
      <xdr:rowOff>152400</xdr:rowOff>
    </xdr:to>
    <xdr:sp>
      <xdr:nvSpPr>
        <xdr:cNvPr id="40" name="テキスト ボックス 40"/>
        <xdr:cNvSpPr txBox="1">
          <a:spLocks noChangeAspect="1" noChangeArrowheads="1"/>
        </xdr:cNvSpPr>
      </xdr:nvSpPr>
      <xdr:spPr>
        <a:xfrm>
          <a:off x="1847850" y="5314950"/>
          <a:ext cx="105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築港深江線</a:t>
          </a:r>
        </a:p>
      </xdr:txBody>
    </xdr:sp>
    <xdr:clientData/>
  </xdr:twoCellAnchor>
  <xdr:twoCellAnchor>
    <xdr:from>
      <xdr:col>46</xdr:col>
      <xdr:colOff>133350</xdr:colOff>
      <xdr:row>64</xdr:row>
      <xdr:rowOff>85725</xdr:rowOff>
    </xdr:from>
    <xdr:to>
      <xdr:col>48</xdr:col>
      <xdr:colOff>57150</xdr:colOff>
      <xdr:row>77</xdr:row>
      <xdr:rowOff>133350</xdr:rowOff>
    </xdr:to>
    <xdr:sp>
      <xdr:nvSpPr>
        <xdr:cNvPr id="41" name="テキスト ボックス 41"/>
        <xdr:cNvSpPr txBox="1">
          <a:spLocks noChangeAspect="1" noChangeArrowheads="1"/>
        </xdr:cNvSpPr>
      </xdr:nvSpPr>
      <xdr:spPr>
        <a:xfrm>
          <a:off x="8020050" y="11430000"/>
          <a:ext cx="2667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４７９号線（内環状線）</a:t>
          </a:r>
        </a:p>
      </xdr:txBody>
    </xdr:sp>
    <xdr:clientData/>
  </xdr:twoCellAnchor>
  <xdr:twoCellAnchor>
    <xdr:from>
      <xdr:col>57</xdr:col>
      <xdr:colOff>142875</xdr:colOff>
      <xdr:row>64</xdr:row>
      <xdr:rowOff>19050</xdr:rowOff>
    </xdr:from>
    <xdr:to>
      <xdr:col>59</xdr:col>
      <xdr:colOff>66675</xdr:colOff>
      <xdr:row>71</xdr:row>
      <xdr:rowOff>28575</xdr:rowOff>
    </xdr:to>
    <xdr:sp>
      <xdr:nvSpPr>
        <xdr:cNvPr id="42" name="テキスト ボックス 42"/>
        <xdr:cNvSpPr txBox="1">
          <a:spLocks noChangeAspect="1" noChangeArrowheads="1"/>
        </xdr:cNvSpPr>
      </xdr:nvSpPr>
      <xdr:spPr>
        <a:xfrm>
          <a:off x="9915525" y="11363325"/>
          <a:ext cx="2667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中央環状線</a:t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17</xdr:col>
      <xdr:colOff>76200</xdr:colOff>
      <xdr:row>33</xdr:row>
      <xdr:rowOff>114300</xdr:rowOff>
    </xdr:to>
    <xdr:sp>
      <xdr:nvSpPr>
        <xdr:cNvPr id="43" name="テキスト ボックス 43"/>
        <xdr:cNvSpPr txBox="1">
          <a:spLocks noChangeAspect="1" noChangeArrowheads="1"/>
        </xdr:cNvSpPr>
      </xdr:nvSpPr>
      <xdr:spPr>
        <a:xfrm>
          <a:off x="1733550" y="587692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（中央大通）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41</xdr:col>
      <xdr:colOff>85725</xdr:colOff>
      <xdr:row>20</xdr:row>
      <xdr:rowOff>76200</xdr:rowOff>
    </xdr:to>
    <xdr:sp>
      <xdr:nvSpPr>
        <xdr:cNvPr id="44" name="テキスト ボックス 44"/>
        <xdr:cNvSpPr txBox="1">
          <a:spLocks noChangeAspect="1" noChangeArrowheads="1"/>
        </xdr:cNvSpPr>
      </xdr:nvSpPr>
      <xdr:spPr>
        <a:xfrm>
          <a:off x="6343650" y="3638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24</xdr:col>
      <xdr:colOff>114300</xdr:colOff>
      <xdr:row>19</xdr:row>
      <xdr:rowOff>47625</xdr:rowOff>
    </xdr:from>
    <xdr:to>
      <xdr:col>29</xdr:col>
      <xdr:colOff>28575</xdr:colOff>
      <xdr:row>20</xdr:row>
      <xdr:rowOff>114300</xdr:rowOff>
    </xdr:to>
    <xdr:sp>
      <xdr:nvSpPr>
        <xdr:cNvPr id="45" name="テキスト ボックス 45"/>
        <xdr:cNvSpPr txBox="1">
          <a:spLocks noChangeAspect="1" noChangeArrowheads="1"/>
        </xdr:cNvSpPr>
      </xdr:nvSpPr>
      <xdr:spPr>
        <a:xfrm>
          <a:off x="4229100" y="36766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12</xdr:col>
      <xdr:colOff>123825</xdr:colOff>
      <xdr:row>33</xdr:row>
      <xdr:rowOff>104775</xdr:rowOff>
    </xdr:from>
    <xdr:to>
      <xdr:col>17</xdr:col>
      <xdr:colOff>38100</xdr:colOff>
      <xdr:row>34</xdr:row>
      <xdr:rowOff>161925</xdr:rowOff>
    </xdr:to>
    <xdr:sp>
      <xdr:nvSpPr>
        <xdr:cNvPr id="46" name="テキスト ボックス 46"/>
        <xdr:cNvSpPr txBox="1">
          <a:spLocks noChangeAspect="1" noChangeArrowheads="1"/>
        </xdr:cNvSpPr>
      </xdr:nvSpPr>
      <xdr:spPr>
        <a:xfrm>
          <a:off x="2181225" y="61341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39</xdr:col>
      <xdr:colOff>85725</xdr:colOff>
      <xdr:row>43</xdr:row>
      <xdr:rowOff>85725</xdr:rowOff>
    </xdr:from>
    <xdr:to>
      <xdr:col>43</xdr:col>
      <xdr:colOff>171450</xdr:colOff>
      <xdr:row>44</xdr:row>
      <xdr:rowOff>152400</xdr:rowOff>
    </xdr:to>
    <xdr:sp>
      <xdr:nvSpPr>
        <xdr:cNvPr id="47" name="テキスト ボックス 47"/>
        <xdr:cNvSpPr txBox="1">
          <a:spLocks noChangeAspect="1" noChangeArrowheads="1"/>
        </xdr:cNvSpPr>
      </xdr:nvSpPr>
      <xdr:spPr>
        <a:xfrm>
          <a:off x="6772275" y="7829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41</xdr:col>
      <xdr:colOff>104775</xdr:colOff>
      <xdr:row>49</xdr:row>
      <xdr:rowOff>19050</xdr:rowOff>
    </xdr:from>
    <xdr:to>
      <xdr:col>46</xdr:col>
      <xdr:colOff>19050</xdr:colOff>
      <xdr:row>50</xdr:row>
      <xdr:rowOff>85725</xdr:rowOff>
    </xdr:to>
    <xdr:sp>
      <xdr:nvSpPr>
        <xdr:cNvPr id="48" name="テキスト ボックス 48"/>
        <xdr:cNvSpPr txBox="1">
          <a:spLocks noChangeAspect="1" noChangeArrowheads="1"/>
        </xdr:cNvSpPr>
      </xdr:nvSpPr>
      <xdr:spPr>
        <a:xfrm>
          <a:off x="7134225" y="87915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45</xdr:col>
      <xdr:colOff>76200</xdr:colOff>
      <xdr:row>78</xdr:row>
      <xdr:rowOff>28575</xdr:rowOff>
    </xdr:from>
    <xdr:to>
      <xdr:col>49</xdr:col>
      <xdr:colOff>161925</xdr:colOff>
      <xdr:row>79</xdr:row>
      <xdr:rowOff>95250</xdr:rowOff>
    </xdr:to>
    <xdr:sp>
      <xdr:nvSpPr>
        <xdr:cNvPr id="49" name="テキスト ボックス 49"/>
        <xdr:cNvSpPr txBox="1">
          <a:spLocks noChangeAspect="1" noChangeArrowheads="1"/>
        </xdr:cNvSpPr>
      </xdr:nvSpPr>
      <xdr:spPr>
        <a:xfrm>
          <a:off x="7791450" y="137731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38</xdr:col>
      <xdr:colOff>123825</xdr:colOff>
      <xdr:row>71</xdr:row>
      <xdr:rowOff>47625</xdr:rowOff>
    </xdr:from>
    <xdr:to>
      <xdr:col>43</xdr:col>
      <xdr:colOff>38100</xdr:colOff>
      <xdr:row>72</xdr:row>
      <xdr:rowOff>114300</xdr:rowOff>
    </xdr:to>
    <xdr:sp>
      <xdr:nvSpPr>
        <xdr:cNvPr id="50" name="テキスト ボックス 50"/>
        <xdr:cNvSpPr txBox="1">
          <a:spLocks noChangeAspect="1" noChangeArrowheads="1"/>
        </xdr:cNvSpPr>
      </xdr:nvSpPr>
      <xdr:spPr>
        <a:xfrm>
          <a:off x="6638925" y="125920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35</xdr:col>
      <xdr:colOff>19050</xdr:colOff>
      <xdr:row>74</xdr:row>
      <xdr:rowOff>76200</xdr:rowOff>
    </xdr:from>
    <xdr:to>
      <xdr:col>39</xdr:col>
      <xdr:colOff>104775</xdr:colOff>
      <xdr:row>75</xdr:row>
      <xdr:rowOff>142875</xdr:rowOff>
    </xdr:to>
    <xdr:sp>
      <xdr:nvSpPr>
        <xdr:cNvPr id="51" name="テキスト ボックス 51"/>
        <xdr:cNvSpPr txBox="1">
          <a:spLocks noChangeAspect="1" noChangeArrowheads="1"/>
        </xdr:cNvSpPr>
      </xdr:nvSpPr>
      <xdr:spPr>
        <a:xfrm>
          <a:off x="6019800" y="13134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27</xdr:col>
      <xdr:colOff>0</xdr:colOff>
      <xdr:row>69</xdr:row>
      <xdr:rowOff>152400</xdr:rowOff>
    </xdr:from>
    <xdr:to>
      <xdr:col>31</xdr:col>
      <xdr:colOff>85725</xdr:colOff>
      <xdr:row>71</xdr:row>
      <xdr:rowOff>47625</xdr:rowOff>
    </xdr:to>
    <xdr:sp>
      <xdr:nvSpPr>
        <xdr:cNvPr id="52" name="テキスト ボックス 52"/>
        <xdr:cNvSpPr txBox="1">
          <a:spLocks noChangeAspect="1" noChangeArrowheads="1"/>
        </xdr:cNvSpPr>
      </xdr:nvSpPr>
      <xdr:spPr>
        <a:xfrm>
          <a:off x="4629150" y="123539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17</xdr:col>
      <xdr:colOff>123825</xdr:colOff>
      <xdr:row>79</xdr:row>
      <xdr:rowOff>38100</xdr:rowOff>
    </xdr:from>
    <xdr:to>
      <xdr:col>22</xdr:col>
      <xdr:colOff>38100</xdr:colOff>
      <xdr:row>80</xdr:row>
      <xdr:rowOff>104775</xdr:rowOff>
    </xdr:to>
    <xdr:sp>
      <xdr:nvSpPr>
        <xdr:cNvPr id="53" name="テキスト ボックス 53"/>
        <xdr:cNvSpPr txBox="1">
          <a:spLocks noChangeAspect="1" noChangeArrowheads="1"/>
        </xdr:cNvSpPr>
      </xdr:nvSpPr>
      <xdr:spPr>
        <a:xfrm>
          <a:off x="3038475" y="139541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26</xdr:col>
      <xdr:colOff>95250</xdr:colOff>
      <xdr:row>6</xdr:row>
      <xdr:rowOff>66675</xdr:rowOff>
    </xdr:from>
    <xdr:to>
      <xdr:col>31</xdr:col>
      <xdr:colOff>9525</xdr:colOff>
      <xdr:row>7</xdr:row>
      <xdr:rowOff>123825</xdr:rowOff>
    </xdr:to>
    <xdr:sp>
      <xdr:nvSpPr>
        <xdr:cNvPr id="54" name="テキスト ボックス 54"/>
        <xdr:cNvSpPr txBox="1">
          <a:spLocks noChangeAspect="1" noChangeArrowheads="1"/>
        </xdr:cNvSpPr>
      </xdr:nvSpPr>
      <xdr:spPr>
        <a:xfrm>
          <a:off x="4552950" y="14668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14</xdr:col>
      <xdr:colOff>9525</xdr:colOff>
      <xdr:row>8</xdr:row>
      <xdr:rowOff>161925</xdr:rowOff>
    </xdr:from>
    <xdr:to>
      <xdr:col>18</xdr:col>
      <xdr:colOff>95250</xdr:colOff>
      <xdr:row>10</xdr:row>
      <xdr:rowOff>57150</xdr:rowOff>
    </xdr:to>
    <xdr:sp>
      <xdr:nvSpPr>
        <xdr:cNvPr id="55" name="テキスト ボックス 55"/>
        <xdr:cNvSpPr txBox="1">
          <a:spLocks noChangeAspect="1" noChangeArrowheads="1"/>
        </xdr:cNvSpPr>
      </xdr:nvSpPr>
      <xdr:spPr>
        <a:xfrm>
          <a:off x="2409825" y="19050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7</xdr:col>
      <xdr:colOff>114300</xdr:colOff>
      <xdr:row>43</xdr:row>
      <xdr:rowOff>133350</xdr:rowOff>
    </xdr:to>
    <xdr:sp>
      <xdr:nvSpPr>
        <xdr:cNvPr id="56" name="角丸四角形 57"/>
        <xdr:cNvSpPr>
          <a:spLocks noChangeAspect="1"/>
        </xdr:cNvSpPr>
      </xdr:nvSpPr>
      <xdr:spPr>
        <a:xfrm rot="20078463" flipH="1">
          <a:off x="1143000" y="3467100"/>
          <a:ext cx="171450" cy="44100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7</xdr:col>
      <xdr:colOff>19050</xdr:colOff>
      <xdr:row>18</xdr:row>
      <xdr:rowOff>38100</xdr:rowOff>
    </xdr:to>
    <xdr:sp>
      <xdr:nvSpPr>
        <xdr:cNvPr id="57" name="テキスト ボックス 58"/>
        <xdr:cNvSpPr txBox="1">
          <a:spLocks noChangeAspect="1" noChangeArrowheads="1"/>
        </xdr:cNvSpPr>
      </xdr:nvSpPr>
      <xdr:spPr>
        <a:xfrm>
          <a:off x="342900" y="321945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3</xdr:col>
      <xdr:colOff>104775</xdr:colOff>
      <xdr:row>18</xdr:row>
      <xdr:rowOff>95250</xdr:rowOff>
    </xdr:from>
    <xdr:to>
      <xdr:col>8</xdr:col>
      <xdr:colOff>19050</xdr:colOff>
      <xdr:row>19</xdr:row>
      <xdr:rowOff>161925</xdr:rowOff>
    </xdr:to>
    <xdr:sp>
      <xdr:nvSpPr>
        <xdr:cNvPr id="58" name="テキスト ボックス 59"/>
        <xdr:cNvSpPr txBox="1">
          <a:spLocks noChangeAspect="1" noChangeArrowheads="1"/>
        </xdr:cNvSpPr>
      </xdr:nvSpPr>
      <xdr:spPr>
        <a:xfrm>
          <a:off x="619125" y="3552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10</xdr:col>
      <xdr:colOff>9525</xdr:colOff>
      <xdr:row>51</xdr:row>
      <xdr:rowOff>57150</xdr:rowOff>
    </xdr:from>
    <xdr:to>
      <xdr:col>52</xdr:col>
      <xdr:colOff>76200</xdr:colOff>
      <xdr:row>52</xdr:row>
      <xdr:rowOff>104775</xdr:rowOff>
    </xdr:to>
    <xdr:sp>
      <xdr:nvSpPr>
        <xdr:cNvPr id="59" name="角丸四角形 60"/>
        <xdr:cNvSpPr>
          <a:spLocks noChangeAspect="1"/>
        </xdr:cNvSpPr>
      </xdr:nvSpPr>
      <xdr:spPr>
        <a:xfrm rot="7030523" flipH="1">
          <a:off x="1724025" y="9172575"/>
          <a:ext cx="7267575" cy="219075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6</xdr:row>
      <xdr:rowOff>47625</xdr:rowOff>
    </xdr:from>
    <xdr:to>
      <xdr:col>24</xdr:col>
      <xdr:colOff>152400</xdr:colOff>
      <xdr:row>16</xdr:row>
      <xdr:rowOff>95250</xdr:rowOff>
    </xdr:to>
    <xdr:sp>
      <xdr:nvSpPr>
        <xdr:cNvPr id="60" name="角丸四角形 61"/>
        <xdr:cNvSpPr>
          <a:spLocks noChangeAspect="1"/>
        </xdr:cNvSpPr>
      </xdr:nvSpPr>
      <xdr:spPr>
        <a:xfrm rot="456604">
          <a:off x="4095750" y="1447800"/>
          <a:ext cx="171450" cy="1762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4</xdr:row>
      <xdr:rowOff>38100</xdr:rowOff>
    </xdr:from>
    <xdr:to>
      <xdr:col>27</xdr:col>
      <xdr:colOff>38100</xdr:colOff>
      <xdr:row>5</xdr:row>
      <xdr:rowOff>161925</xdr:rowOff>
    </xdr:to>
    <xdr:sp>
      <xdr:nvSpPr>
        <xdr:cNvPr id="61" name="テキスト ボックス 62"/>
        <xdr:cNvSpPr txBox="1">
          <a:spLocks noChangeAspect="1" noChangeArrowheads="1"/>
        </xdr:cNvSpPr>
      </xdr:nvSpPr>
      <xdr:spPr>
        <a:xfrm>
          <a:off x="3886200" y="1095375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85725</xdr:colOff>
      <xdr:row>7</xdr:row>
      <xdr:rowOff>66675</xdr:rowOff>
    </xdr:to>
    <xdr:sp>
      <xdr:nvSpPr>
        <xdr:cNvPr id="62" name="テキスト ボックス 63"/>
        <xdr:cNvSpPr txBox="1">
          <a:spLocks noChangeAspect="1" noChangeArrowheads="1"/>
        </xdr:cNvSpPr>
      </xdr:nvSpPr>
      <xdr:spPr>
        <a:xfrm>
          <a:off x="3600450" y="140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50</xdr:col>
      <xdr:colOff>123825</xdr:colOff>
      <xdr:row>32</xdr:row>
      <xdr:rowOff>0</xdr:rowOff>
    </xdr:from>
    <xdr:to>
      <xdr:col>55</xdr:col>
      <xdr:colOff>38100</xdr:colOff>
      <xdr:row>33</xdr:row>
      <xdr:rowOff>66675</xdr:rowOff>
    </xdr:to>
    <xdr:sp>
      <xdr:nvSpPr>
        <xdr:cNvPr id="63" name="テキスト ボックス 64"/>
        <xdr:cNvSpPr txBox="1">
          <a:spLocks noChangeAspect="1" noChangeArrowheads="1"/>
        </xdr:cNvSpPr>
      </xdr:nvSpPr>
      <xdr:spPr>
        <a:xfrm>
          <a:off x="8696325" y="58578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28</xdr:col>
      <xdr:colOff>19050</xdr:colOff>
      <xdr:row>31</xdr:row>
      <xdr:rowOff>123825</xdr:rowOff>
    </xdr:from>
    <xdr:to>
      <xdr:col>29</xdr:col>
      <xdr:colOff>114300</xdr:colOff>
      <xdr:row>40</xdr:row>
      <xdr:rowOff>28575</xdr:rowOff>
    </xdr:to>
    <xdr:sp>
      <xdr:nvSpPr>
        <xdr:cNvPr id="64" name="テキスト ボックス 65"/>
        <xdr:cNvSpPr txBox="1">
          <a:spLocks noChangeAspect="1" noChangeArrowheads="1"/>
        </xdr:cNvSpPr>
      </xdr:nvSpPr>
      <xdr:spPr>
        <a:xfrm>
          <a:off x="4819650" y="5810250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（御堂筋）</a:t>
          </a:r>
        </a:p>
      </xdr:txBody>
    </xdr:sp>
    <xdr:clientData/>
  </xdr:twoCellAnchor>
  <xdr:twoCellAnchor>
    <xdr:from>
      <xdr:col>56</xdr:col>
      <xdr:colOff>104775</xdr:colOff>
      <xdr:row>71</xdr:row>
      <xdr:rowOff>85725</xdr:rowOff>
    </xdr:from>
    <xdr:to>
      <xdr:col>61</xdr:col>
      <xdr:colOff>19050</xdr:colOff>
      <xdr:row>72</xdr:row>
      <xdr:rowOff>142875</xdr:rowOff>
    </xdr:to>
    <xdr:sp>
      <xdr:nvSpPr>
        <xdr:cNvPr id="65" name="テキスト ボックス 66"/>
        <xdr:cNvSpPr txBox="1">
          <a:spLocks noChangeAspect="1" noChangeArrowheads="1"/>
        </xdr:cNvSpPr>
      </xdr:nvSpPr>
      <xdr:spPr>
        <a:xfrm>
          <a:off x="9705975" y="126301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0</xdr:rowOff>
    </xdr:from>
    <xdr:to>
      <xdr:col>0</xdr:col>
      <xdr:colOff>561975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514350" y="43815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247650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9525" y="2667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133350</xdr:rowOff>
    </xdr:from>
    <xdr:to>
      <xdr:col>1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47650" y="57150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</xdr:colOff>
      <xdr:row>20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0" y="43624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0</xdr:colOff>
      <xdr:row>20</xdr:row>
      <xdr:rowOff>9525</xdr:rowOff>
    </xdr:to>
    <xdr:sp>
      <xdr:nvSpPr>
        <xdr:cNvPr id="6" name="Line 15"/>
        <xdr:cNvSpPr>
          <a:spLocks/>
        </xdr:cNvSpPr>
      </xdr:nvSpPr>
      <xdr:spPr>
        <a:xfrm>
          <a:off x="9525" y="4362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20</xdr:row>
      <xdr:rowOff>9525</xdr:rowOff>
    </xdr:from>
    <xdr:to>
      <xdr:col>1</xdr:col>
      <xdr:colOff>485775</xdr:colOff>
      <xdr:row>20</xdr:row>
      <xdr:rowOff>9525</xdr:rowOff>
    </xdr:to>
    <xdr:sp>
      <xdr:nvSpPr>
        <xdr:cNvPr id="7" name="Line 16"/>
        <xdr:cNvSpPr>
          <a:spLocks/>
        </xdr:cNvSpPr>
      </xdr:nvSpPr>
      <xdr:spPr>
        <a:xfrm flipV="1">
          <a:off x="571500" y="452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0</xdr:rowOff>
    </xdr:from>
    <xdr:to>
      <xdr:col>1</xdr:col>
      <xdr:colOff>609600</xdr:colOff>
      <xdr:row>20</xdr:row>
      <xdr:rowOff>142875</xdr:rowOff>
    </xdr:to>
    <xdr:sp>
      <xdr:nvSpPr>
        <xdr:cNvPr id="8" name="Line 17"/>
        <xdr:cNvSpPr>
          <a:spLocks/>
        </xdr:cNvSpPr>
      </xdr:nvSpPr>
      <xdr:spPr>
        <a:xfrm>
          <a:off x="1057275" y="4514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0.60975</cdr:y>
    </cdr:from>
    <cdr:to>
      <cdr:x>0.1335</cdr:x>
      <cdr:y>0.7445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0096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0.02425</cdr:x>
      <cdr:y>0.28775</cdr:y>
    </cdr:from>
    <cdr:to>
      <cdr:x>0.13575</cdr:x>
      <cdr:y>0.4225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4762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0.601</cdr:y>
    </cdr:from>
    <cdr:to>
      <cdr:x>0.1265</cdr:x>
      <cdr:y>0.74575</cdr:y>
    </cdr:to>
    <cdr:sp>
      <cdr:nvSpPr>
        <cdr:cNvPr id="1" name="Text Box 3"/>
        <cdr:cNvSpPr txBox="1">
          <a:spLocks noChangeArrowheads="1"/>
        </cdr:cNvSpPr>
      </cdr:nvSpPr>
      <cdr:spPr>
        <a:xfrm>
          <a:off x="104775" y="9239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0.016</cdr:x>
      <cdr:y>0.308</cdr:y>
    </cdr:from>
    <cdr:to>
      <cdr:x>0.1265</cdr:x>
      <cdr:y>0.453</cdr:y>
    </cdr:to>
    <cdr:sp>
      <cdr:nvSpPr>
        <cdr:cNvPr id="2" name="Text Box 4"/>
        <cdr:cNvSpPr txBox="1">
          <a:spLocks noChangeArrowheads="1"/>
        </cdr:cNvSpPr>
      </cdr:nvSpPr>
      <cdr:spPr>
        <a:xfrm>
          <a:off x="104775" y="4762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0.59675</cdr:y>
    </cdr:from>
    <cdr:to>
      <cdr:x>0.12775</cdr:x>
      <cdr:y>0.73275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9810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  <cdr:relSizeAnchor xmlns:cdr="http://schemas.openxmlformats.org/drawingml/2006/chartDrawing">
    <cdr:from>
      <cdr:x>0.0165</cdr:x>
      <cdr:y>0.3045</cdr:y>
    </cdr:from>
    <cdr:to>
      <cdr:x>0.12775</cdr:x>
      <cdr:y>0.44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9530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133350</xdr:rowOff>
    </xdr:from>
    <xdr:to>
      <xdr:col>11</xdr:col>
      <xdr:colOff>200025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76200" y="3495675"/>
        <a:ext cx="65532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11</xdr:col>
      <xdr:colOff>228600</xdr:colOff>
      <xdr:row>34</xdr:row>
      <xdr:rowOff>38100</xdr:rowOff>
    </xdr:to>
    <xdr:graphicFrame>
      <xdr:nvGraphicFramePr>
        <xdr:cNvPr id="2" name="Chart 10"/>
        <xdr:cNvGraphicFramePr/>
      </xdr:nvGraphicFramePr>
      <xdr:xfrm>
        <a:off x="95250" y="5448300"/>
        <a:ext cx="65627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35</xdr:row>
      <xdr:rowOff>142875</xdr:rowOff>
    </xdr:from>
    <xdr:to>
      <xdr:col>11</xdr:col>
      <xdr:colOff>219075</xdr:colOff>
      <xdr:row>45</xdr:row>
      <xdr:rowOff>85725</xdr:rowOff>
    </xdr:to>
    <xdr:graphicFrame>
      <xdr:nvGraphicFramePr>
        <xdr:cNvPr id="3" name="Chart 12"/>
        <xdr:cNvGraphicFramePr/>
      </xdr:nvGraphicFramePr>
      <xdr:xfrm>
        <a:off x="114300" y="7277100"/>
        <a:ext cx="6534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304800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33</xdr:row>
      <xdr:rowOff>104775</xdr:rowOff>
    </xdr:from>
    <xdr:to>
      <xdr:col>10</xdr:col>
      <xdr:colOff>304800</xdr:colOff>
      <xdr:row>49</xdr:row>
      <xdr:rowOff>104775</xdr:rowOff>
    </xdr:to>
    <xdr:graphicFrame>
      <xdr:nvGraphicFramePr>
        <xdr:cNvPr id="2" name="グラフ 2"/>
        <xdr:cNvGraphicFramePr/>
      </xdr:nvGraphicFramePr>
      <xdr:xfrm>
        <a:off x="1562100" y="7439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57150</xdr:rowOff>
    </xdr:from>
    <xdr:to>
      <xdr:col>7</xdr:col>
      <xdr:colOff>638175</xdr:colOff>
      <xdr:row>33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24100" y="7219950"/>
          <a:ext cx="2171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時間帯別発生件数と負傷者数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</xdr:col>
      <xdr:colOff>523875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80975"/>
          <a:ext cx="1495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1000125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676275</xdr:colOff>
      <xdr:row>4</xdr:row>
      <xdr:rowOff>228600</xdr:rowOff>
    </xdr:to>
    <xdr:sp>
      <xdr:nvSpPr>
        <xdr:cNvPr id="1" name="Line 5"/>
        <xdr:cNvSpPr>
          <a:spLocks/>
        </xdr:cNvSpPr>
      </xdr:nvSpPr>
      <xdr:spPr>
        <a:xfrm>
          <a:off x="19050" y="609600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1</xdr:col>
      <xdr:colOff>9525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495550"/>
          <a:ext cx="695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13</xdr:col>
      <xdr:colOff>447675</xdr:colOff>
      <xdr:row>42</xdr:row>
      <xdr:rowOff>161925</xdr:rowOff>
    </xdr:to>
    <xdr:graphicFrame>
      <xdr:nvGraphicFramePr>
        <xdr:cNvPr id="3" name="Chart 11"/>
        <xdr:cNvGraphicFramePr/>
      </xdr:nvGraphicFramePr>
      <xdr:xfrm>
        <a:off x="114300" y="4876800"/>
        <a:ext cx="6858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0.306</cdr:y>
    </cdr:from>
    <cdr:to>
      <cdr:x>0.21275</cdr:x>
      <cdr:y>0.38475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5619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0.30075</cdr:y>
    </cdr:from>
    <cdr:to>
      <cdr:x>0.124</cdr:x>
      <cdr:y>0.43075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096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0.01025</cdr:x>
      <cdr:y>0.62625</cdr:y>
    </cdr:from>
    <cdr:to>
      <cdr:x>0.10275</cdr:x>
      <cdr:y>0.72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7150" y="126682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0.306</cdr:y>
    </cdr:from>
    <cdr:to>
      <cdr:x>0.1235</cdr:x>
      <cdr:y>0.44425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90550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平成２７年</a:t>
          </a:r>
        </a:p>
      </cdr:txBody>
    </cdr:sp>
  </cdr:relSizeAnchor>
  <cdr:relSizeAnchor xmlns:cdr="http://schemas.openxmlformats.org/drawingml/2006/chartDrawing">
    <cdr:from>
      <cdr:x>0.0135</cdr:x>
      <cdr:y>0.626</cdr:y>
    </cdr:from>
    <cdr:to>
      <cdr:x>0.10925</cdr:x>
      <cdr:y>0.73875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1219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3.50390625" style="0" customWidth="1"/>
    <col min="2" max="2" width="4.625" style="0" customWidth="1"/>
    <col min="3" max="3" width="7.75390625" style="0" customWidth="1"/>
    <col min="4" max="5" width="12.625" style="0" customWidth="1"/>
    <col min="6" max="6" width="2.25390625" style="0" customWidth="1"/>
    <col min="7" max="7" width="12.625" style="0" customWidth="1"/>
    <col min="8" max="8" width="2.125" style="0" customWidth="1"/>
    <col min="9" max="9" width="12.625" style="0" customWidth="1"/>
  </cols>
  <sheetData>
    <row r="1" ht="23.25" customHeight="1">
      <c r="A1" s="1" t="s">
        <v>284</v>
      </c>
    </row>
    <row r="3" spans="1:11" ht="24" customHeight="1" thickBot="1">
      <c r="A3" s="3" t="s">
        <v>43</v>
      </c>
      <c r="B3" s="3"/>
      <c r="C3" s="3"/>
      <c r="D3" s="3"/>
      <c r="E3" s="512" t="s">
        <v>253</v>
      </c>
      <c r="F3" s="513"/>
      <c r="G3" s="513"/>
      <c r="H3" s="513"/>
      <c r="I3" s="513"/>
      <c r="J3" s="3"/>
      <c r="K3" s="3"/>
    </row>
    <row r="4" spans="1:11" ht="19.5" customHeight="1">
      <c r="A4" s="5"/>
      <c r="B4" s="6"/>
      <c r="C4" s="7" t="s">
        <v>238</v>
      </c>
      <c r="D4" s="514" t="s">
        <v>276</v>
      </c>
      <c r="E4" s="516" t="s">
        <v>275</v>
      </c>
      <c r="F4" s="518" t="s">
        <v>44</v>
      </c>
      <c r="G4" s="518"/>
      <c r="H4" s="518"/>
      <c r="I4" s="519"/>
      <c r="J4" s="3"/>
      <c r="K4" s="3"/>
    </row>
    <row r="5" spans="1:11" ht="19.5" customHeight="1" thickBot="1">
      <c r="A5" s="8" t="s">
        <v>26</v>
      </c>
      <c r="B5" s="9"/>
      <c r="C5" s="10"/>
      <c r="D5" s="515"/>
      <c r="E5" s="517"/>
      <c r="F5" s="11"/>
      <c r="G5" s="12" t="s">
        <v>28</v>
      </c>
      <c r="H5" s="13"/>
      <c r="I5" s="14" t="s">
        <v>214</v>
      </c>
      <c r="J5" s="3"/>
      <c r="K5" s="3"/>
    </row>
    <row r="6" spans="1:11" ht="19.5" customHeight="1">
      <c r="A6" s="520" t="s">
        <v>100</v>
      </c>
      <c r="B6" s="523" t="s">
        <v>147</v>
      </c>
      <c r="C6" s="524"/>
      <c r="D6" s="435">
        <v>12173</v>
      </c>
      <c r="E6" s="430">
        <v>12769</v>
      </c>
      <c r="F6" s="339"/>
      <c r="G6" s="340">
        <f aca="true" t="shared" si="0" ref="G6:G15">D6-E6</f>
        <v>-596</v>
      </c>
      <c r="H6" s="341"/>
      <c r="I6" s="342">
        <f aca="true" t="shared" si="1" ref="I6:I15">(D6/E6-1)*100</f>
        <v>-4.667554232907822</v>
      </c>
      <c r="J6" s="33"/>
      <c r="K6" s="33"/>
    </row>
    <row r="7" spans="1:11" ht="19.5" customHeight="1">
      <c r="A7" s="521"/>
      <c r="B7" s="525" t="s">
        <v>24</v>
      </c>
      <c r="C7" s="343" t="s">
        <v>80</v>
      </c>
      <c r="D7" s="436">
        <v>49</v>
      </c>
      <c r="E7" s="431">
        <v>51</v>
      </c>
      <c r="F7" s="344"/>
      <c r="G7" s="345">
        <f t="shared" si="0"/>
        <v>-2</v>
      </c>
      <c r="H7" s="346"/>
      <c r="I7" s="347">
        <f t="shared" si="1"/>
        <v>-3.9215686274509776</v>
      </c>
      <c r="J7" s="33"/>
      <c r="K7" s="33"/>
    </row>
    <row r="8" spans="1:11" ht="19.5" customHeight="1">
      <c r="A8" s="521"/>
      <c r="B8" s="525"/>
      <c r="C8" s="348" t="s">
        <v>209</v>
      </c>
      <c r="D8" s="436">
        <v>2</v>
      </c>
      <c r="E8" s="431">
        <v>0</v>
      </c>
      <c r="F8" s="344"/>
      <c r="G8" s="349">
        <f t="shared" si="0"/>
        <v>2</v>
      </c>
      <c r="H8" s="346"/>
      <c r="I8" s="468" t="s">
        <v>282</v>
      </c>
      <c r="J8" s="33"/>
      <c r="K8" s="33"/>
    </row>
    <row r="9" spans="1:11" ht="19.5" customHeight="1">
      <c r="A9" s="521"/>
      <c r="B9" s="525"/>
      <c r="C9" s="348" t="s">
        <v>169</v>
      </c>
      <c r="D9" s="436">
        <v>23</v>
      </c>
      <c r="E9" s="431">
        <v>21</v>
      </c>
      <c r="F9" s="344"/>
      <c r="G9" s="345">
        <f t="shared" si="0"/>
        <v>2</v>
      </c>
      <c r="H9" s="346"/>
      <c r="I9" s="347">
        <f t="shared" si="1"/>
        <v>9.523809523809534</v>
      </c>
      <c r="J9" s="33"/>
      <c r="K9" s="33"/>
    </row>
    <row r="10" spans="1:11" ht="19.5" customHeight="1">
      <c r="A10" s="521"/>
      <c r="B10" s="525" t="s">
        <v>7</v>
      </c>
      <c r="C10" s="343" t="s">
        <v>74</v>
      </c>
      <c r="D10" s="436">
        <v>14231</v>
      </c>
      <c r="E10" s="431">
        <v>14867</v>
      </c>
      <c r="F10" s="344"/>
      <c r="G10" s="349">
        <f t="shared" si="0"/>
        <v>-636</v>
      </c>
      <c r="H10" s="346"/>
      <c r="I10" s="347">
        <f t="shared" si="1"/>
        <v>-4.277930988094436</v>
      </c>
      <c r="J10" s="33"/>
      <c r="K10" s="33"/>
    </row>
    <row r="11" spans="1:11" ht="19.5" customHeight="1">
      <c r="A11" s="521"/>
      <c r="B11" s="525"/>
      <c r="C11" s="348" t="s">
        <v>209</v>
      </c>
      <c r="D11" s="436">
        <v>661</v>
      </c>
      <c r="E11" s="431">
        <v>634</v>
      </c>
      <c r="F11" s="344"/>
      <c r="G11" s="345">
        <f t="shared" si="0"/>
        <v>27</v>
      </c>
      <c r="H11" s="346"/>
      <c r="I11" s="347">
        <f t="shared" si="1"/>
        <v>4.258675078864349</v>
      </c>
      <c r="J11" s="33"/>
      <c r="K11" s="33"/>
    </row>
    <row r="12" spans="1:11" ht="19.5" customHeight="1" thickBot="1">
      <c r="A12" s="522"/>
      <c r="B12" s="526"/>
      <c r="C12" s="348" t="s">
        <v>169</v>
      </c>
      <c r="D12" s="437">
        <v>2017</v>
      </c>
      <c r="E12" s="432">
        <v>2066</v>
      </c>
      <c r="F12" s="350"/>
      <c r="G12" s="351">
        <f t="shared" si="0"/>
        <v>-49</v>
      </c>
      <c r="H12" s="352"/>
      <c r="I12" s="353">
        <f t="shared" si="1"/>
        <v>-2.3717328170377527</v>
      </c>
      <c r="J12" s="33"/>
      <c r="K12" s="33"/>
    </row>
    <row r="13" spans="1:11" ht="19.5" customHeight="1">
      <c r="A13" s="520" t="s">
        <v>212</v>
      </c>
      <c r="B13" s="523" t="s">
        <v>147</v>
      </c>
      <c r="C13" s="524"/>
      <c r="D13" s="435">
        <v>37920</v>
      </c>
      <c r="E13" s="430">
        <v>40607</v>
      </c>
      <c r="F13" s="339"/>
      <c r="G13" s="354">
        <f t="shared" si="0"/>
        <v>-2687</v>
      </c>
      <c r="H13" s="341"/>
      <c r="I13" s="342">
        <f t="shared" si="1"/>
        <v>-6.6170857241362295</v>
      </c>
      <c r="J13" s="33"/>
      <c r="K13" s="33"/>
    </row>
    <row r="14" spans="1:11" ht="19.5" customHeight="1">
      <c r="A14" s="521"/>
      <c r="B14" s="525" t="s">
        <v>24</v>
      </c>
      <c r="C14" s="343" t="s">
        <v>74</v>
      </c>
      <c r="D14" s="436">
        <v>161</v>
      </c>
      <c r="E14" s="431">
        <v>196</v>
      </c>
      <c r="F14" s="344"/>
      <c r="G14" s="355">
        <f t="shared" si="0"/>
        <v>-35</v>
      </c>
      <c r="H14" s="346"/>
      <c r="I14" s="347">
        <f t="shared" si="1"/>
        <v>-17.85714285714286</v>
      </c>
      <c r="J14" s="33"/>
      <c r="K14" s="33"/>
    </row>
    <row r="15" spans="1:11" ht="19.5" customHeight="1">
      <c r="A15" s="521"/>
      <c r="B15" s="525"/>
      <c r="C15" s="348" t="s">
        <v>209</v>
      </c>
      <c r="D15" s="436">
        <v>2</v>
      </c>
      <c r="E15" s="431">
        <v>7</v>
      </c>
      <c r="F15" s="344"/>
      <c r="G15" s="355">
        <f t="shared" si="0"/>
        <v>-5</v>
      </c>
      <c r="H15" s="346"/>
      <c r="I15" s="347">
        <f t="shared" si="1"/>
        <v>-71.42857142857143</v>
      </c>
      <c r="J15" s="33"/>
      <c r="K15" s="33"/>
    </row>
    <row r="16" spans="1:11" ht="19.5" customHeight="1">
      <c r="A16" s="521"/>
      <c r="B16" s="525"/>
      <c r="C16" s="348" t="s">
        <v>169</v>
      </c>
      <c r="D16" s="436">
        <v>74</v>
      </c>
      <c r="E16" s="431">
        <v>78</v>
      </c>
      <c r="F16" s="344"/>
      <c r="G16" s="355">
        <f aca="true" t="shared" si="2" ref="G16:G22">D16-E16</f>
        <v>-4</v>
      </c>
      <c r="H16" s="346"/>
      <c r="I16" s="347">
        <f aca="true" t="shared" si="3" ref="I16:I22">(D16/E16-1)*100</f>
        <v>-5.128205128205132</v>
      </c>
      <c r="J16" s="33"/>
      <c r="K16" s="33"/>
    </row>
    <row r="17" spans="1:11" ht="19.5" customHeight="1">
      <c r="A17" s="521"/>
      <c r="B17" s="525" t="s">
        <v>7</v>
      </c>
      <c r="C17" s="343" t="s">
        <v>74</v>
      </c>
      <c r="D17" s="436">
        <v>45460</v>
      </c>
      <c r="E17" s="431">
        <v>48481</v>
      </c>
      <c r="F17" s="344"/>
      <c r="G17" s="355">
        <f t="shared" si="2"/>
        <v>-3021</v>
      </c>
      <c r="H17" s="346"/>
      <c r="I17" s="347">
        <f t="shared" si="3"/>
        <v>-6.23130711000186</v>
      </c>
      <c r="J17" s="33"/>
      <c r="K17" s="33"/>
    </row>
    <row r="18" spans="1:11" ht="19.5" customHeight="1">
      <c r="A18" s="521"/>
      <c r="B18" s="525"/>
      <c r="C18" s="348" t="s">
        <v>209</v>
      </c>
      <c r="D18" s="436">
        <v>2573</v>
      </c>
      <c r="E18" s="431">
        <v>2706</v>
      </c>
      <c r="F18" s="344"/>
      <c r="G18" s="355">
        <f t="shared" si="2"/>
        <v>-133</v>
      </c>
      <c r="H18" s="346"/>
      <c r="I18" s="347">
        <f t="shared" si="3"/>
        <v>-4.915003695491505</v>
      </c>
      <c r="J18" s="33"/>
      <c r="K18" s="33"/>
    </row>
    <row r="19" spans="1:11" ht="19.5" customHeight="1" thickBot="1">
      <c r="A19" s="522"/>
      <c r="B19" s="526"/>
      <c r="C19" s="348" t="s">
        <v>169</v>
      </c>
      <c r="D19" s="437">
        <v>6610</v>
      </c>
      <c r="E19" s="432">
        <v>6661</v>
      </c>
      <c r="F19" s="350"/>
      <c r="G19" s="351">
        <f t="shared" si="2"/>
        <v>-51</v>
      </c>
      <c r="H19" s="352"/>
      <c r="I19" s="353">
        <f t="shared" si="3"/>
        <v>-0.7656508031827047</v>
      </c>
      <c r="J19" s="33"/>
      <c r="K19" s="33"/>
    </row>
    <row r="20" spans="1:11" ht="19.5" customHeight="1">
      <c r="A20" s="527" t="s">
        <v>241</v>
      </c>
      <c r="B20" s="528" t="s">
        <v>247</v>
      </c>
      <c r="C20" s="529"/>
      <c r="D20" s="438">
        <v>499201</v>
      </c>
      <c r="E20" s="433">
        <v>536899</v>
      </c>
      <c r="F20" s="356"/>
      <c r="G20" s="349">
        <f t="shared" si="2"/>
        <v>-37698</v>
      </c>
      <c r="H20" s="357"/>
      <c r="I20" s="358">
        <f t="shared" si="3"/>
        <v>-7.021432336435717</v>
      </c>
      <c r="J20" s="33"/>
      <c r="K20" s="33"/>
    </row>
    <row r="21" spans="1:11" ht="19.5" customHeight="1">
      <c r="A21" s="521"/>
      <c r="B21" s="530" t="s">
        <v>19</v>
      </c>
      <c r="C21" s="531"/>
      <c r="D21" s="436">
        <v>3904</v>
      </c>
      <c r="E21" s="431">
        <v>4117</v>
      </c>
      <c r="F21" s="344"/>
      <c r="G21" s="345">
        <f t="shared" si="2"/>
        <v>-213</v>
      </c>
      <c r="H21" s="346"/>
      <c r="I21" s="347">
        <f t="shared" si="3"/>
        <v>-5.173670148166143</v>
      </c>
      <c r="J21" s="33"/>
      <c r="K21" s="33"/>
    </row>
    <row r="22" spans="1:11" ht="19.5" customHeight="1" thickBot="1">
      <c r="A22" s="522"/>
      <c r="B22" s="532" t="s">
        <v>121</v>
      </c>
      <c r="C22" s="533"/>
      <c r="D22" s="437">
        <v>618853</v>
      </c>
      <c r="E22" s="432">
        <v>666023</v>
      </c>
      <c r="F22" s="350"/>
      <c r="G22" s="351">
        <f t="shared" si="2"/>
        <v>-47170</v>
      </c>
      <c r="H22" s="352"/>
      <c r="I22" s="347">
        <f t="shared" si="3"/>
        <v>-7.082337997336429</v>
      </c>
      <c r="J22" s="33"/>
      <c r="K22" s="33"/>
    </row>
    <row r="23" spans="1:11" ht="13.5">
      <c r="A23" s="3"/>
      <c r="B23" s="534" t="s">
        <v>132</v>
      </c>
      <c r="C23" s="534"/>
      <c r="D23" s="534"/>
      <c r="E23" s="534"/>
      <c r="F23" s="534"/>
      <c r="G23" s="534"/>
      <c r="H23" s="534"/>
      <c r="I23" s="534"/>
      <c r="J23" s="33"/>
      <c r="K23" s="33"/>
    </row>
    <row r="24" spans="1:11" ht="22.5" customHeight="1">
      <c r="A24" s="3"/>
      <c r="B24" s="181"/>
      <c r="C24" s="181"/>
      <c r="D24" s="181"/>
      <c r="E24" s="181"/>
      <c r="F24" s="181"/>
      <c r="G24" s="181"/>
      <c r="H24" s="181"/>
      <c r="I24" s="181"/>
      <c r="J24" s="33"/>
      <c r="K24" s="33"/>
    </row>
    <row r="25" spans="1:11" ht="14.25" thickBot="1">
      <c r="A25" s="3" t="s">
        <v>208</v>
      </c>
      <c r="B25" s="33"/>
      <c r="C25" s="33"/>
      <c r="D25" s="33"/>
      <c r="E25" s="33"/>
      <c r="F25" s="33"/>
      <c r="G25" s="33"/>
      <c r="H25" s="33"/>
      <c r="I25" s="33"/>
      <c r="J25" s="535" t="s">
        <v>33</v>
      </c>
      <c r="K25" s="535"/>
    </row>
    <row r="26" spans="1:11" ht="13.5">
      <c r="A26" s="5"/>
      <c r="B26" s="359"/>
      <c r="C26" s="359"/>
      <c r="D26" s="360" t="s">
        <v>238</v>
      </c>
      <c r="E26" s="536" t="s">
        <v>276</v>
      </c>
      <c r="F26" s="537"/>
      <c r="G26" s="540" t="s">
        <v>275</v>
      </c>
      <c r="H26" s="541"/>
      <c r="I26" s="523" t="s">
        <v>50</v>
      </c>
      <c r="J26" s="544"/>
      <c r="K26" s="545"/>
    </row>
    <row r="27" spans="1:11" ht="14.25" thickBot="1">
      <c r="A27" s="8" t="s">
        <v>26</v>
      </c>
      <c r="B27" s="29"/>
      <c r="C27" s="29"/>
      <c r="D27" s="361"/>
      <c r="E27" s="538"/>
      <c r="F27" s="539"/>
      <c r="G27" s="542"/>
      <c r="H27" s="543"/>
      <c r="I27" s="362" t="s">
        <v>184</v>
      </c>
      <c r="J27" s="546" t="s">
        <v>256</v>
      </c>
      <c r="K27" s="547"/>
    </row>
    <row r="28" spans="1:11" ht="13.5">
      <c r="A28" s="18" t="s">
        <v>46</v>
      </c>
      <c r="B28" s="19"/>
      <c r="C28" s="19"/>
      <c r="D28" s="363"/>
      <c r="E28" s="19">
        <v>49</v>
      </c>
      <c r="F28" s="19"/>
      <c r="G28" s="20">
        <v>51</v>
      </c>
      <c r="H28" s="364"/>
      <c r="I28" s="365">
        <f aca="true" t="shared" si="4" ref="I28:I41">E28-G28</f>
        <v>-2</v>
      </c>
      <c r="J28" s="548">
        <f>(E28/G28-1)*100</f>
        <v>-3.9215686274509776</v>
      </c>
      <c r="K28" s="549">
        <f aca="true" t="shared" si="5" ref="K28:K41">(F28/G28-1)*100</f>
        <v>-100</v>
      </c>
    </row>
    <row r="29" spans="1:11" ht="13.5">
      <c r="A29" s="550" t="s">
        <v>78</v>
      </c>
      <c r="B29" s="366" t="s">
        <v>239</v>
      </c>
      <c r="C29" s="367"/>
      <c r="D29" s="368"/>
      <c r="E29" s="22">
        <v>23</v>
      </c>
      <c r="F29" s="22"/>
      <c r="G29" s="23">
        <v>21</v>
      </c>
      <c r="H29" s="369"/>
      <c r="I29" s="370">
        <f t="shared" si="4"/>
        <v>2</v>
      </c>
      <c r="J29" s="553">
        <f>(E29/G29-1)*100</f>
        <v>9.523809523809534</v>
      </c>
      <c r="K29" s="554">
        <f t="shared" si="5"/>
        <v>-100</v>
      </c>
    </row>
    <row r="30" spans="1:11" ht="13.5">
      <c r="A30" s="551"/>
      <c r="B30" s="25" t="s">
        <v>161</v>
      </c>
      <c r="C30" s="24"/>
      <c r="D30" s="371"/>
      <c r="E30" s="24">
        <v>2</v>
      </c>
      <c r="F30" s="24"/>
      <c r="G30" s="25">
        <v>0</v>
      </c>
      <c r="H30" s="372"/>
      <c r="I30" s="373">
        <f t="shared" si="4"/>
        <v>2</v>
      </c>
      <c r="J30" s="553" t="s">
        <v>283</v>
      </c>
      <c r="K30" s="554" t="e">
        <f t="shared" si="5"/>
        <v>#DIV/0!</v>
      </c>
    </row>
    <row r="31" spans="1:11" ht="13.5">
      <c r="A31" s="552"/>
      <c r="B31" s="27" t="s">
        <v>146</v>
      </c>
      <c r="C31" s="26"/>
      <c r="D31" s="374"/>
      <c r="E31" s="26">
        <f>E28-(E29+E30)</f>
        <v>24</v>
      </c>
      <c r="F31" s="26"/>
      <c r="G31" s="27">
        <v>30</v>
      </c>
      <c r="H31" s="375"/>
      <c r="I31" s="370">
        <f t="shared" si="4"/>
        <v>-6</v>
      </c>
      <c r="J31" s="555">
        <f>(E31/G31-1)*100</f>
        <v>-19.999999999999996</v>
      </c>
      <c r="K31" s="556">
        <f t="shared" si="5"/>
        <v>-100</v>
      </c>
    </row>
    <row r="32" spans="1:11" ht="13.5">
      <c r="A32" s="557" t="s">
        <v>236</v>
      </c>
      <c r="B32" s="22" t="s">
        <v>137</v>
      </c>
      <c r="C32" s="22"/>
      <c r="D32" s="368"/>
      <c r="E32" s="22">
        <v>6</v>
      </c>
      <c r="F32" s="22"/>
      <c r="G32" s="23">
        <v>2</v>
      </c>
      <c r="H32" s="369"/>
      <c r="I32" s="373">
        <f t="shared" si="4"/>
        <v>4</v>
      </c>
      <c r="J32" s="560">
        <f>(E32/G32-1)*100</f>
        <v>200</v>
      </c>
      <c r="K32" s="561">
        <f t="shared" si="5"/>
        <v>-100</v>
      </c>
    </row>
    <row r="33" spans="1:11" ht="13.5">
      <c r="A33" s="558"/>
      <c r="B33" s="376"/>
      <c r="C33" s="377" t="s">
        <v>193</v>
      </c>
      <c r="D33" s="371"/>
      <c r="E33" s="24">
        <v>2</v>
      </c>
      <c r="F33" s="24"/>
      <c r="G33" s="25">
        <v>2</v>
      </c>
      <c r="H33" s="372"/>
      <c r="I33" s="370">
        <f t="shared" si="4"/>
        <v>0</v>
      </c>
      <c r="J33" s="560">
        <f>(E33/G33-1)*100</f>
        <v>0</v>
      </c>
      <c r="K33" s="561">
        <f>(F33/G33-1)*100</f>
        <v>-100</v>
      </c>
    </row>
    <row r="34" spans="1:11" ht="13.5">
      <c r="A34" s="558"/>
      <c r="B34" s="22" t="s">
        <v>204</v>
      </c>
      <c r="C34" s="22"/>
      <c r="D34" s="368"/>
      <c r="E34" s="22">
        <v>8</v>
      </c>
      <c r="F34" s="22"/>
      <c r="G34" s="23">
        <v>19</v>
      </c>
      <c r="H34" s="369"/>
      <c r="I34" s="373">
        <f t="shared" si="4"/>
        <v>-11</v>
      </c>
      <c r="J34" s="553">
        <f aca="true" t="shared" si="6" ref="J34:J40">(E34/G34-1)*100</f>
        <v>-57.89473684210527</v>
      </c>
      <c r="K34" s="554">
        <f t="shared" si="5"/>
        <v>-100</v>
      </c>
    </row>
    <row r="35" spans="1:11" ht="13.5">
      <c r="A35" s="558"/>
      <c r="B35" s="24" t="s">
        <v>136</v>
      </c>
      <c r="C35" s="24"/>
      <c r="D35" s="371"/>
      <c r="E35" s="24">
        <v>3</v>
      </c>
      <c r="F35" s="24"/>
      <c r="G35" s="25">
        <v>3</v>
      </c>
      <c r="H35" s="372"/>
      <c r="I35" s="370">
        <f t="shared" si="4"/>
        <v>0</v>
      </c>
      <c r="J35" s="555">
        <f t="shared" si="6"/>
        <v>0</v>
      </c>
      <c r="K35" s="556">
        <f t="shared" si="5"/>
        <v>-100</v>
      </c>
    </row>
    <row r="36" spans="1:11" ht="13.5">
      <c r="A36" s="558"/>
      <c r="B36" s="22" t="s">
        <v>206</v>
      </c>
      <c r="C36" s="22"/>
      <c r="D36" s="368"/>
      <c r="E36" s="22">
        <v>12</v>
      </c>
      <c r="F36" s="22"/>
      <c r="G36" s="23">
        <v>10</v>
      </c>
      <c r="H36" s="369"/>
      <c r="I36" s="373">
        <f t="shared" si="4"/>
        <v>2</v>
      </c>
      <c r="J36" s="560">
        <f t="shared" si="6"/>
        <v>19.999999999999996</v>
      </c>
      <c r="K36" s="561">
        <f t="shared" si="5"/>
        <v>-100</v>
      </c>
    </row>
    <row r="37" spans="1:11" ht="13.5">
      <c r="A37" s="559"/>
      <c r="B37" s="24" t="s">
        <v>146</v>
      </c>
      <c r="C37" s="24"/>
      <c r="D37" s="371"/>
      <c r="E37" s="24">
        <v>20</v>
      </c>
      <c r="F37" s="24"/>
      <c r="G37" s="25">
        <v>17</v>
      </c>
      <c r="H37" s="372"/>
      <c r="I37" s="370">
        <f t="shared" si="4"/>
        <v>3</v>
      </c>
      <c r="J37" s="555">
        <f t="shared" si="6"/>
        <v>17.647058823529417</v>
      </c>
      <c r="K37" s="556">
        <f t="shared" si="5"/>
        <v>-100</v>
      </c>
    </row>
    <row r="38" spans="1:11" ht="13.5">
      <c r="A38" s="557" t="s">
        <v>86</v>
      </c>
      <c r="B38" s="22" t="s">
        <v>16</v>
      </c>
      <c r="C38" s="22"/>
      <c r="D38" s="368"/>
      <c r="E38" s="22">
        <v>17</v>
      </c>
      <c r="F38" s="22"/>
      <c r="G38" s="23">
        <v>16</v>
      </c>
      <c r="H38" s="369"/>
      <c r="I38" s="373">
        <f t="shared" si="4"/>
        <v>1</v>
      </c>
      <c r="J38" s="560">
        <f t="shared" si="6"/>
        <v>6.25</v>
      </c>
      <c r="K38" s="561">
        <f t="shared" si="5"/>
        <v>-100</v>
      </c>
    </row>
    <row r="39" spans="1:11" ht="13.5">
      <c r="A39" s="558"/>
      <c r="B39" s="24" t="s">
        <v>259</v>
      </c>
      <c r="C39" s="24"/>
      <c r="D39" s="371"/>
      <c r="E39" s="24">
        <v>19</v>
      </c>
      <c r="F39" s="24"/>
      <c r="G39" s="25">
        <v>31</v>
      </c>
      <c r="H39" s="372"/>
      <c r="I39" s="370">
        <f t="shared" si="4"/>
        <v>-12</v>
      </c>
      <c r="J39" s="560">
        <f t="shared" si="6"/>
        <v>-38.70967741935484</v>
      </c>
      <c r="K39" s="561">
        <f t="shared" si="5"/>
        <v>-100</v>
      </c>
    </row>
    <row r="40" spans="1:11" ht="13.5">
      <c r="A40" s="558"/>
      <c r="B40" s="24" t="s">
        <v>27</v>
      </c>
      <c r="C40" s="24"/>
      <c r="D40" s="371"/>
      <c r="E40" s="24">
        <v>12</v>
      </c>
      <c r="F40" s="24"/>
      <c r="G40" s="25">
        <v>4</v>
      </c>
      <c r="H40" s="372"/>
      <c r="I40" s="370">
        <f t="shared" si="4"/>
        <v>8</v>
      </c>
      <c r="J40" s="560">
        <f t="shared" si="6"/>
        <v>200</v>
      </c>
      <c r="K40" s="561">
        <f t="shared" si="5"/>
        <v>-100</v>
      </c>
    </row>
    <row r="41" spans="1:11" ht="14.25" thickBot="1">
      <c r="A41" s="562"/>
      <c r="B41" s="29" t="s">
        <v>116</v>
      </c>
      <c r="C41" s="29"/>
      <c r="D41" s="361"/>
      <c r="E41" s="29">
        <v>1</v>
      </c>
      <c r="F41" s="29"/>
      <c r="G41" s="30">
        <v>0</v>
      </c>
      <c r="H41" s="378"/>
      <c r="I41" s="379">
        <f t="shared" si="4"/>
        <v>1</v>
      </c>
      <c r="J41" s="563" t="s">
        <v>127</v>
      </c>
      <c r="K41" s="564" t="e">
        <f t="shared" si="5"/>
        <v>#DIV/0!</v>
      </c>
    </row>
    <row r="42" spans="2:11" ht="13.5">
      <c r="B42" s="380"/>
      <c r="C42" s="380"/>
      <c r="D42" s="380"/>
      <c r="E42" s="380"/>
      <c r="F42" s="380"/>
      <c r="G42" s="380"/>
      <c r="H42" s="380"/>
      <c r="I42" s="380"/>
      <c r="J42" s="380"/>
      <c r="K42" s="380"/>
    </row>
  </sheetData>
  <sheetProtection/>
  <mergeCells count="39">
    <mergeCell ref="J36:K36"/>
    <mergeCell ref="J37:K37"/>
    <mergeCell ref="A38:A41"/>
    <mergeCell ref="J38:K38"/>
    <mergeCell ref="J39:K39"/>
    <mergeCell ref="J40:K40"/>
    <mergeCell ref="J41:K41"/>
    <mergeCell ref="J28:K28"/>
    <mergeCell ref="A29:A31"/>
    <mergeCell ref="J29:K29"/>
    <mergeCell ref="J30:K30"/>
    <mergeCell ref="J31:K31"/>
    <mergeCell ref="A32:A37"/>
    <mergeCell ref="J32:K32"/>
    <mergeCell ref="J33:K33"/>
    <mergeCell ref="J34:K34"/>
    <mergeCell ref="J35:K35"/>
    <mergeCell ref="B23:I23"/>
    <mergeCell ref="J25:K25"/>
    <mergeCell ref="E26:F27"/>
    <mergeCell ref="G26:H27"/>
    <mergeCell ref="I26:K26"/>
    <mergeCell ref="J27:K27"/>
    <mergeCell ref="A13:A19"/>
    <mergeCell ref="B13:C13"/>
    <mergeCell ref="B14:B16"/>
    <mergeCell ref="B17:B19"/>
    <mergeCell ref="A20:A22"/>
    <mergeCell ref="B20:C20"/>
    <mergeCell ref="B21:C21"/>
    <mergeCell ref="B22:C22"/>
    <mergeCell ref="E3:I3"/>
    <mergeCell ref="D4:D5"/>
    <mergeCell ref="E4:E5"/>
    <mergeCell ref="F4:I4"/>
    <mergeCell ref="A6:A12"/>
    <mergeCell ref="B6:C6"/>
    <mergeCell ref="B7:B9"/>
    <mergeCell ref="B10:B12"/>
  </mergeCells>
  <printOptions/>
  <pageMargins left="0.984251968503937" right="0.3937007874015748" top="0.984251968503937" bottom="0.984251968503937" header="0.31496062992125984" footer="0.5118110236220472"/>
  <pageSetup horizontalDpi="600" verticalDpi="600" orientation="portrait" paperSize="9" r:id="rId2"/>
  <headerFooter alignWithMargins="0">
    <oddFooter>&amp;C-1-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7.625" style="0" customWidth="1"/>
    <col min="2" max="12" width="8.125" style="0" customWidth="1"/>
    <col min="13" max="13" width="5.50390625" style="0" customWidth="1"/>
  </cols>
  <sheetData>
    <row r="1" spans="1:11" ht="21" customHeight="1">
      <c r="A1" t="s">
        <v>41</v>
      </c>
      <c r="F1" s="660" t="s">
        <v>180</v>
      </c>
      <c r="G1" s="660"/>
      <c r="H1" s="660"/>
      <c r="I1" s="660"/>
      <c r="J1" s="660"/>
      <c r="K1" s="214"/>
    </row>
    <row r="2" spans="1:11" ht="13.5">
      <c r="A2" s="215" t="s">
        <v>26</v>
      </c>
      <c r="B2" s="662" t="s">
        <v>34</v>
      </c>
      <c r="C2" s="663"/>
      <c r="D2" s="664"/>
      <c r="E2" s="665" t="s">
        <v>115</v>
      </c>
      <c r="F2" s="666"/>
      <c r="G2" s="667"/>
      <c r="H2" s="668" t="s">
        <v>5</v>
      </c>
      <c r="I2" s="669"/>
      <c r="J2" s="670"/>
      <c r="K2" s="216"/>
    </row>
    <row r="3" spans="1:11" ht="13.5">
      <c r="A3" s="217" t="s">
        <v>198</v>
      </c>
      <c r="B3" s="218" t="s">
        <v>191</v>
      </c>
      <c r="C3" s="219" t="s">
        <v>146</v>
      </c>
      <c r="D3" s="220" t="s">
        <v>218</v>
      </c>
      <c r="E3" s="218" t="s">
        <v>191</v>
      </c>
      <c r="F3" s="219" t="s">
        <v>146</v>
      </c>
      <c r="G3" s="221" t="s">
        <v>218</v>
      </c>
      <c r="H3" s="222" t="s">
        <v>191</v>
      </c>
      <c r="I3" s="219" t="s">
        <v>146</v>
      </c>
      <c r="J3" s="221" t="s">
        <v>218</v>
      </c>
      <c r="K3" s="223"/>
    </row>
    <row r="4" spans="1:11" ht="19.5" customHeight="1">
      <c r="A4" s="509">
        <v>1</v>
      </c>
      <c r="B4" s="321">
        <v>550</v>
      </c>
      <c r="C4" s="333">
        <v>398</v>
      </c>
      <c r="D4" s="225">
        <f aca="true" t="shared" si="0" ref="D4:D15">SUM(B4:C4)</f>
        <v>948</v>
      </c>
      <c r="E4" s="321">
        <v>5</v>
      </c>
      <c r="F4" s="333">
        <v>2</v>
      </c>
      <c r="G4" s="225">
        <f aca="true" t="shared" si="1" ref="G4:G15">SUM(E4:F4)</f>
        <v>7</v>
      </c>
      <c r="H4" s="321">
        <v>670</v>
      </c>
      <c r="I4" s="333">
        <v>438</v>
      </c>
      <c r="J4" s="224">
        <f aca="true" t="shared" si="2" ref="J4:J15">SUM(H4:I4)</f>
        <v>1108</v>
      </c>
      <c r="K4" s="226"/>
    </row>
    <row r="5" spans="1:11" ht="19.5" customHeight="1">
      <c r="A5" s="510">
        <v>2</v>
      </c>
      <c r="B5" s="324">
        <v>590</v>
      </c>
      <c r="C5" s="335">
        <v>394</v>
      </c>
      <c r="D5" s="228">
        <f t="shared" si="0"/>
        <v>984</v>
      </c>
      <c r="E5" s="324">
        <v>1</v>
      </c>
      <c r="F5" s="335">
        <v>2</v>
      </c>
      <c r="G5" s="228">
        <f t="shared" si="1"/>
        <v>3</v>
      </c>
      <c r="H5" s="324">
        <v>725</v>
      </c>
      <c r="I5" s="335">
        <v>441</v>
      </c>
      <c r="J5" s="227">
        <f t="shared" si="2"/>
        <v>1166</v>
      </c>
      <c r="K5" s="226"/>
    </row>
    <row r="6" spans="1:11" ht="19.5" customHeight="1">
      <c r="A6" s="510">
        <v>3</v>
      </c>
      <c r="B6" s="324">
        <v>675</v>
      </c>
      <c r="C6" s="335">
        <v>429</v>
      </c>
      <c r="D6" s="228">
        <f t="shared" si="0"/>
        <v>1104</v>
      </c>
      <c r="E6" s="324">
        <v>4</v>
      </c>
      <c r="F6" s="335">
        <v>0</v>
      </c>
      <c r="G6" s="228">
        <f t="shared" si="1"/>
        <v>4</v>
      </c>
      <c r="H6" s="324">
        <v>796</v>
      </c>
      <c r="I6" s="335">
        <v>470</v>
      </c>
      <c r="J6" s="227">
        <f t="shared" si="2"/>
        <v>1266</v>
      </c>
      <c r="K6" s="226"/>
    </row>
    <row r="7" spans="1:11" ht="19.5" customHeight="1">
      <c r="A7" s="510">
        <v>4</v>
      </c>
      <c r="B7" s="324">
        <v>573</v>
      </c>
      <c r="C7" s="335">
        <v>393</v>
      </c>
      <c r="D7" s="228">
        <f t="shared" si="0"/>
        <v>966</v>
      </c>
      <c r="E7" s="324">
        <v>1</v>
      </c>
      <c r="F7" s="335">
        <v>0</v>
      </c>
      <c r="G7" s="228">
        <f t="shared" si="1"/>
        <v>1</v>
      </c>
      <c r="H7" s="324">
        <v>689</v>
      </c>
      <c r="I7" s="335">
        <v>436</v>
      </c>
      <c r="J7" s="227">
        <f t="shared" si="2"/>
        <v>1125</v>
      </c>
      <c r="K7" s="226"/>
    </row>
    <row r="8" spans="1:11" ht="19.5" customHeight="1">
      <c r="A8" s="510">
        <v>5</v>
      </c>
      <c r="B8" s="324">
        <v>581</v>
      </c>
      <c r="C8" s="335">
        <v>417</v>
      </c>
      <c r="D8" s="228">
        <f t="shared" si="0"/>
        <v>998</v>
      </c>
      <c r="E8" s="324">
        <v>2</v>
      </c>
      <c r="F8" s="335">
        <v>0</v>
      </c>
      <c r="G8" s="228">
        <f t="shared" si="1"/>
        <v>2</v>
      </c>
      <c r="H8" s="324">
        <v>691</v>
      </c>
      <c r="I8" s="335">
        <v>465</v>
      </c>
      <c r="J8" s="227">
        <f t="shared" si="2"/>
        <v>1156</v>
      </c>
      <c r="K8" s="226"/>
    </row>
    <row r="9" spans="1:11" ht="19.5" customHeight="1">
      <c r="A9" s="510">
        <v>6</v>
      </c>
      <c r="B9" s="324">
        <v>570</v>
      </c>
      <c r="C9" s="335">
        <v>378</v>
      </c>
      <c r="D9" s="228">
        <f t="shared" si="0"/>
        <v>948</v>
      </c>
      <c r="E9" s="324">
        <v>3</v>
      </c>
      <c r="F9" s="335">
        <v>4</v>
      </c>
      <c r="G9" s="228">
        <f t="shared" si="1"/>
        <v>7</v>
      </c>
      <c r="H9" s="324">
        <v>677</v>
      </c>
      <c r="I9" s="335">
        <v>423</v>
      </c>
      <c r="J9" s="227">
        <f t="shared" si="2"/>
        <v>1100</v>
      </c>
      <c r="K9" s="226"/>
    </row>
    <row r="10" spans="1:11" ht="19.5" customHeight="1">
      <c r="A10" s="510">
        <v>7</v>
      </c>
      <c r="B10" s="324">
        <v>594</v>
      </c>
      <c r="C10" s="335">
        <v>413</v>
      </c>
      <c r="D10" s="228">
        <f t="shared" si="0"/>
        <v>1007</v>
      </c>
      <c r="E10" s="324">
        <v>0</v>
      </c>
      <c r="F10" s="335">
        <v>1</v>
      </c>
      <c r="G10" s="228">
        <f t="shared" si="1"/>
        <v>1</v>
      </c>
      <c r="H10" s="324">
        <v>739</v>
      </c>
      <c r="I10" s="335">
        <v>458</v>
      </c>
      <c r="J10" s="227">
        <f t="shared" si="2"/>
        <v>1197</v>
      </c>
      <c r="K10" s="226"/>
    </row>
    <row r="11" spans="1:11" ht="19.5" customHeight="1">
      <c r="A11" s="510">
        <v>8</v>
      </c>
      <c r="B11" s="324">
        <v>616</v>
      </c>
      <c r="C11" s="335">
        <v>434</v>
      </c>
      <c r="D11" s="228">
        <f t="shared" si="0"/>
        <v>1050</v>
      </c>
      <c r="E11" s="324">
        <v>3</v>
      </c>
      <c r="F11" s="335">
        <v>2</v>
      </c>
      <c r="G11" s="228">
        <f t="shared" si="1"/>
        <v>5</v>
      </c>
      <c r="H11" s="324">
        <v>772</v>
      </c>
      <c r="I11" s="335">
        <v>482</v>
      </c>
      <c r="J11" s="227">
        <f t="shared" si="2"/>
        <v>1254</v>
      </c>
      <c r="K11" s="226"/>
    </row>
    <row r="12" spans="1:11" ht="19.5" customHeight="1">
      <c r="A12" s="510">
        <v>9</v>
      </c>
      <c r="B12" s="324">
        <v>671</v>
      </c>
      <c r="C12" s="335">
        <v>415</v>
      </c>
      <c r="D12" s="228">
        <f t="shared" si="0"/>
        <v>1086</v>
      </c>
      <c r="E12" s="324">
        <v>4</v>
      </c>
      <c r="F12" s="335">
        <v>2</v>
      </c>
      <c r="G12" s="228">
        <f t="shared" si="1"/>
        <v>6</v>
      </c>
      <c r="H12" s="324">
        <v>809</v>
      </c>
      <c r="I12" s="335">
        <v>474</v>
      </c>
      <c r="J12" s="227">
        <f t="shared" si="2"/>
        <v>1283</v>
      </c>
      <c r="K12" s="226"/>
    </row>
    <row r="13" spans="1:11" ht="19.5" customHeight="1">
      <c r="A13" s="510">
        <v>10</v>
      </c>
      <c r="B13" s="324">
        <v>552</v>
      </c>
      <c r="C13" s="335">
        <v>392</v>
      </c>
      <c r="D13" s="228">
        <f t="shared" si="0"/>
        <v>944</v>
      </c>
      <c r="E13" s="324">
        <v>1</v>
      </c>
      <c r="F13" s="335">
        <v>1</v>
      </c>
      <c r="G13" s="228">
        <f t="shared" si="1"/>
        <v>2</v>
      </c>
      <c r="H13" s="324">
        <v>656</v>
      </c>
      <c r="I13" s="335">
        <v>428</v>
      </c>
      <c r="J13" s="227">
        <f t="shared" si="2"/>
        <v>1084</v>
      </c>
      <c r="K13" s="226"/>
    </row>
    <row r="14" spans="1:11" ht="19.5" customHeight="1">
      <c r="A14" s="510">
        <v>11</v>
      </c>
      <c r="B14" s="324">
        <v>612</v>
      </c>
      <c r="C14" s="335">
        <v>411</v>
      </c>
      <c r="D14" s="228">
        <f t="shared" si="0"/>
        <v>1023</v>
      </c>
      <c r="E14" s="324">
        <v>2</v>
      </c>
      <c r="F14" s="335">
        <v>3</v>
      </c>
      <c r="G14" s="228">
        <f t="shared" si="1"/>
        <v>5</v>
      </c>
      <c r="H14" s="324">
        <v>731</v>
      </c>
      <c r="I14" s="335">
        <v>457</v>
      </c>
      <c r="J14" s="227">
        <f t="shared" si="2"/>
        <v>1188</v>
      </c>
      <c r="K14" s="226"/>
    </row>
    <row r="15" spans="1:11" ht="19.5" customHeight="1">
      <c r="A15" s="511">
        <v>12</v>
      </c>
      <c r="B15" s="332">
        <v>685</v>
      </c>
      <c r="C15" s="336">
        <v>430</v>
      </c>
      <c r="D15" s="230">
        <f t="shared" si="0"/>
        <v>1115</v>
      </c>
      <c r="E15" s="332">
        <v>4</v>
      </c>
      <c r="F15" s="336">
        <v>2</v>
      </c>
      <c r="G15" s="230">
        <f t="shared" si="1"/>
        <v>6</v>
      </c>
      <c r="H15" s="332">
        <v>836</v>
      </c>
      <c r="I15" s="336">
        <v>468</v>
      </c>
      <c r="J15" s="229">
        <f t="shared" si="2"/>
        <v>1304</v>
      </c>
      <c r="K15" s="226"/>
    </row>
    <row r="16" spans="1:11" ht="19.5" customHeight="1">
      <c r="A16" s="231" t="s">
        <v>218</v>
      </c>
      <c r="B16" s="232">
        <f>SUM(B4:B15)</f>
        <v>7269</v>
      </c>
      <c r="C16" s="232">
        <f>SUM(C4:C15)</f>
        <v>4904</v>
      </c>
      <c r="D16" s="233">
        <f aca="true" t="shared" si="3" ref="D16:J16">SUM(D4:D15)</f>
        <v>12173</v>
      </c>
      <c r="E16" s="234">
        <f t="shared" si="3"/>
        <v>30</v>
      </c>
      <c r="F16" s="232">
        <f t="shared" si="3"/>
        <v>19</v>
      </c>
      <c r="G16" s="235">
        <f t="shared" si="3"/>
        <v>49</v>
      </c>
      <c r="H16" s="234">
        <f t="shared" si="3"/>
        <v>8791</v>
      </c>
      <c r="I16" s="232">
        <f t="shared" si="3"/>
        <v>5440</v>
      </c>
      <c r="J16" s="235">
        <f t="shared" si="3"/>
        <v>14231</v>
      </c>
      <c r="K16" s="226"/>
    </row>
    <row r="17" spans="1:11" ht="13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5" ht="13.5">
      <c r="A19" s="31" t="s">
        <v>66</v>
      </c>
      <c r="B19" s="31"/>
      <c r="C19" s="31"/>
      <c r="D19" s="31"/>
      <c r="E19" s="31"/>
      <c r="F19" s="660" t="s">
        <v>180</v>
      </c>
      <c r="G19" s="660"/>
      <c r="H19" s="660"/>
      <c r="I19" s="660"/>
      <c r="J19" s="660"/>
      <c r="K19" s="214"/>
      <c r="L19" s="236"/>
      <c r="M19" s="236"/>
      <c r="N19" s="236"/>
      <c r="O19" s="236"/>
    </row>
    <row r="20" spans="1:13" ht="13.5">
      <c r="A20" s="237"/>
      <c r="B20" s="238" t="s">
        <v>238</v>
      </c>
      <c r="C20" s="665" t="s">
        <v>67</v>
      </c>
      <c r="D20" s="679" t="s">
        <v>279</v>
      </c>
      <c r="E20" s="661">
        <v>23</v>
      </c>
      <c r="F20" s="661">
        <v>24</v>
      </c>
      <c r="G20" s="674">
        <v>25</v>
      </c>
      <c r="H20" s="661">
        <v>26</v>
      </c>
      <c r="I20" s="661">
        <v>27</v>
      </c>
      <c r="J20" s="677">
        <v>28</v>
      </c>
      <c r="K20" s="672"/>
      <c r="L20" s="672"/>
      <c r="M20" s="672"/>
    </row>
    <row r="21" spans="1:13" ht="13.5">
      <c r="A21" s="239" t="s">
        <v>26</v>
      </c>
      <c r="B21" s="240" t="s">
        <v>64</v>
      </c>
      <c r="C21" s="671"/>
      <c r="D21" s="680"/>
      <c r="E21" s="606"/>
      <c r="F21" s="606"/>
      <c r="G21" s="606"/>
      <c r="H21" s="606"/>
      <c r="I21" s="606"/>
      <c r="J21" s="678"/>
      <c r="K21" s="672"/>
      <c r="L21" s="672"/>
      <c r="M21" s="672"/>
    </row>
    <row r="22" spans="1:13" ht="13.5">
      <c r="A22" s="673" t="s">
        <v>122</v>
      </c>
      <c r="B22" s="241" t="s">
        <v>191</v>
      </c>
      <c r="C22" s="242">
        <v>12747</v>
      </c>
      <c r="D22" s="244">
        <v>9031</v>
      </c>
      <c r="E22" s="245">
        <v>8760</v>
      </c>
      <c r="F22" s="245">
        <v>8604</v>
      </c>
      <c r="G22" s="245">
        <v>8315</v>
      </c>
      <c r="H22" s="245">
        <v>7859</v>
      </c>
      <c r="I22" s="245">
        <v>7635</v>
      </c>
      <c r="J22" s="246">
        <f>B16</f>
        <v>7269</v>
      </c>
      <c r="K22" s="247"/>
      <c r="L22" s="247"/>
      <c r="M22" s="248"/>
    </row>
    <row r="23" spans="1:13" ht="13.5">
      <c r="A23" s="521"/>
      <c r="B23" s="249" t="s">
        <v>146</v>
      </c>
      <c r="C23" s="250">
        <v>10633</v>
      </c>
      <c r="D23" s="252">
        <v>6372</v>
      </c>
      <c r="E23" s="253">
        <v>5987</v>
      </c>
      <c r="F23" s="253">
        <v>5896</v>
      </c>
      <c r="G23" s="253">
        <v>5658</v>
      </c>
      <c r="H23" s="253">
        <v>5087</v>
      </c>
      <c r="I23" s="253">
        <v>5134</v>
      </c>
      <c r="J23" s="254">
        <f>C16</f>
        <v>4904</v>
      </c>
      <c r="K23" s="247"/>
      <c r="L23" s="247"/>
      <c r="M23" s="248"/>
    </row>
    <row r="24" spans="1:13" ht="13.5">
      <c r="A24" s="521"/>
      <c r="B24" s="255" t="s">
        <v>218</v>
      </c>
      <c r="C24" s="256">
        <f>C22+C23</f>
        <v>23380</v>
      </c>
      <c r="D24" s="251">
        <v>15403</v>
      </c>
      <c r="E24" s="252">
        <v>14747</v>
      </c>
      <c r="F24" s="253">
        <v>14500</v>
      </c>
      <c r="G24" s="253">
        <v>13973</v>
      </c>
      <c r="H24" s="253">
        <v>12946</v>
      </c>
      <c r="I24" s="253">
        <v>12769</v>
      </c>
      <c r="J24" s="254">
        <f>J22+J23</f>
        <v>12173</v>
      </c>
      <c r="K24" s="247"/>
      <c r="L24" s="247"/>
      <c r="M24" s="248"/>
    </row>
    <row r="25" spans="1:13" ht="36">
      <c r="A25" s="522"/>
      <c r="B25" s="257" t="s">
        <v>118</v>
      </c>
      <c r="C25" s="258">
        <f aca="true" t="shared" si="4" ref="C25:J25">C22/C24*100</f>
        <v>54.52095808383234</v>
      </c>
      <c r="D25" s="259">
        <f t="shared" si="4"/>
        <v>58.631435434655586</v>
      </c>
      <c r="E25" s="260">
        <f t="shared" si="4"/>
        <v>59.40191225333966</v>
      </c>
      <c r="F25" s="261">
        <f t="shared" si="4"/>
        <v>59.33793103448276</v>
      </c>
      <c r="G25" s="261">
        <f t="shared" si="4"/>
        <v>59.507621842124095</v>
      </c>
      <c r="H25" s="261">
        <f t="shared" si="4"/>
        <v>60.70600957824811</v>
      </c>
      <c r="I25" s="261">
        <f t="shared" si="4"/>
        <v>59.793249275589325</v>
      </c>
      <c r="J25" s="262">
        <f t="shared" si="4"/>
        <v>59.71412141624908</v>
      </c>
      <c r="K25" s="263"/>
      <c r="L25" s="263"/>
      <c r="M25" s="264"/>
    </row>
    <row r="26" spans="1:13" ht="13.5">
      <c r="A26" s="673" t="s">
        <v>130</v>
      </c>
      <c r="B26" s="265" t="s">
        <v>191</v>
      </c>
      <c r="C26" s="266">
        <v>111</v>
      </c>
      <c r="D26" s="243">
        <v>45</v>
      </c>
      <c r="E26" s="244">
        <v>46</v>
      </c>
      <c r="F26" s="245">
        <v>36</v>
      </c>
      <c r="G26" s="245">
        <v>41</v>
      </c>
      <c r="H26" s="245">
        <v>34</v>
      </c>
      <c r="I26" s="245">
        <v>35</v>
      </c>
      <c r="J26" s="246">
        <f>E16</f>
        <v>30</v>
      </c>
      <c r="K26" s="247"/>
      <c r="L26" s="247"/>
      <c r="M26" s="248"/>
    </row>
    <row r="27" spans="1:13" ht="13.5">
      <c r="A27" s="521"/>
      <c r="B27" s="249" t="s">
        <v>146</v>
      </c>
      <c r="C27" s="250">
        <v>111</v>
      </c>
      <c r="D27" s="251">
        <v>17</v>
      </c>
      <c r="E27" s="252">
        <v>19</v>
      </c>
      <c r="F27" s="253">
        <v>15</v>
      </c>
      <c r="G27" s="253">
        <v>8</v>
      </c>
      <c r="H27" s="253">
        <v>17</v>
      </c>
      <c r="I27" s="253">
        <v>16</v>
      </c>
      <c r="J27" s="254">
        <f>F16</f>
        <v>19</v>
      </c>
      <c r="K27" s="247"/>
      <c r="L27" s="247"/>
      <c r="M27" s="248"/>
    </row>
    <row r="28" spans="1:13" ht="13.5">
      <c r="A28" s="521"/>
      <c r="B28" s="255" t="s">
        <v>218</v>
      </c>
      <c r="C28" s="256">
        <f>C26+C27</f>
        <v>222</v>
      </c>
      <c r="D28" s="251">
        <v>62</v>
      </c>
      <c r="E28" s="251">
        <v>65</v>
      </c>
      <c r="F28" s="252">
        <v>51</v>
      </c>
      <c r="G28" s="253">
        <v>49</v>
      </c>
      <c r="H28" s="253">
        <v>51</v>
      </c>
      <c r="I28" s="253">
        <v>51</v>
      </c>
      <c r="J28" s="254">
        <f>SUM(J26:J27)</f>
        <v>49</v>
      </c>
      <c r="K28" s="247"/>
      <c r="L28" s="247"/>
      <c r="M28" s="248"/>
    </row>
    <row r="29" spans="1:13" ht="36">
      <c r="A29" s="522"/>
      <c r="B29" s="267" t="s">
        <v>118</v>
      </c>
      <c r="C29" s="258">
        <f aca="true" t="shared" si="5" ref="C29:J29">C26/C28*100</f>
        <v>50</v>
      </c>
      <c r="D29" s="259">
        <f t="shared" si="5"/>
        <v>72.58064516129032</v>
      </c>
      <c r="E29" s="260">
        <f t="shared" si="5"/>
        <v>70.76923076923077</v>
      </c>
      <c r="F29" s="261">
        <f t="shared" si="5"/>
        <v>70.58823529411765</v>
      </c>
      <c r="G29" s="261">
        <f t="shared" si="5"/>
        <v>83.6734693877551</v>
      </c>
      <c r="H29" s="261">
        <f t="shared" si="5"/>
        <v>66.66666666666666</v>
      </c>
      <c r="I29" s="261">
        <f t="shared" si="5"/>
        <v>68.62745098039215</v>
      </c>
      <c r="J29" s="262">
        <f t="shared" si="5"/>
        <v>61.224489795918366</v>
      </c>
      <c r="K29" s="263"/>
      <c r="L29" s="263"/>
      <c r="M29" s="264"/>
    </row>
    <row r="30" spans="1:13" ht="13.5">
      <c r="A30" s="673" t="s">
        <v>72</v>
      </c>
      <c r="B30" s="268" t="s">
        <v>191</v>
      </c>
      <c r="C30" s="266">
        <v>18125</v>
      </c>
      <c r="D30" s="243">
        <v>10955</v>
      </c>
      <c r="E30" s="244">
        <v>10685</v>
      </c>
      <c r="F30" s="245">
        <v>10394</v>
      </c>
      <c r="G30" s="245">
        <v>10103</v>
      </c>
      <c r="H30" s="245">
        <v>9640</v>
      </c>
      <c r="I30" s="245">
        <v>9221</v>
      </c>
      <c r="J30" s="246">
        <f>H16</f>
        <v>8791</v>
      </c>
      <c r="K30" s="247"/>
      <c r="L30" s="247"/>
      <c r="M30" s="248"/>
    </row>
    <row r="31" spans="1:13" ht="13.5">
      <c r="A31" s="521"/>
      <c r="B31" s="249" t="s">
        <v>146</v>
      </c>
      <c r="C31" s="250">
        <v>13394</v>
      </c>
      <c r="D31" s="251">
        <v>7069</v>
      </c>
      <c r="E31" s="252">
        <v>6597</v>
      </c>
      <c r="F31" s="253">
        <v>6506</v>
      </c>
      <c r="G31" s="253">
        <v>6315</v>
      </c>
      <c r="H31" s="253">
        <v>5581</v>
      </c>
      <c r="I31" s="253">
        <v>5646</v>
      </c>
      <c r="J31" s="254">
        <f>I16</f>
        <v>5440</v>
      </c>
      <c r="K31" s="247"/>
      <c r="L31" s="247"/>
      <c r="M31" s="248"/>
    </row>
    <row r="32" spans="1:13" ht="13.5">
      <c r="A32" s="521"/>
      <c r="B32" s="255" t="s">
        <v>218</v>
      </c>
      <c r="C32" s="256">
        <f>C30+C31</f>
        <v>31519</v>
      </c>
      <c r="D32" s="251">
        <v>18024</v>
      </c>
      <c r="E32" s="252">
        <v>17282</v>
      </c>
      <c r="F32" s="251">
        <v>16900</v>
      </c>
      <c r="G32" s="253">
        <v>16418</v>
      </c>
      <c r="H32" s="253">
        <v>15221</v>
      </c>
      <c r="I32" s="253">
        <v>14867</v>
      </c>
      <c r="J32" s="254">
        <f>J30+J31</f>
        <v>14231</v>
      </c>
      <c r="K32" s="247"/>
      <c r="L32" s="247"/>
      <c r="M32" s="248"/>
    </row>
    <row r="33" spans="1:13" ht="36">
      <c r="A33" s="522"/>
      <c r="B33" s="267" t="s">
        <v>118</v>
      </c>
      <c r="C33" s="258">
        <f aca="true" t="shared" si="6" ref="C33:J33">C30/C32*100</f>
        <v>57.50499698594499</v>
      </c>
      <c r="D33" s="269">
        <f t="shared" si="6"/>
        <v>60.780071016422546</v>
      </c>
      <c r="E33" s="270">
        <f t="shared" si="6"/>
        <v>61.82733479921305</v>
      </c>
      <c r="F33" s="271">
        <f t="shared" si="6"/>
        <v>61.502958579881664</v>
      </c>
      <c r="G33" s="271">
        <f t="shared" si="6"/>
        <v>61.53611889389694</v>
      </c>
      <c r="H33" s="271">
        <f t="shared" si="6"/>
        <v>63.33355232901911</v>
      </c>
      <c r="I33" s="271">
        <f t="shared" si="6"/>
        <v>62.02327302078429</v>
      </c>
      <c r="J33" s="272">
        <f t="shared" si="6"/>
        <v>61.773592860656315</v>
      </c>
      <c r="K33" s="263"/>
      <c r="L33" s="263"/>
      <c r="M33" s="264"/>
    </row>
    <row r="35" spans="1:11" ht="13.5">
      <c r="A35" s="273"/>
      <c r="B35" s="274"/>
      <c r="C35" s="274"/>
      <c r="D35" s="274"/>
      <c r="E35" s="274"/>
      <c r="F35" s="274"/>
      <c r="G35" s="274"/>
      <c r="H35" s="274"/>
      <c r="I35" s="274"/>
      <c r="J35" s="274"/>
      <c r="K35" s="274"/>
    </row>
    <row r="36" spans="1:11" ht="17.25" customHeight="1">
      <c r="A36" s="675" t="s">
        <v>189</v>
      </c>
      <c r="B36" s="676" t="s">
        <v>274</v>
      </c>
      <c r="C36" s="676"/>
      <c r="D36" s="676"/>
      <c r="E36" s="676"/>
      <c r="F36" s="676"/>
      <c r="G36" s="676"/>
      <c r="H36" s="676"/>
      <c r="I36" s="676"/>
      <c r="J36" s="676"/>
      <c r="K36" s="275"/>
    </row>
    <row r="37" spans="1:11" ht="13.5">
      <c r="A37" s="676"/>
      <c r="B37" s="676"/>
      <c r="C37" s="676"/>
      <c r="D37" s="676"/>
      <c r="E37" s="676"/>
      <c r="F37" s="676"/>
      <c r="G37" s="676"/>
      <c r="H37" s="676"/>
      <c r="I37" s="676"/>
      <c r="J37" s="676"/>
      <c r="K37" s="275"/>
    </row>
  </sheetData>
  <sheetProtection/>
  <mergeCells count="21">
    <mergeCell ref="A36:A37"/>
    <mergeCell ref="B36:J37"/>
    <mergeCell ref="H20:H21"/>
    <mergeCell ref="I20:I21"/>
    <mergeCell ref="J20:J21"/>
    <mergeCell ref="D20:D21"/>
    <mergeCell ref="A26:A29"/>
    <mergeCell ref="A30:A33"/>
    <mergeCell ref="K20:K21"/>
    <mergeCell ref="L20:L21"/>
    <mergeCell ref="A22:A25"/>
    <mergeCell ref="M20:M21"/>
    <mergeCell ref="G20:G21"/>
    <mergeCell ref="E20:E21"/>
    <mergeCell ref="F1:J1"/>
    <mergeCell ref="F20:F21"/>
    <mergeCell ref="B2:D2"/>
    <mergeCell ref="E2:G2"/>
    <mergeCell ref="H2:J2"/>
    <mergeCell ref="C20:C21"/>
    <mergeCell ref="F19:J1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&amp;C－10－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 topLeftCell="A1">
      <selection activeCell="N47" sqref="N47"/>
    </sheetView>
  </sheetViews>
  <sheetFormatPr defaultColWidth="9.00390625" defaultRowHeight="13.5"/>
  <cols>
    <col min="1" max="1" width="5.50390625" style="0" customWidth="1"/>
    <col min="2" max="2" width="5.75390625" style="0" customWidth="1"/>
    <col min="3" max="11" width="8.125" style="0" customWidth="1"/>
  </cols>
  <sheetData>
    <row r="1" ht="21.75" customHeight="1">
      <c r="A1" s="403" t="s">
        <v>249</v>
      </c>
    </row>
    <row r="2" spans="1:11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s="31" customFormat="1" ht="14.25" thickBot="1">
      <c r="A3" s="31" t="s">
        <v>138</v>
      </c>
      <c r="H3" s="660" t="s">
        <v>180</v>
      </c>
      <c r="I3" s="660"/>
      <c r="J3" s="660"/>
      <c r="K3" s="660"/>
    </row>
    <row r="4" spans="1:11" ht="25.5" customHeight="1">
      <c r="A4" s="682" t="s">
        <v>166</v>
      </c>
      <c r="B4" s="683"/>
      <c r="C4" s="686" t="s">
        <v>174</v>
      </c>
      <c r="D4" s="687"/>
      <c r="E4" s="688"/>
      <c r="F4" s="689" t="s">
        <v>126</v>
      </c>
      <c r="G4" s="690"/>
      <c r="H4" s="691"/>
      <c r="I4" s="692" t="s">
        <v>251</v>
      </c>
      <c r="J4" s="693"/>
      <c r="K4" s="694"/>
    </row>
    <row r="5" spans="1:11" ht="14.25" thickBot="1">
      <c r="A5" s="684"/>
      <c r="B5" s="685"/>
      <c r="C5" s="276" t="s">
        <v>191</v>
      </c>
      <c r="D5" s="277" t="s">
        <v>146</v>
      </c>
      <c r="E5" s="278" t="s">
        <v>218</v>
      </c>
      <c r="F5" s="279" t="s">
        <v>191</v>
      </c>
      <c r="G5" s="277" t="s">
        <v>146</v>
      </c>
      <c r="H5" s="280" t="s">
        <v>218</v>
      </c>
      <c r="I5" s="281" t="s">
        <v>191</v>
      </c>
      <c r="J5" s="277" t="s">
        <v>146</v>
      </c>
      <c r="K5" s="282" t="s">
        <v>218</v>
      </c>
    </row>
    <row r="6" spans="1:11" ht="24.75" customHeight="1">
      <c r="A6" s="681" t="s">
        <v>120</v>
      </c>
      <c r="B6" s="283">
        <v>28</v>
      </c>
      <c r="C6" s="494">
        <f>'★12ページ（時間道路別）'!D29</f>
        <v>4758</v>
      </c>
      <c r="D6" s="495">
        <f>'★12ページ（時間道路別）'!E29</f>
        <v>3722</v>
      </c>
      <c r="E6" s="284">
        <f>SUM(C6:D6)</f>
        <v>8480</v>
      </c>
      <c r="F6" s="494">
        <f>'★12ページ（時間道路別）'!D30</f>
        <v>2511</v>
      </c>
      <c r="G6" s="495">
        <f>'★12ページ（時間道路別）'!E30</f>
        <v>1182</v>
      </c>
      <c r="H6" s="285">
        <f>SUM(F6:G6)</f>
        <v>3693</v>
      </c>
      <c r="I6" s="286">
        <f aca="true" t="shared" si="0" ref="I6:K11">C6/(C6+F6)*100</f>
        <v>65.45604622368964</v>
      </c>
      <c r="J6" s="287">
        <f t="shared" si="0"/>
        <v>75.89722675367048</v>
      </c>
      <c r="K6" s="288">
        <f t="shared" si="0"/>
        <v>69.66236753470795</v>
      </c>
    </row>
    <row r="7" spans="1:11" ht="24.75" customHeight="1" thickBot="1">
      <c r="A7" s="522"/>
      <c r="B7" s="289">
        <v>27</v>
      </c>
      <c r="C7" s="290">
        <v>4963</v>
      </c>
      <c r="D7" s="291">
        <v>3840</v>
      </c>
      <c r="E7" s="292">
        <f>SUM(C7:D7)</f>
        <v>8803</v>
      </c>
      <c r="F7" s="290">
        <v>2672</v>
      </c>
      <c r="G7" s="291">
        <v>1294</v>
      </c>
      <c r="H7" s="293">
        <f>SUM(F7:G7)</f>
        <v>3966</v>
      </c>
      <c r="I7" s="294">
        <f t="shared" si="0"/>
        <v>65.00327439423707</v>
      </c>
      <c r="J7" s="295">
        <f t="shared" si="0"/>
        <v>74.79548110634983</v>
      </c>
      <c r="K7" s="296">
        <f>E7/(E7+H7)*100</f>
        <v>68.94040253739526</v>
      </c>
    </row>
    <row r="8" spans="1:11" ht="24.75" customHeight="1">
      <c r="A8" s="681" t="s">
        <v>130</v>
      </c>
      <c r="B8" s="283">
        <v>28</v>
      </c>
      <c r="C8" s="494">
        <f>'★12ページ（時間道路別）'!G29</f>
        <v>16</v>
      </c>
      <c r="D8" s="495">
        <f>'★12ページ（時間道路別）'!H29</f>
        <v>13</v>
      </c>
      <c r="E8" s="284">
        <f>SUM(C8:D8)</f>
        <v>29</v>
      </c>
      <c r="F8" s="494">
        <f>'★12ページ（時間道路別）'!G30</f>
        <v>14</v>
      </c>
      <c r="G8" s="495">
        <f>'★12ページ（時間道路別）'!H30</f>
        <v>6</v>
      </c>
      <c r="H8" s="285">
        <f>SUM(F8:G8)</f>
        <v>20</v>
      </c>
      <c r="I8" s="286">
        <f t="shared" si="0"/>
        <v>53.333333333333336</v>
      </c>
      <c r="J8" s="287">
        <f t="shared" si="0"/>
        <v>68.42105263157895</v>
      </c>
      <c r="K8" s="288">
        <f t="shared" si="0"/>
        <v>59.183673469387756</v>
      </c>
    </row>
    <row r="9" spans="1:11" ht="24.75" customHeight="1" thickBot="1">
      <c r="A9" s="522"/>
      <c r="B9" s="289">
        <v>27</v>
      </c>
      <c r="C9" s="297">
        <v>10</v>
      </c>
      <c r="D9" s="298">
        <v>6</v>
      </c>
      <c r="E9" s="299">
        <f>SUM(C9:D9)</f>
        <v>16</v>
      </c>
      <c r="F9" s="297">
        <v>25</v>
      </c>
      <c r="G9" s="298">
        <v>10</v>
      </c>
      <c r="H9" s="293">
        <f>SUM(F9:G9)</f>
        <v>35</v>
      </c>
      <c r="I9" s="294">
        <f t="shared" si="0"/>
        <v>28.57142857142857</v>
      </c>
      <c r="J9" s="295">
        <f t="shared" si="0"/>
        <v>37.5</v>
      </c>
      <c r="K9" s="296">
        <f>E9/(E9+H9)*100</f>
        <v>31.372549019607842</v>
      </c>
    </row>
    <row r="10" spans="1:11" ht="24.75" customHeight="1">
      <c r="A10" s="681" t="s">
        <v>72</v>
      </c>
      <c r="B10" s="283">
        <v>28</v>
      </c>
      <c r="C10" s="494">
        <f>'★12ページ（時間道路別）'!J29</f>
        <v>5702</v>
      </c>
      <c r="D10" s="495">
        <f>'★12ページ（時間道路別）'!K29</f>
        <v>4112</v>
      </c>
      <c r="E10" s="285">
        <f>SUM(C10:D10)</f>
        <v>9814</v>
      </c>
      <c r="F10" s="494">
        <f>'★12ページ（時間道路別）'!J30</f>
        <v>3089</v>
      </c>
      <c r="G10" s="495">
        <f>'★12ページ（時間道路別）'!K30</f>
        <v>1328</v>
      </c>
      <c r="H10" s="285">
        <f>SUM(F10:G10)</f>
        <v>4417</v>
      </c>
      <c r="I10" s="300">
        <f t="shared" si="0"/>
        <v>64.8617904675236</v>
      </c>
      <c r="J10" s="301">
        <f t="shared" si="0"/>
        <v>75.58823529411765</v>
      </c>
      <c r="K10" s="302">
        <f t="shared" si="0"/>
        <v>68.9621249385145</v>
      </c>
    </row>
    <row r="11" spans="1:11" ht="24.75" customHeight="1" thickBot="1">
      <c r="A11" s="522"/>
      <c r="B11" s="289">
        <v>27</v>
      </c>
      <c r="C11" s="297">
        <v>5964</v>
      </c>
      <c r="D11" s="298">
        <v>4205</v>
      </c>
      <c r="E11" s="293">
        <f>SUM(C11:D11)</f>
        <v>10169</v>
      </c>
      <c r="F11" s="297">
        <v>3257</v>
      </c>
      <c r="G11" s="298">
        <v>1441</v>
      </c>
      <c r="H11" s="293">
        <f>SUM(F11:G11)</f>
        <v>4698</v>
      </c>
      <c r="I11" s="303">
        <f t="shared" si="0"/>
        <v>64.67845136102375</v>
      </c>
      <c r="J11" s="295">
        <f t="shared" si="0"/>
        <v>74.47750619907899</v>
      </c>
      <c r="K11" s="296">
        <f>E11/(E11+H11)*100</f>
        <v>68.39981166341562</v>
      </c>
    </row>
    <row r="12" spans="1:11" ht="13.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3" ht="13.5">
      <c r="A13" s="305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</sheetData>
  <sheetProtection/>
  <mergeCells count="8">
    <mergeCell ref="A6:A7"/>
    <mergeCell ref="A8:A9"/>
    <mergeCell ref="A10:A11"/>
    <mergeCell ref="H3:K3"/>
    <mergeCell ref="A4:B5"/>
    <mergeCell ref="C4:E4"/>
    <mergeCell ref="F4:H4"/>
    <mergeCell ref="I4:K4"/>
  </mergeCells>
  <printOptions/>
  <pageMargins left="0.7874015748031497" right="0.18" top="0.984251968503937" bottom="0.984251968503937" header="0.5118110236220472" footer="0.5118110236220472"/>
  <pageSetup horizontalDpi="600" verticalDpi="600" orientation="portrait" paperSize="9" r:id="rId2"/>
  <headerFooter alignWithMargins="0">
    <oddFooter>&amp;C-11-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3.375" style="0" customWidth="1"/>
    <col min="2" max="2" width="4.125" style="0" customWidth="1"/>
    <col min="3" max="11" width="8.625" style="0" customWidth="1"/>
  </cols>
  <sheetData>
    <row r="1" s="196" customFormat="1" ht="19.5" customHeight="1">
      <c r="A1" s="196" t="s">
        <v>261</v>
      </c>
    </row>
    <row r="2" spans="1:11" ht="13.5">
      <c r="A2" s="237"/>
      <c r="B2" s="306" t="s">
        <v>26</v>
      </c>
      <c r="C2" s="697" t="s">
        <v>81</v>
      </c>
      <c r="D2" s="698"/>
      <c r="E2" s="307" t="s">
        <v>112</v>
      </c>
      <c r="F2" s="668" t="s">
        <v>142</v>
      </c>
      <c r="G2" s="698"/>
      <c r="H2" s="307" t="s">
        <v>111</v>
      </c>
      <c r="I2" s="668" t="s">
        <v>77</v>
      </c>
      <c r="J2" s="698"/>
      <c r="K2" s="307" t="s">
        <v>237</v>
      </c>
    </row>
    <row r="3" spans="1:11" ht="13.5">
      <c r="A3" s="308"/>
      <c r="B3" s="309"/>
      <c r="C3" s="310" t="s">
        <v>93</v>
      </c>
      <c r="D3" s="311"/>
      <c r="E3" s="311"/>
      <c r="F3" s="310" t="s">
        <v>93</v>
      </c>
      <c r="G3" s="311"/>
      <c r="H3" s="312"/>
      <c r="I3" s="310" t="s">
        <v>93</v>
      </c>
      <c r="J3" s="311"/>
      <c r="K3" s="312"/>
    </row>
    <row r="4" spans="1:11" ht="13.5">
      <c r="A4" s="313" t="s">
        <v>40</v>
      </c>
      <c r="B4" s="314"/>
      <c r="C4" s="315"/>
      <c r="D4" s="316" t="s">
        <v>191</v>
      </c>
      <c r="E4" s="209" t="s">
        <v>146</v>
      </c>
      <c r="F4" s="315"/>
      <c r="G4" s="316" t="s">
        <v>191</v>
      </c>
      <c r="H4" s="317" t="s">
        <v>146</v>
      </c>
      <c r="I4" s="315"/>
      <c r="J4" s="316" t="s">
        <v>191</v>
      </c>
      <c r="K4" s="317" t="s">
        <v>146</v>
      </c>
    </row>
    <row r="5" spans="1:11" ht="18" customHeight="1">
      <c r="A5" s="318"/>
      <c r="B5" s="319">
        <v>0</v>
      </c>
      <c r="C5" s="320">
        <f aca="true" t="shared" si="0" ref="C5:C14">SUM(D5:E5)</f>
        <v>211</v>
      </c>
      <c r="D5" s="496">
        <v>145</v>
      </c>
      <c r="E5" s="497">
        <v>66</v>
      </c>
      <c r="F5" s="321">
        <f aca="true" t="shared" si="1" ref="F5:F14">SUM(G5:H5)</f>
        <v>2</v>
      </c>
      <c r="G5" s="496">
        <v>1</v>
      </c>
      <c r="H5" s="497">
        <v>1</v>
      </c>
      <c r="I5" s="321">
        <f aca="true" t="shared" si="2" ref="I5:I14">SUM(J5:K5)</f>
        <v>252</v>
      </c>
      <c r="J5" s="496">
        <v>176</v>
      </c>
      <c r="K5" s="497">
        <v>76</v>
      </c>
    </row>
    <row r="6" spans="1:11" ht="18" customHeight="1">
      <c r="A6" s="315" t="s">
        <v>3</v>
      </c>
      <c r="B6" s="322">
        <v>1</v>
      </c>
      <c r="C6" s="323">
        <f t="shared" si="0"/>
        <v>179</v>
      </c>
      <c r="D6" s="498">
        <v>140</v>
      </c>
      <c r="E6" s="499">
        <v>39</v>
      </c>
      <c r="F6" s="324">
        <f t="shared" si="1"/>
        <v>1</v>
      </c>
      <c r="G6" s="498">
        <v>0</v>
      </c>
      <c r="H6" s="499">
        <v>1</v>
      </c>
      <c r="I6" s="324">
        <f t="shared" si="2"/>
        <v>216</v>
      </c>
      <c r="J6" s="498">
        <v>171</v>
      </c>
      <c r="K6" s="499">
        <v>45</v>
      </c>
    </row>
    <row r="7" spans="1:11" ht="18" customHeight="1">
      <c r="A7" s="315"/>
      <c r="B7" s="322">
        <v>2</v>
      </c>
      <c r="C7" s="323">
        <f t="shared" si="0"/>
        <v>144</v>
      </c>
      <c r="D7" s="498">
        <v>103</v>
      </c>
      <c r="E7" s="499">
        <v>41</v>
      </c>
      <c r="F7" s="324">
        <f t="shared" si="1"/>
        <v>2</v>
      </c>
      <c r="G7" s="498">
        <v>1</v>
      </c>
      <c r="H7" s="499">
        <v>1</v>
      </c>
      <c r="I7" s="324">
        <f t="shared" si="2"/>
        <v>185</v>
      </c>
      <c r="J7" s="498">
        <v>139</v>
      </c>
      <c r="K7" s="499">
        <v>46</v>
      </c>
    </row>
    <row r="8" spans="1:11" ht="18" customHeight="1">
      <c r="A8" s="315" t="s">
        <v>149</v>
      </c>
      <c r="B8" s="322">
        <v>3</v>
      </c>
      <c r="C8" s="323">
        <f t="shared" si="0"/>
        <v>104</v>
      </c>
      <c r="D8" s="498">
        <v>72</v>
      </c>
      <c r="E8" s="499">
        <v>32</v>
      </c>
      <c r="F8" s="324">
        <f t="shared" si="1"/>
        <v>1</v>
      </c>
      <c r="G8" s="498">
        <v>1</v>
      </c>
      <c r="H8" s="499">
        <v>0</v>
      </c>
      <c r="I8" s="324">
        <f t="shared" si="2"/>
        <v>127</v>
      </c>
      <c r="J8" s="498">
        <v>82</v>
      </c>
      <c r="K8" s="499">
        <v>45</v>
      </c>
    </row>
    <row r="9" spans="1:11" ht="18" customHeight="1">
      <c r="A9" s="315"/>
      <c r="B9" s="322">
        <v>4</v>
      </c>
      <c r="C9" s="323">
        <f t="shared" si="0"/>
        <v>119</v>
      </c>
      <c r="D9" s="498">
        <v>81</v>
      </c>
      <c r="E9" s="499">
        <v>38</v>
      </c>
      <c r="F9" s="324">
        <f t="shared" si="1"/>
        <v>5</v>
      </c>
      <c r="G9" s="498">
        <v>4</v>
      </c>
      <c r="H9" s="499">
        <v>1</v>
      </c>
      <c r="I9" s="324">
        <f t="shared" si="2"/>
        <v>133</v>
      </c>
      <c r="J9" s="498">
        <v>91</v>
      </c>
      <c r="K9" s="499">
        <v>42</v>
      </c>
    </row>
    <row r="10" spans="1:11" ht="18" customHeight="1">
      <c r="A10" s="325"/>
      <c r="B10" s="322">
        <v>5</v>
      </c>
      <c r="C10" s="323">
        <f t="shared" si="0"/>
        <v>157</v>
      </c>
      <c r="D10" s="498">
        <v>110</v>
      </c>
      <c r="E10" s="499">
        <v>47</v>
      </c>
      <c r="F10" s="324">
        <f t="shared" si="1"/>
        <v>2</v>
      </c>
      <c r="G10" s="498">
        <v>2</v>
      </c>
      <c r="H10" s="499">
        <v>0</v>
      </c>
      <c r="I10" s="324">
        <f t="shared" si="2"/>
        <v>173</v>
      </c>
      <c r="J10" s="498">
        <v>121</v>
      </c>
      <c r="K10" s="499">
        <v>52</v>
      </c>
    </row>
    <row r="11" spans="1:11" ht="18" customHeight="1">
      <c r="A11" s="326"/>
      <c r="B11" s="327">
        <v>6</v>
      </c>
      <c r="C11" s="323">
        <f t="shared" si="0"/>
        <v>261</v>
      </c>
      <c r="D11" s="498">
        <v>173</v>
      </c>
      <c r="E11" s="499">
        <v>88</v>
      </c>
      <c r="F11" s="324">
        <f t="shared" si="1"/>
        <v>5</v>
      </c>
      <c r="G11" s="498">
        <v>3</v>
      </c>
      <c r="H11" s="499">
        <v>2</v>
      </c>
      <c r="I11" s="324">
        <f t="shared" si="2"/>
        <v>291</v>
      </c>
      <c r="J11" s="498">
        <v>197</v>
      </c>
      <c r="K11" s="499">
        <v>94</v>
      </c>
    </row>
    <row r="12" spans="1:11" ht="18" customHeight="1">
      <c r="A12" s="326"/>
      <c r="B12" s="327">
        <v>7</v>
      </c>
      <c r="C12" s="323">
        <f t="shared" si="0"/>
        <v>622</v>
      </c>
      <c r="D12" s="498">
        <v>356</v>
      </c>
      <c r="E12" s="499">
        <v>266</v>
      </c>
      <c r="F12" s="324">
        <f t="shared" si="1"/>
        <v>3</v>
      </c>
      <c r="G12" s="498">
        <v>2</v>
      </c>
      <c r="H12" s="499">
        <v>1</v>
      </c>
      <c r="I12" s="324">
        <f t="shared" si="2"/>
        <v>685</v>
      </c>
      <c r="J12" s="498">
        <v>391</v>
      </c>
      <c r="K12" s="499">
        <v>294</v>
      </c>
    </row>
    <row r="13" spans="1:11" ht="18" customHeight="1">
      <c r="A13" s="326"/>
      <c r="B13" s="327">
        <v>8</v>
      </c>
      <c r="C13" s="323">
        <f t="shared" si="0"/>
        <v>914</v>
      </c>
      <c r="D13" s="498">
        <v>488</v>
      </c>
      <c r="E13" s="499">
        <v>426</v>
      </c>
      <c r="F13" s="324">
        <f t="shared" si="1"/>
        <v>2</v>
      </c>
      <c r="G13" s="498">
        <v>2</v>
      </c>
      <c r="H13" s="499">
        <v>0</v>
      </c>
      <c r="I13" s="324">
        <f t="shared" si="2"/>
        <v>1023</v>
      </c>
      <c r="J13" s="498">
        <v>560</v>
      </c>
      <c r="K13" s="499">
        <v>463</v>
      </c>
    </row>
    <row r="14" spans="1:11" ht="18" customHeight="1">
      <c r="A14" s="326"/>
      <c r="B14" s="327">
        <v>9</v>
      </c>
      <c r="C14" s="323">
        <f t="shared" si="0"/>
        <v>769</v>
      </c>
      <c r="D14" s="498">
        <v>433</v>
      </c>
      <c r="E14" s="499">
        <v>336</v>
      </c>
      <c r="F14" s="324">
        <f t="shared" si="1"/>
        <v>5</v>
      </c>
      <c r="G14" s="498">
        <v>3</v>
      </c>
      <c r="H14" s="499">
        <v>2</v>
      </c>
      <c r="I14" s="324">
        <f t="shared" si="2"/>
        <v>862</v>
      </c>
      <c r="J14" s="498">
        <v>493</v>
      </c>
      <c r="K14" s="499">
        <v>369</v>
      </c>
    </row>
    <row r="15" spans="1:11" ht="18" customHeight="1">
      <c r="A15" s="326"/>
      <c r="B15" s="327">
        <v>10</v>
      </c>
      <c r="C15" s="323">
        <f aca="true" t="shared" si="3" ref="C15:C28">SUM(D15:E15)</f>
        <v>784</v>
      </c>
      <c r="D15" s="498">
        <v>420</v>
      </c>
      <c r="E15" s="499">
        <v>364</v>
      </c>
      <c r="F15" s="324">
        <f aca="true" t="shared" si="4" ref="F15:F28">SUM(G15:H15)</f>
        <v>2</v>
      </c>
      <c r="G15" s="498">
        <v>1</v>
      </c>
      <c r="H15" s="499">
        <v>1</v>
      </c>
      <c r="I15" s="324">
        <f aca="true" t="shared" si="5" ref="I15:I28">SUM(J15:K15)</f>
        <v>895</v>
      </c>
      <c r="J15" s="498">
        <v>495</v>
      </c>
      <c r="K15" s="499">
        <v>400</v>
      </c>
    </row>
    <row r="16" spans="1:11" ht="18" customHeight="1">
      <c r="A16" s="326"/>
      <c r="B16" s="327">
        <v>11</v>
      </c>
      <c r="C16" s="323">
        <f t="shared" si="3"/>
        <v>776</v>
      </c>
      <c r="D16" s="498">
        <v>424</v>
      </c>
      <c r="E16" s="499">
        <v>352</v>
      </c>
      <c r="F16" s="324">
        <f t="shared" si="4"/>
        <v>0</v>
      </c>
      <c r="G16" s="498">
        <v>0</v>
      </c>
      <c r="H16" s="499">
        <v>0</v>
      </c>
      <c r="I16" s="324">
        <f t="shared" si="5"/>
        <v>893</v>
      </c>
      <c r="J16" s="498">
        <v>505</v>
      </c>
      <c r="K16" s="499">
        <v>388</v>
      </c>
    </row>
    <row r="17" spans="1:11" ht="18" customHeight="1">
      <c r="A17" s="326"/>
      <c r="B17" s="327">
        <v>12</v>
      </c>
      <c r="C17" s="323">
        <f t="shared" si="3"/>
        <v>662</v>
      </c>
      <c r="D17" s="498">
        <v>377</v>
      </c>
      <c r="E17" s="499">
        <v>285</v>
      </c>
      <c r="F17" s="324">
        <f t="shared" si="4"/>
        <v>3</v>
      </c>
      <c r="G17" s="498">
        <v>0</v>
      </c>
      <c r="H17" s="499">
        <v>3</v>
      </c>
      <c r="I17" s="324">
        <f t="shared" si="5"/>
        <v>790</v>
      </c>
      <c r="J17" s="498">
        <v>472</v>
      </c>
      <c r="K17" s="499">
        <v>318</v>
      </c>
    </row>
    <row r="18" spans="1:11" ht="18" customHeight="1">
      <c r="A18" s="326"/>
      <c r="B18" s="327">
        <v>13</v>
      </c>
      <c r="C18" s="323">
        <f t="shared" si="3"/>
        <v>626</v>
      </c>
      <c r="D18" s="498">
        <v>346</v>
      </c>
      <c r="E18" s="499">
        <v>280</v>
      </c>
      <c r="F18" s="324">
        <f t="shared" si="4"/>
        <v>1</v>
      </c>
      <c r="G18" s="498">
        <v>0</v>
      </c>
      <c r="H18" s="499">
        <v>1</v>
      </c>
      <c r="I18" s="324">
        <f t="shared" si="5"/>
        <v>751</v>
      </c>
      <c r="J18" s="498">
        <v>433</v>
      </c>
      <c r="K18" s="499">
        <v>318</v>
      </c>
    </row>
    <row r="19" spans="1:11" ht="18" customHeight="1">
      <c r="A19" s="326"/>
      <c r="B19" s="327">
        <v>14</v>
      </c>
      <c r="C19" s="323">
        <f t="shared" si="3"/>
        <v>696</v>
      </c>
      <c r="D19" s="498">
        <v>395</v>
      </c>
      <c r="E19" s="499">
        <v>301</v>
      </c>
      <c r="F19" s="324">
        <f t="shared" si="4"/>
        <v>2</v>
      </c>
      <c r="G19" s="498">
        <v>1</v>
      </c>
      <c r="H19" s="499">
        <v>1</v>
      </c>
      <c r="I19" s="324">
        <f t="shared" si="5"/>
        <v>815</v>
      </c>
      <c r="J19" s="498">
        <v>480</v>
      </c>
      <c r="K19" s="499">
        <v>335</v>
      </c>
    </row>
    <row r="20" spans="1:11" ht="18" customHeight="1">
      <c r="A20" s="326"/>
      <c r="B20" s="327">
        <v>15</v>
      </c>
      <c r="C20" s="323">
        <f t="shared" si="3"/>
        <v>718</v>
      </c>
      <c r="D20" s="498">
        <v>400</v>
      </c>
      <c r="E20" s="499">
        <v>318</v>
      </c>
      <c r="F20" s="324">
        <f t="shared" si="4"/>
        <v>1</v>
      </c>
      <c r="G20" s="498">
        <v>1</v>
      </c>
      <c r="H20" s="499">
        <v>0</v>
      </c>
      <c r="I20" s="324">
        <f t="shared" si="5"/>
        <v>846</v>
      </c>
      <c r="J20" s="498">
        <v>490</v>
      </c>
      <c r="K20" s="499">
        <v>356</v>
      </c>
    </row>
    <row r="21" spans="1:11" ht="18" customHeight="1">
      <c r="A21" s="326"/>
      <c r="B21" s="327">
        <v>16</v>
      </c>
      <c r="C21" s="323">
        <f t="shared" si="3"/>
        <v>728</v>
      </c>
      <c r="D21" s="498">
        <v>393</v>
      </c>
      <c r="E21" s="499">
        <v>335</v>
      </c>
      <c r="F21" s="324">
        <f t="shared" si="4"/>
        <v>2</v>
      </c>
      <c r="G21" s="498">
        <v>0</v>
      </c>
      <c r="H21" s="499">
        <v>2</v>
      </c>
      <c r="I21" s="324">
        <f t="shared" si="5"/>
        <v>864</v>
      </c>
      <c r="J21" s="498">
        <v>493</v>
      </c>
      <c r="K21" s="499">
        <v>371</v>
      </c>
    </row>
    <row r="22" spans="1:11" ht="18" customHeight="1">
      <c r="A22" s="326"/>
      <c r="B22" s="327">
        <v>17</v>
      </c>
      <c r="C22" s="323">
        <f t="shared" si="3"/>
        <v>924</v>
      </c>
      <c r="D22" s="498">
        <v>553</v>
      </c>
      <c r="E22" s="499">
        <v>371</v>
      </c>
      <c r="F22" s="324">
        <f t="shared" si="4"/>
        <v>3</v>
      </c>
      <c r="G22" s="498">
        <v>3</v>
      </c>
      <c r="H22" s="499">
        <v>0</v>
      </c>
      <c r="I22" s="324">
        <f t="shared" si="5"/>
        <v>1099</v>
      </c>
      <c r="J22" s="498">
        <v>693</v>
      </c>
      <c r="K22" s="499">
        <v>406</v>
      </c>
    </row>
    <row r="23" spans="1:11" ht="18" customHeight="1">
      <c r="A23" s="328"/>
      <c r="B23" s="322">
        <v>18</v>
      </c>
      <c r="C23" s="323">
        <f t="shared" si="3"/>
        <v>815</v>
      </c>
      <c r="D23" s="498">
        <v>520</v>
      </c>
      <c r="E23" s="499">
        <v>295</v>
      </c>
      <c r="F23" s="324">
        <f t="shared" si="4"/>
        <v>2</v>
      </c>
      <c r="G23" s="498">
        <v>1</v>
      </c>
      <c r="H23" s="499">
        <v>1</v>
      </c>
      <c r="I23" s="324">
        <f t="shared" si="5"/>
        <v>970</v>
      </c>
      <c r="J23" s="498">
        <v>651</v>
      </c>
      <c r="K23" s="499">
        <v>319</v>
      </c>
    </row>
    <row r="24" spans="1:11" ht="18" customHeight="1">
      <c r="A24" s="315" t="s">
        <v>3</v>
      </c>
      <c r="B24" s="322">
        <v>19</v>
      </c>
      <c r="C24" s="323">
        <f t="shared" si="3"/>
        <v>595</v>
      </c>
      <c r="D24" s="498">
        <v>390</v>
      </c>
      <c r="E24" s="499">
        <v>205</v>
      </c>
      <c r="F24" s="324">
        <f t="shared" si="4"/>
        <v>2</v>
      </c>
      <c r="G24" s="498">
        <v>2</v>
      </c>
      <c r="H24" s="499">
        <v>0</v>
      </c>
      <c r="I24" s="324">
        <f t="shared" si="5"/>
        <v>714</v>
      </c>
      <c r="J24" s="498">
        <v>486</v>
      </c>
      <c r="K24" s="499">
        <v>228</v>
      </c>
    </row>
    <row r="25" spans="1:11" ht="18" customHeight="1">
      <c r="A25" s="315"/>
      <c r="B25" s="322">
        <v>20</v>
      </c>
      <c r="C25" s="323">
        <f t="shared" si="3"/>
        <v>433</v>
      </c>
      <c r="D25" s="498">
        <v>291</v>
      </c>
      <c r="E25" s="499">
        <v>142</v>
      </c>
      <c r="F25" s="324">
        <f t="shared" si="4"/>
        <v>2</v>
      </c>
      <c r="G25" s="498">
        <v>2</v>
      </c>
      <c r="H25" s="499">
        <v>0</v>
      </c>
      <c r="I25" s="324">
        <f t="shared" si="5"/>
        <v>504</v>
      </c>
      <c r="J25" s="498">
        <v>336</v>
      </c>
      <c r="K25" s="499">
        <v>168</v>
      </c>
    </row>
    <row r="26" spans="1:11" ht="18" customHeight="1">
      <c r="A26" s="315" t="s">
        <v>149</v>
      </c>
      <c r="B26" s="322">
        <v>21</v>
      </c>
      <c r="C26" s="323">
        <f t="shared" si="3"/>
        <v>352</v>
      </c>
      <c r="D26" s="498">
        <v>240</v>
      </c>
      <c r="E26" s="499">
        <v>112</v>
      </c>
      <c r="F26" s="324">
        <f t="shared" si="4"/>
        <v>0</v>
      </c>
      <c r="G26" s="498">
        <v>0</v>
      </c>
      <c r="H26" s="499">
        <v>0</v>
      </c>
      <c r="I26" s="324">
        <f t="shared" si="5"/>
        <v>428</v>
      </c>
      <c r="J26" s="498">
        <v>305</v>
      </c>
      <c r="K26" s="499">
        <v>123</v>
      </c>
    </row>
    <row r="27" spans="1:11" ht="18" customHeight="1">
      <c r="A27" s="315"/>
      <c r="B27" s="322">
        <v>22</v>
      </c>
      <c r="C27" s="323">
        <f t="shared" si="3"/>
        <v>326</v>
      </c>
      <c r="D27" s="498">
        <v>225</v>
      </c>
      <c r="E27" s="499">
        <v>101</v>
      </c>
      <c r="F27" s="324">
        <f t="shared" si="4"/>
        <v>1</v>
      </c>
      <c r="G27" s="498">
        <v>0</v>
      </c>
      <c r="H27" s="499">
        <v>1</v>
      </c>
      <c r="I27" s="324">
        <f t="shared" si="5"/>
        <v>404</v>
      </c>
      <c r="J27" s="498">
        <v>292</v>
      </c>
      <c r="K27" s="499">
        <v>112</v>
      </c>
    </row>
    <row r="28" spans="1:11" ht="18" customHeight="1">
      <c r="A28" s="329"/>
      <c r="B28" s="330">
        <v>23</v>
      </c>
      <c r="C28" s="331">
        <f t="shared" si="3"/>
        <v>258</v>
      </c>
      <c r="D28" s="500">
        <v>194</v>
      </c>
      <c r="E28" s="501">
        <v>64</v>
      </c>
      <c r="F28" s="332">
        <f t="shared" si="4"/>
        <v>0</v>
      </c>
      <c r="G28" s="500">
        <v>0</v>
      </c>
      <c r="H28" s="501">
        <v>0</v>
      </c>
      <c r="I28" s="332">
        <f t="shared" si="5"/>
        <v>311</v>
      </c>
      <c r="J28" s="500">
        <v>239</v>
      </c>
      <c r="K28" s="501">
        <v>72</v>
      </c>
    </row>
    <row r="29" spans="1:11" ht="18" customHeight="1">
      <c r="A29" s="699" t="s">
        <v>153</v>
      </c>
      <c r="B29" s="611"/>
      <c r="C29" s="320">
        <f aca="true" t="shared" si="6" ref="C29:K29">SUM(C11:C22)</f>
        <v>8480</v>
      </c>
      <c r="D29" s="333">
        <f>SUM(D11:D22)</f>
        <v>4758</v>
      </c>
      <c r="E29" s="334">
        <f>SUM(E11:E22)</f>
        <v>3722</v>
      </c>
      <c r="F29" s="321">
        <f t="shared" si="6"/>
        <v>29</v>
      </c>
      <c r="G29" s="333">
        <f t="shared" si="6"/>
        <v>16</v>
      </c>
      <c r="H29" s="334">
        <f t="shared" si="6"/>
        <v>13</v>
      </c>
      <c r="I29" s="321">
        <f t="shared" si="6"/>
        <v>9814</v>
      </c>
      <c r="J29" s="333">
        <f t="shared" si="6"/>
        <v>5702</v>
      </c>
      <c r="K29" s="334">
        <f t="shared" si="6"/>
        <v>4112</v>
      </c>
    </row>
    <row r="30" spans="1:11" ht="18" customHeight="1">
      <c r="A30" s="700" t="s">
        <v>95</v>
      </c>
      <c r="B30" s="701"/>
      <c r="C30" s="323">
        <f aca="true" t="shared" si="7" ref="C30:K30">C31-C29</f>
        <v>3693</v>
      </c>
      <c r="D30" s="335">
        <f t="shared" si="7"/>
        <v>2511</v>
      </c>
      <c r="E30" s="228">
        <f>E31-E29</f>
        <v>1182</v>
      </c>
      <c r="F30" s="324">
        <f t="shared" si="7"/>
        <v>20</v>
      </c>
      <c r="G30" s="335">
        <f t="shared" si="7"/>
        <v>14</v>
      </c>
      <c r="H30" s="228">
        <f t="shared" si="7"/>
        <v>6</v>
      </c>
      <c r="I30" s="324">
        <f t="shared" si="7"/>
        <v>4417</v>
      </c>
      <c r="J30" s="335">
        <f t="shared" si="7"/>
        <v>3089</v>
      </c>
      <c r="K30" s="228">
        <f t="shared" si="7"/>
        <v>1328</v>
      </c>
    </row>
    <row r="31" spans="1:11" ht="18" customHeight="1">
      <c r="A31" s="702" t="s">
        <v>197</v>
      </c>
      <c r="B31" s="703"/>
      <c r="C31" s="331">
        <f aca="true" t="shared" si="8" ref="C31:K31">SUM(C5:C28)</f>
        <v>12173</v>
      </c>
      <c r="D31" s="336">
        <f t="shared" si="8"/>
        <v>7269</v>
      </c>
      <c r="E31" s="337">
        <f t="shared" si="8"/>
        <v>4904</v>
      </c>
      <c r="F31" s="332">
        <f t="shared" si="8"/>
        <v>49</v>
      </c>
      <c r="G31" s="336">
        <f t="shared" si="8"/>
        <v>30</v>
      </c>
      <c r="H31" s="337">
        <f t="shared" si="8"/>
        <v>19</v>
      </c>
      <c r="I31" s="332">
        <f t="shared" si="8"/>
        <v>14231</v>
      </c>
      <c r="J31" s="336">
        <f t="shared" si="8"/>
        <v>8791</v>
      </c>
      <c r="K31" s="337">
        <f t="shared" si="8"/>
        <v>5440</v>
      </c>
    </row>
    <row r="32" spans="1:11" ht="18" customHeight="1">
      <c r="A32" s="695" t="s">
        <v>189</v>
      </c>
      <c r="B32" s="695"/>
      <c r="C32" s="696" t="s">
        <v>110</v>
      </c>
      <c r="D32" s="696"/>
      <c r="E32" s="696"/>
      <c r="F32" s="696"/>
      <c r="G32" s="696"/>
      <c r="H32" s="696"/>
      <c r="I32" s="696"/>
      <c r="J32" s="696"/>
      <c r="K32" s="696"/>
    </row>
  </sheetData>
  <sheetProtection/>
  <mergeCells count="8">
    <mergeCell ref="A32:B32"/>
    <mergeCell ref="C32:K32"/>
    <mergeCell ref="C2:D2"/>
    <mergeCell ref="F2:G2"/>
    <mergeCell ref="I2:J2"/>
    <mergeCell ref="A29:B29"/>
    <mergeCell ref="A30:B30"/>
    <mergeCell ref="A31:B31"/>
  </mergeCells>
  <printOptions/>
  <pageMargins left="0.984251968503937" right="0.3937007874015748" top="0.984251968503937" bottom="0.78" header="0.5118110236220472" footer="0.5118110236220472"/>
  <pageSetup horizontalDpi="600" verticalDpi="600" orientation="portrait" paperSize="9" scale="97" r:id="rId2"/>
  <headerFooter alignWithMargins="0">
    <oddFooter>&amp;C－12－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5.50390625" style="0" customWidth="1"/>
    <col min="2" max="2" width="7.125" style="0" customWidth="1"/>
    <col min="3" max="3" width="8.125" style="0" customWidth="1"/>
    <col min="4" max="4" width="7.625" style="0" customWidth="1"/>
    <col min="5" max="6" width="8.125" style="0" customWidth="1"/>
    <col min="7" max="7" width="7.625" style="0" customWidth="1"/>
    <col min="8" max="8" width="8.125" style="0" customWidth="1"/>
    <col min="9" max="9" width="9.375" style="0" customWidth="1"/>
    <col min="10" max="10" width="8.125" style="0" customWidth="1"/>
    <col min="11" max="11" width="11.00390625" style="0" customWidth="1"/>
  </cols>
  <sheetData>
    <row r="1" ht="17.25">
      <c r="A1" s="32" t="s">
        <v>264</v>
      </c>
    </row>
    <row r="2" spans="1:11" s="31" customFormat="1" ht="14.25">
      <c r="A2" s="129" t="s">
        <v>268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3" t="s">
        <v>182</v>
      </c>
      <c r="B4" s="3"/>
      <c r="C4" s="3"/>
      <c r="D4" s="3"/>
      <c r="E4" s="3"/>
      <c r="F4" s="3"/>
      <c r="G4" s="3"/>
      <c r="H4" s="512" t="s">
        <v>180</v>
      </c>
      <c r="I4" s="512"/>
      <c r="J4" s="512"/>
      <c r="K4" s="512"/>
    </row>
    <row r="5" spans="1:11" ht="13.5">
      <c r="A5" s="34" t="s">
        <v>233</v>
      </c>
      <c r="B5" s="35" t="s">
        <v>26</v>
      </c>
      <c r="C5" s="566" t="s">
        <v>202</v>
      </c>
      <c r="D5" s="566"/>
      <c r="E5" s="566"/>
      <c r="F5" s="514" t="s">
        <v>82</v>
      </c>
      <c r="G5" s="566"/>
      <c r="H5" s="568"/>
      <c r="I5" s="566" t="s">
        <v>200</v>
      </c>
      <c r="J5" s="566"/>
      <c r="K5" s="568"/>
    </row>
    <row r="6" spans="1:11" ht="13.5">
      <c r="A6" s="36" t="s">
        <v>55</v>
      </c>
      <c r="B6" s="37"/>
      <c r="C6" s="567"/>
      <c r="D6" s="567"/>
      <c r="E6" s="567"/>
      <c r="F6" s="569"/>
      <c r="G6" s="567"/>
      <c r="H6" s="570"/>
      <c r="I6" s="567"/>
      <c r="J6" s="567"/>
      <c r="K6" s="570"/>
    </row>
    <row r="7" spans="1:11" ht="13.5">
      <c r="A7" s="38" t="s">
        <v>183</v>
      </c>
      <c r="B7" s="39" t="s">
        <v>238</v>
      </c>
      <c r="C7" s="40" t="s">
        <v>73</v>
      </c>
      <c r="D7" s="41" t="s">
        <v>24</v>
      </c>
      <c r="E7" s="42" t="s">
        <v>37</v>
      </c>
      <c r="F7" s="40" t="s">
        <v>73</v>
      </c>
      <c r="G7" s="41" t="s">
        <v>24</v>
      </c>
      <c r="H7" s="42" t="s">
        <v>37</v>
      </c>
      <c r="I7" s="40" t="s">
        <v>73</v>
      </c>
      <c r="J7" s="41" t="s">
        <v>24</v>
      </c>
      <c r="K7" s="43" t="s">
        <v>37</v>
      </c>
    </row>
    <row r="8" spans="1:11" ht="13.5">
      <c r="A8" s="44"/>
      <c r="B8" s="45">
        <v>45</v>
      </c>
      <c r="C8" s="46">
        <v>25242</v>
      </c>
      <c r="D8" s="47">
        <v>280</v>
      </c>
      <c r="E8" s="46">
        <v>34642</v>
      </c>
      <c r="F8" s="48">
        <v>52968</v>
      </c>
      <c r="G8" s="47">
        <v>848</v>
      </c>
      <c r="H8" s="49">
        <v>74649</v>
      </c>
      <c r="I8" s="46">
        <v>718080</v>
      </c>
      <c r="J8" s="50">
        <v>16765</v>
      </c>
      <c r="K8" s="49">
        <v>981096</v>
      </c>
    </row>
    <row r="9" spans="1:11" ht="13.5">
      <c r="A9" s="571" t="s">
        <v>205</v>
      </c>
      <c r="B9" s="52">
        <v>46</v>
      </c>
      <c r="C9" s="53">
        <v>23380</v>
      </c>
      <c r="D9" s="54">
        <v>222</v>
      </c>
      <c r="E9" s="53">
        <v>31519</v>
      </c>
      <c r="F9" s="55">
        <v>49820</v>
      </c>
      <c r="G9" s="54">
        <v>692</v>
      </c>
      <c r="H9" s="56">
        <v>67881</v>
      </c>
      <c r="I9" s="53">
        <v>700290</v>
      </c>
      <c r="J9" s="57">
        <v>16278</v>
      </c>
      <c r="K9" s="56">
        <v>949689</v>
      </c>
    </row>
    <row r="10" spans="1:11" ht="13.5">
      <c r="A10" s="572"/>
      <c r="B10" s="59">
        <v>47</v>
      </c>
      <c r="C10" s="60">
        <v>20479</v>
      </c>
      <c r="D10" s="61">
        <v>228</v>
      </c>
      <c r="E10" s="60">
        <v>27240</v>
      </c>
      <c r="F10" s="62">
        <v>45725</v>
      </c>
      <c r="G10" s="61">
        <v>704</v>
      </c>
      <c r="H10" s="63">
        <v>62350</v>
      </c>
      <c r="I10" s="60">
        <v>659283</v>
      </c>
      <c r="J10" s="64">
        <v>15198</v>
      </c>
      <c r="K10" s="63">
        <v>889198</v>
      </c>
    </row>
    <row r="11" spans="1:11" ht="13.5">
      <c r="A11" s="572"/>
      <c r="B11" s="65">
        <v>48</v>
      </c>
      <c r="C11" s="66">
        <v>16669</v>
      </c>
      <c r="D11" s="67">
        <v>244</v>
      </c>
      <c r="E11" s="66">
        <v>21997</v>
      </c>
      <c r="F11" s="68">
        <v>38625</v>
      </c>
      <c r="G11" s="67">
        <v>677</v>
      </c>
      <c r="H11" s="69">
        <v>52337</v>
      </c>
      <c r="I11" s="66">
        <v>586713</v>
      </c>
      <c r="J11" s="70">
        <v>14574</v>
      </c>
      <c r="K11" s="69">
        <v>789948</v>
      </c>
    </row>
    <row r="12" spans="1:11" ht="13.5">
      <c r="A12" s="572"/>
      <c r="B12" s="59">
        <v>49</v>
      </c>
      <c r="C12" s="60">
        <v>13552</v>
      </c>
      <c r="D12" s="61">
        <v>147</v>
      </c>
      <c r="E12" s="60">
        <v>17500</v>
      </c>
      <c r="F12" s="62">
        <v>32389</v>
      </c>
      <c r="G12" s="61">
        <v>514</v>
      </c>
      <c r="H12" s="63">
        <v>42959</v>
      </c>
      <c r="I12" s="60">
        <v>490452</v>
      </c>
      <c r="J12" s="64">
        <v>11432</v>
      </c>
      <c r="K12" s="63">
        <v>651420</v>
      </c>
    </row>
    <row r="13" spans="1:11" ht="13.5">
      <c r="A13" s="573"/>
      <c r="B13" s="45">
        <v>50</v>
      </c>
      <c r="C13" s="46">
        <v>12726</v>
      </c>
      <c r="D13" s="47">
        <v>130</v>
      </c>
      <c r="E13" s="46">
        <v>16029</v>
      </c>
      <c r="F13" s="48">
        <v>31630</v>
      </c>
      <c r="G13" s="47">
        <v>433</v>
      </c>
      <c r="H13" s="49">
        <v>40989</v>
      </c>
      <c r="I13" s="46">
        <v>472938</v>
      </c>
      <c r="J13" s="50">
        <v>10792</v>
      </c>
      <c r="K13" s="49">
        <v>622467</v>
      </c>
    </row>
    <row r="14" spans="1:11" ht="13.5">
      <c r="A14" s="571" t="s">
        <v>108</v>
      </c>
      <c r="B14" s="52">
        <v>51</v>
      </c>
      <c r="C14" s="53">
        <v>12890</v>
      </c>
      <c r="D14" s="54">
        <v>110</v>
      </c>
      <c r="E14" s="53">
        <v>16367</v>
      </c>
      <c r="F14" s="55">
        <v>32311</v>
      </c>
      <c r="G14" s="54">
        <v>401</v>
      </c>
      <c r="H14" s="56">
        <v>41611</v>
      </c>
      <c r="I14" s="53">
        <v>471041</v>
      </c>
      <c r="J14" s="57">
        <v>9945</v>
      </c>
      <c r="K14" s="56">
        <v>613957</v>
      </c>
    </row>
    <row r="15" spans="1:11" ht="13.5">
      <c r="A15" s="572"/>
      <c r="B15" s="59">
        <v>52</v>
      </c>
      <c r="C15" s="60">
        <v>12852</v>
      </c>
      <c r="D15" s="61">
        <v>98</v>
      </c>
      <c r="E15" s="60">
        <v>16017</v>
      </c>
      <c r="F15" s="62">
        <v>33430</v>
      </c>
      <c r="G15" s="61">
        <v>361</v>
      </c>
      <c r="H15" s="63">
        <v>42577</v>
      </c>
      <c r="I15" s="60">
        <v>460649</v>
      </c>
      <c r="J15" s="64">
        <v>8945</v>
      </c>
      <c r="K15" s="63">
        <v>593211</v>
      </c>
    </row>
    <row r="16" spans="1:11" ht="13.5">
      <c r="A16" s="572"/>
      <c r="B16" s="65">
        <v>53</v>
      </c>
      <c r="C16" s="66">
        <v>12742</v>
      </c>
      <c r="D16" s="67">
        <v>118</v>
      </c>
      <c r="E16" s="66">
        <v>15854</v>
      </c>
      <c r="F16" s="68">
        <v>33645</v>
      </c>
      <c r="G16" s="67">
        <v>416</v>
      </c>
      <c r="H16" s="69">
        <v>42461</v>
      </c>
      <c r="I16" s="66">
        <v>464037</v>
      </c>
      <c r="J16" s="70">
        <v>8783</v>
      </c>
      <c r="K16" s="69">
        <v>594116</v>
      </c>
    </row>
    <row r="17" spans="1:11" ht="13.5">
      <c r="A17" s="572"/>
      <c r="B17" s="59">
        <v>54</v>
      </c>
      <c r="C17" s="60">
        <v>12648</v>
      </c>
      <c r="D17" s="61">
        <v>99</v>
      </c>
      <c r="E17" s="60">
        <v>15423</v>
      </c>
      <c r="F17" s="62">
        <v>33734</v>
      </c>
      <c r="G17" s="61">
        <v>321</v>
      </c>
      <c r="H17" s="63">
        <v>41947</v>
      </c>
      <c r="I17" s="60">
        <v>471573</v>
      </c>
      <c r="J17" s="64">
        <v>8466</v>
      </c>
      <c r="K17" s="63">
        <v>596282</v>
      </c>
    </row>
    <row r="18" spans="1:11" ht="13.5">
      <c r="A18" s="573"/>
      <c r="B18" s="45">
        <v>55</v>
      </c>
      <c r="C18" s="46">
        <v>13322</v>
      </c>
      <c r="D18" s="47">
        <v>104</v>
      </c>
      <c r="E18" s="46">
        <v>16163</v>
      </c>
      <c r="F18" s="48">
        <v>35734</v>
      </c>
      <c r="G18" s="47">
        <v>364</v>
      </c>
      <c r="H18" s="49">
        <v>44113</v>
      </c>
      <c r="I18" s="46">
        <v>476677</v>
      </c>
      <c r="J18" s="50">
        <v>8760</v>
      </c>
      <c r="K18" s="49">
        <v>598716</v>
      </c>
    </row>
    <row r="19" spans="1:11" ht="13.5">
      <c r="A19" s="571" t="s">
        <v>69</v>
      </c>
      <c r="B19" s="52">
        <v>56</v>
      </c>
      <c r="C19" s="53">
        <v>14262</v>
      </c>
      <c r="D19" s="54">
        <v>128</v>
      </c>
      <c r="E19" s="53">
        <v>17476</v>
      </c>
      <c r="F19" s="55">
        <v>37747</v>
      </c>
      <c r="G19" s="54">
        <v>383</v>
      </c>
      <c r="H19" s="56">
        <v>46569</v>
      </c>
      <c r="I19" s="53">
        <v>485578</v>
      </c>
      <c r="J19" s="57">
        <v>8719</v>
      </c>
      <c r="K19" s="56">
        <v>607346</v>
      </c>
    </row>
    <row r="20" spans="1:11" ht="13.5">
      <c r="A20" s="572"/>
      <c r="B20" s="59">
        <v>57</v>
      </c>
      <c r="C20" s="60">
        <v>15192</v>
      </c>
      <c r="D20" s="61">
        <v>131</v>
      </c>
      <c r="E20" s="60">
        <v>18448</v>
      </c>
      <c r="F20" s="62">
        <v>41862</v>
      </c>
      <c r="G20" s="61">
        <v>383</v>
      </c>
      <c r="H20" s="63">
        <v>51523</v>
      </c>
      <c r="I20" s="60">
        <v>502261</v>
      </c>
      <c r="J20" s="64">
        <v>9073</v>
      </c>
      <c r="K20" s="63">
        <v>626822</v>
      </c>
    </row>
    <row r="21" spans="1:11" ht="13.5">
      <c r="A21" s="572"/>
      <c r="B21" s="65">
        <v>58</v>
      </c>
      <c r="C21" s="66">
        <v>15719</v>
      </c>
      <c r="D21" s="67">
        <v>117</v>
      </c>
      <c r="E21" s="66">
        <v>19220</v>
      </c>
      <c r="F21" s="68">
        <v>44421</v>
      </c>
      <c r="G21" s="67">
        <v>412</v>
      </c>
      <c r="H21" s="69">
        <v>54354</v>
      </c>
      <c r="I21" s="66">
        <v>526362</v>
      </c>
      <c r="J21" s="70">
        <v>9520</v>
      </c>
      <c r="K21" s="69">
        <v>654822</v>
      </c>
    </row>
    <row r="22" spans="1:11" ht="13.5">
      <c r="A22" s="572"/>
      <c r="B22" s="59">
        <v>59</v>
      </c>
      <c r="C22" s="60">
        <v>15515</v>
      </c>
      <c r="D22" s="61">
        <v>138</v>
      </c>
      <c r="E22" s="60">
        <v>18863</v>
      </c>
      <c r="F22" s="62">
        <v>43517</v>
      </c>
      <c r="G22" s="61">
        <v>401</v>
      </c>
      <c r="H22" s="63">
        <v>54570</v>
      </c>
      <c r="I22" s="60">
        <v>518462</v>
      </c>
      <c r="J22" s="64">
        <v>9262</v>
      </c>
      <c r="K22" s="63">
        <v>644321</v>
      </c>
    </row>
    <row r="23" spans="1:11" ht="13.5">
      <c r="A23" s="573"/>
      <c r="B23" s="45">
        <v>60</v>
      </c>
      <c r="C23" s="46">
        <v>16284</v>
      </c>
      <c r="D23" s="47">
        <v>121</v>
      </c>
      <c r="E23" s="46">
        <v>19750</v>
      </c>
      <c r="F23" s="48">
        <v>47249</v>
      </c>
      <c r="G23" s="47">
        <v>391</v>
      </c>
      <c r="H23" s="49">
        <v>57673</v>
      </c>
      <c r="I23" s="46">
        <v>552788</v>
      </c>
      <c r="J23" s="50">
        <v>9261</v>
      </c>
      <c r="K23" s="49">
        <v>681346</v>
      </c>
    </row>
    <row r="24" spans="1:11" ht="13.5">
      <c r="A24" s="571" t="s">
        <v>250</v>
      </c>
      <c r="B24" s="52">
        <v>61</v>
      </c>
      <c r="C24" s="53">
        <v>16380</v>
      </c>
      <c r="D24" s="54">
        <v>134</v>
      </c>
      <c r="E24" s="53">
        <v>19970</v>
      </c>
      <c r="F24" s="55">
        <v>48940</v>
      </c>
      <c r="G24" s="54">
        <v>461</v>
      </c>
      <c r="H24" s="56">
        <v>60249</v>
      </c>
      <c r="I24" s="53">
        <v>579190</v>
      </c>
      <c r="J24" s="57">
        <v>9317</v>
      </c>
      <c r="K24" s="56">
        <v>712330</v>
      </c>
    </row>
    <row r="25" spans="1:11" ht="13.5">
      <c r="A25" s="572"/>
      <c r="B25" s="59">
        <v>62</v>
      </c>
      <c r="C25" s="60">
        <v>16386</v>
      </c>
      <c r="D25" s="61">
        <v>139</v>
      </c>
      <c r="E25" s="60">
        <v>20120</v>
      </c>
      <c r="F25" s="62">
        <v>50128</v>
      </c>
      <c r="G25" s="61">
        <v>434</v>
      </c>
      <c r="H25" s="63">
        <v>61620</v>
      </c>
      <c r="I25" s="60">
        <v>590723</v>
      </c>
      <c r="J25" s="64">
        <v>9347</v>
      </c>
      <c r="K25" s="63">
        <v>722179</v>
      </c>
    </row>
    <row r="26" spans="1:11" ht="13.5">
      <c r="A26" s="572"/>
      <c r="B26" s="65">
        <v>63</v>
      </c>
      <c r="C26" s="66">
        <v>16191</v>
      </c>
      <c r="D26" s="67">
        <v>145</v>
      </c>
      <c r="E26" s="66">
        <v>19807</v>
      </c>
      <c r="F26" s="68">
        <v>49461</v>
      </c>
      <c r="G26" s="67">
        <v>500</v>
      </c>
      <c r="H26" s="69">
        <v>61089</v>
      </c>
      <c r="I26" s="66">
        <v>614481</v>
      </c>
      <c r="J26" s="70">
        <v>10344</v>
      </c>
      <c r="K26" s="69">
        <v>752845</v>
      </c>
    </row>
    <row r="27" spans="1:11" ht="13.5">
      <c r="A27" s="572"/>
      <c r="B27" s="59" t="s">
        <v>148</v>
      </c>
      <c r="C27" s="60">
        <v>16518</v>
      </c>
      <c r="D27" s="61">
        <v>148</v>
      </c>
      <c r="E27" s="60">
        <v>20524</v>
      </c>
      <c r="F27" s="62">
        <v>50692</v>
      </c>
      <c r="G27" s="61">
        <v>519</v>
      </c>
      <c r="H27" s="71">
        <v>63572</v>
      </c>
      <c r="I27" s="60">
        <v>661363</v>
      </c>
      <c r="J27" s="64">
        <v>11086</v>
      </c>
      <c r="K27" s="63">
        <v>814832</v>
      </c>
    </row>
    <row r="28" spans="1:11" ht="13.5">
      <c r="A28" s="573"/>
      <c r="B28" s="45">
        <v>2</v>
      </c>
      <c r="C28" s="46">
        <v>14987</v>
      </c>
      <c r="D28" s="47">
        <v>164</v>
      </c>
      <c r="E28" s="46">
        <v>19896</v>
      </c>
      <c r="F28" s="48">
        <v>46156</v>
      </c>
      <c r="G28" s="47">
        <v>571</v>
      </c>
      <c r="H28" s="71">
        <v>58364</v>
      </c>
      <c r="I28" s="46">
        <v>643097</v>
      </c>
      <c r="J28" s="50">
        <v>11227</v>
      </c>
      <c r="K28" s="49">
        <v>790295</v>
      </c>
    </row>
    <row r="29" spans="1:11" ht="13.5">
      <c r="A29" s="571" t="s">
        <v>54</v>
      </c>
      <c r="B29" s="52">
        <v>3</v>
      </c>
      <c r="C29" s="53">
        <v>15690</v>
      </c>
      <c r="D29" s="54">
        <v>147</v>
      </c>
      <c r="E29" s="53">
        <v>19590</v>
      </c>
      <c r="F29" s="55">
        <v>49220</v>
      </c>
      <c r="G29" s="54">
        <v>550</v>
      </c>
      <c r="H29" s="72">
        <v>61504</v>
      </c>
      <c r="I29" s="53">
        <v>662392</v>
      </c>
      <c r="J29" s="57">
        <v>11109</v>
      </c>
      <c r="K29" s="56">
        <v>810245</v>
      </c>
    </row>
    <row r="30" spans="1:11" ht="13.5">
      <c r="A30" s="572"/>
      <c r="B30" s="59">
        <v>4</v>
      </c>
      <c r="C30" s="60">
        <v>16498</v>
      </c>
      <c r="D30" s="61">
        <v>157</v>
      </c>
      <c r="E30" s="60">
        <v>20232</v>
      </c>
      <c r="F30" s="62">
        <v>51606</v>
      </c>
      <c r="G30" s="61">
        <v>527</v>
      </c>
      <c r="H30" s="73">
        <v>63551</v>
      </c>
      <c r="I30" s="60">
        <v>695346</v>
      </c>
      <c r="J30" s="64">
        <v>11452</v>
      </c>
      <c r="K30" s="63">
        <v>844003</v>
      </c>
    </row>
    <row r="31" spans="1:11" ht="13.5">
      <c r="A31" s="572"/>
      <c r="B31" s="65">
        <v>5</v>
      </c>
      <c r="C31" s="66">
        <v>16340</v>
      </c>
      <c r="D31" s="67">
        <v>167</v>
      </c>
      <c r="E31" s="66">
        <v>19840</v>
      </c>
      <c r="F31" s="68">
        <v>52319</v>
      </c>
      <c r="G31" s="67">
        <v>481</v>
      </c>
      <c r="H31" s="71">
        <v>63857</v>
      </c>
      <c r="I31" s="66">
        <v>724678</v>
      </c>
      <c r="J31" s="70">
        <v>10945</v>
      </c>
      <c r="K31" s="69">
        <v>878633</v>
      </c>
    </row>
    <row r="32" spans="1:11" ht="13.5">
      <c r="A32" s="572"/>
      <c r="B32" s="59">
        <v>6</v>
      </c>
      <c r="C32" s="60">
        <v>16354</v>
      </c>
      <c r="D32" s="61">
        <v>156</v>
      </c>
      <c r="E32" s="60">
        <v>19748</v>
      </c>
      <c r="F32" s="62">
        <v>52450</v>
      </c>
      <c r="G32" s="61">
        <v>469</v>
      </c>
      <c r="H32" s="74">
        <v>63309</v>
      </c>
      <c r="I32" s="60">
        <v>729461</v>
      </c>
      <c r="J32" s="64">
        <v>10653</v>
      </c>
      <c r="K32" s="63">
        <v>881723</v>
      </c>
    </row>
    <row r="33" spans="1:11" ht="13.5">
      <c r="A33" s="573"/>
      <c r="B33" s="45">
        <v>7</v>
      </c>
      <c r="C33" s="46">
        <v>17087</v>
      </c>
      <c r="D33" s="47">
        <v>159</v>
      </c>
      <c r="E33" s="46">
        <v>20621</v>
      </c>
      <c r="F33" s="48">
        <v>55369</v>
      </c>
      <c r="G33" s="47">
        <v>474</v>
      </c>
      <c r="H33" s="71">
        <v>65926</v>
      </c>
      <c r="I33" s="46">
        <v>761794</v>
      </c>
      <c r="J33" s="50">
        <v>10684</v>
      </c>
      <c r="K33" s="49">
        <v>922677</v>
      </c>
    </row>
    <row r="34" spans="1:11" ht="13.5">
      <c r="A34" s="571" t="s">
        <v>201</v>
      </c>
      <c r="B34" s="52">
        <v>8</v>
      </c>
      <c r="C34" s="53">
        <v>17366</v>
      </c>
      <c r="D34" s="54">
        <v>122</v>
      </c>
      <c r="E34" s="53">
        <v>20667</v>
      </c>
      <c r="F34" s="55">
        <v>56109</v>
      </c>
      <c r="G34" s="54">
        <v>435</v>
      </c>
      <c r="H34" s="72">
        <v>65965</v>
      </c>
      <c r="I34" s="53">
        <v>771085</v>
      </c>
      <c r="J34" s="57">
        <v>9943</v>
      </c>
      <c r="K34" s="56">
        <v>942204</v>
      </c>
    </row>
    <row r="35" spans="1:11" ht="13.5">
      <c r="A35" s="572"/>
      <c r="B35" s="59">
        <v>9</v>
      </c>
      <c r="C35" s="60">
        <v>16806</v>
      </c>
      <c r="D35" s="61">
        <v>132</v>
      </c>
      <c r="E35" s="60">
        <v>19764</v>
      </c>
      <c r="F35" s="62">
        <v>55209</v>
      </c>
      <c r="G35" s="61">
        <v>384</v>
      </c>
      <c r="H35" s="73">
        <v>64476</v>
      </c>
      <c r="I35" s="60">
        <v>780401</v>
      </c>
      <c r="J35" s="64">
        <v>9642</v>
      </c>
      <c r="K35" s="63">
        <v>958925</v>
      </c>
    </row>
    <row r="36" spans="1:11" ht="13.5">
      <c r="A36" s="572"/>
      <c r="B36" s="65">
        <v>10</v>
      </c>
      <c r="C36" s="66">
        <v>17237</v>
      </c>
      <c r="D36" s="67">
        <v>129</v>
      </c>
      <c r="E36" s="66">
        <v>20434</v>
      </c>
      <c r="F36" s="68">
        <v>56478</v>
      </c>
      <c r="G36" s="67">
        <v>394</v>
      </c>
      <c r="H36" s="71">
        <v>67551</v>
      </c>
      <c r="I36" s="66">
        <v>803882</v>
      </c>
      <c r="J36" s="70">
        <v>9214</v>
      </c>
      <c r="K36" s="69">
        <v>990676</v>
      </c>
    </row>
    <row r="37" spans="1:11" ht="13.5">
      <c r="A37" s="572"/>
      <c r="B37" s="59">
        <v>11</v>
      </c>
      <c r="C37" s="60">
        <v>17775</v>
      </c>
      <c r="D37" s="61">
        <v>117</v>
      </c>
      <c r="E37" s="60">
        <v>21146</v>
      </c>
      <c r="F37" s="62">
        <v>58506</v>
      </c>
      <c r="G37" s="61">
        <v>367</v>
      </c>
      <c r="H37" s="75">
        <v>70015</v>
      </c>
      <c r="I37" s="60">
        <v>850371</v>
      </c>
      <c r="J37" s="64">
        <v>9012</v>
      </c>
      <c r="K37" s="63">
        <v>1050399</v>
      </c>
    </row>
    <row r="38" spans="1:11" ht="13.5">
      <c r="A38" s="573"/>
      <c r="B38" s="45">
        <v>12</v>
      </c>
      <c r="C38" s="46">
        <v>19490</v>
      </c>
      <c r="D38" s="47">
        <v>100</v>
      </c>
      <c r="E38" s="46">
        <v>23167</v>
      </c>
      <c r="F38" s="48">
        <v>63273</v>
      </c>
      <c r="G38" s="47">
        <v>369</v>
      </c>
      <c r="H38" s="71">
        <v>75768</v>
      </c>
      <c r="I38" s="46">
        <v>931950</v>
      </c>
      <c r="J38" s="50">
        <v>9073</v>
      </c>
      <c r="K38" s="49">
        <v>1155707</v>
      </c>
    </row>
    <row r="39" spans="1:11" ht="13.5">
      <c r="A39" s="571" t="s">
        <v>59</v>
      </c>
      <c r="B39" s="52">
        <v>13</v>
      </c>
      <c r="C39" s="53">
        <v>19686</v>
      </c>
      <c r="D39" s="54">
        <v>101</v>
      </c>
      <c r="E39" s="53">
        <v>23349</v>
      </c>
      <c r="F39" s="55">
        <v>63671</v>
      </c>
      <c r="G39" s="54">
        <v>327</v>
      </c>
      <c r="H39" s="72">
        <v>76594</v>
      </c>
      <c r="I39" s="53">
        <v>947253</v>
      </c>
      <c r="J39" s="57">
        <v>8757</v>
      </c>
      <c r="K39" s="56">
        <v>1181039</v>
      </c>
    </row>
    <row r="40" spans="1:11" ht="13.5">
      <c r="A40" s="572"/>
      <c r="B40" s="59">
        <v>14</v>
      </c>
      <c r="C40" s="60">
        <v>19690</v>
      </c>
      <c r="D40" s="61">
        <v>107</v>
      </c>
      <c r="E40" s="60">
        <v>23424</v>
      </c>
      <c r="F40" s="62">
        <v>63803</v>
      </c>
      <c r="G40" s="61">
        <v>323</v>
      </c>
      <c r="H40" s="73">
        <v>77299</v>
      </c>
      <c r="I40" s="60">
        <v>936950</v>
      </c>
      <c r="J40" s="64">
        <v>8396</v>
      </c>
      <c r="K40" s="63">
        <v>1168029</v>
      </c>
    </row>
    <row r="41" spans="1:11" ht="13.5">
      <c r="A41" s="572"/>
      <c r="B41" s="65">
        <v>15</v>
      </c>
      <c r="C41" s="66">
        <v>20320</v>
      </c>
      <c r="D41" s="67">
        <v>86</v>
      </c>
      <c r="E41" s="66">
        <v>24161</v>
      </c>
      <c r="F41" s="68">
        <v>66392</v>
      </c>
      <c r="G41" s="67">
        <v>291</v>
      </c>
      <c r="H41" s="71">
        <v>80174</v>
      </c>
      <c r="I41" s="66">
        <v>948281</v>
      </c>
      <c r="J41" s="70">
        <v>7768</v>
      </c>
      <c r="K41" s="69">
        <v>1181681</v>
      </c>
    </row>
    <row r="42" spans="1:11" ht="13.5">
      <c r="A42" s="572"/>
      <c r="B42" s="52">
        <v>16</v>
      </c>
      <c r="C42" s="53">
        <v>20488</v>
      </c>
      <c r="D42" s="54">
        <v>91</v>
      </c>
      <c r="E42" s="53">
        <v>24183</v>
      </c>
      <c r="F42" s="55">
        <v>67593</v>
      </c>
      <c r="G42" s="54">
        <v>313</v>
      </c>
      <c r="H42" s="76">
        <v>81392</v>
      </c>
      <c r="I42" s="53">
        <v>952709</v>
      </c>
      <c r="J42" s="57">
        <v>7425</v>
      </c>
      <c r="K42" s="56">
        <v>1183616</v>
      </c>
    </row>
    <row r="43" spans="1:11" ht="13.5">
      <c r="A43" s="521"/>
      <c r="B43" s="77">
        <v>17</v>
      </c>
      <c r="C43" s="78">
        <v>19882</v>
      </c>
      <c r="D43" s="54">
        <v>80</v>
      </c>
      <c r="E43" s="79">
        <v>23353</v>
      </c>
      <c r="F43" s="80">
        <v>66105</v>
      </c>
      <c r="G43" s="81">
        <v>268</v>
      </c>
      <c r="H43" s="76">
        <v>79502</v>
      </c>
      <c r="I43" s="82">
        <v>934339</v>
      </c>
      <c r="J43" s="57">
        <v>6927</v>
      </c>
      <c r="K43" s="83">
        <v>1157115</v>
      </c>
    </row>
    <row r="44" spans="1:11" s="3" customFormat="1" ht="13.5">
      <c r="A44" s="571" t="s">
        <v>176</v>
      </c>
      <c r="B44" s="77">
        <v>18</v>
      </c>
      <c r="C44" s="78">
        <v>18753</v>
      </c>
      <c r="D44" s="84">
        <v>75</v>
      </c>
      <c r="E44" s="83">
        <v>22100</v>
      </c>
      <c r="F44" s="85">
        <v>62834</v>
      </c>
      <c r="G44" s="86">
        <v>255</v>
      </c>
      <c r="H44" s="76">
        <v>75485</v>
      </c>
      <c r="I44" s="78">
        <v>887257</v>
      </c>
      <c r="J44" s="53">
        <v>6403</v>
      </c>
      <c r="K44" s="83">
        <v>1098566</v>
      </c>
    </row>
    <row r="45" spans="1:11" s="3" customFormat="1" ht="13.5">
      <c r="A45" s="572"/>
      <c r="B45" s="87">
        <v>19</v>
      </c>
      <c r="C45" s="88">
        <v>17402</v>
      </c>
      <c r="D45" s="89">
        <v>73</v>
      </c>
      <c r="E45" s="75">
        <v>20318</v>
      </c>
      <c r="F45" s="90">
        <v>59062</v>
      </c>
      <c r="G45" s="89">
        <v>248</v>
      </c>
      <c r="H45" s="91">
        <v>70916</v>
      </c>
      <c r="I45" s="88">
        <v>832691</v>
      </c>
      <c r="J45" s="92">
        <v>5782</v>
      </c>
      <c r="K45" s="75">
        <v>1034653</v>
      </c>
    </row>
    <row r="46" spans="1:11" s="3" customFormat="1" ht="13.5">
      <c r="A46" s="572"/>
      <c r="B46" s="93">
        <v>20</v>
      </c>
      <c r="C46" s="94">
        <v>15990</v>
      </c>
      <c r="D46" s="95">
        <v>61</v>
      </c>
      <c r="E46" s="96">
        <v>18741</v>
      </c>
      <c r="F46" s="97">
        <v>53769</v>
      </c>
      <c r="G46" s="95">
        <v>198</v>
      </c>
      <c r="H46" s="98">
        <v>64290</v>
      </c>
      <c r="I46" s="94">
        <v>766382</v>
      </c>
      <c r="J46" s="99">
        <v>5197</v>
      </c>
      <c r="K46" s="96">
        <v>945703</v>
      </c>
    </row>
    <row r="47" spans="1:11" s="3" customFormat="1" ht="13.5">
      <c r="A47" s="572"/>
      <c r="B47" s="100">
        <v>21</v>
      </c>
      <c r="C47" s="101">
        <v>15575</v>
      </c>
      <c r="D47" s="102">
        <v>64</v>
      </c>
      <c r="E47" s="103">
        <v>18280</v>
      </c>
      <c r="F47" s="104">
        <v>51696</v>
      </c>
      <c r="G47" s="102">
        <v>205</v>
      </c>
      <c r="H47" s="105">
        <v>61842</v>
      </c>
      <c r="I47" s="101">
        <v>737628</v>
      </c>
      <c r="J47" s="106">
        <v>4968</v>
      </c>
      <c r="K47" s="103">
        <v>911215</v>
      </c>
    </row>
    <row r="48" spans="1:11" s="3" customFormat="1" ht="13.5">
      <c r="A48" s="572"/>
      <c r="B48" s="87">
        <v>22</v>
      </c>
      <c r="C48" s="88">
        <v>15403</v>
      </c>
      <c r="D48" s="89">
        <v>62</v>
      </c>
      <c r="E48" s="75">
        <v>18024</v>
      </c>
      <c r="F48" s="90">
        <v>51292</v>
      </c>
      <c r="G48" s="89">
        <v>201</v>
      </c>
      <c r="H48" s="91">
        <v>61469</v>
      </c>
      <c r="I48" s="88">
        <v>725903</v>
      </c>
      <c r="J48" s="92">
        <v>4922</v>
      </c>
      <c r="K48" s="75">
        <v>896294</v>
      </c>
    </row>
    <row r="49" spans="1:11" s="3" customFormat="1" ht="13.5">
      <c r="A49" s="565" t="s">
        <v>125</v>
      </c>
      <c r="B49" s="87">
        <v>23</v>
      </c>
      <c r="C49" s="107">
        <v>14747</v>
      </c>
      <c r="D49" s="92">
        <v>65</v>
      </c>
      <c r="E49" s="71">
        <v>17282</v>
      </c>
      <c r="F49" s="107">
        <v>49644</v>
      </c>
      <c r="G49" s="89">
        <v>197</v>
      </c>
      <c r="H49" s="108">
        <v>59489</v>
      </c>
      <c r="I49" s="109">
        <v>692056</v>
      </c>
      <c r="J49" s="89">
        <v>4663</v>
      </c>
      <c r="K49" s="108">
        <v>854610</v>
      </c>
    </row>
    <row r="50" spans="1:11" s="3" customFormat="1" ht="13.5">
      <c r="A50" s="521"/>
      <c r="B50" s="87">
        <v>24</v>
      </c>
      <c r="C50" s="107">
        <v>14500</v>
      </c>
      <c r="D50" s="92">
        <v>51</v>
      </c>
      <c r="E50" s="71">
        <v>16900</v>
      </c>
      <c r="F50" s="107">
        <v>48212</v>
      </c>
      <c r="G50" s="89">
        <v>182</v>
      </c>
      <c r="H50" s="108">
        <v>57804</v>
      </c>
      <c r="I50" s="109">
        <v>665138</v>
      </c>
      <c r="J50" s="89">
        <v>4411</v>
      </c>
      <c r="K50" s="108">
        <v>825396</v>
      </c>
    </row>
    <row r="51" spans="1:11" s="3" customFormat="1" ht="13.5">
      <c r="A51" s="521"/>
      <c r="B51" s="87">
        <v>25</v>
      </c>
      <c r="C51" s="107">
        <v>13973</v>
      </c>
      <c r="D51" s="92">
        <v>49</v>
      </c>
      <c r="E51" s="71">
        <v>16418</v>
      </c>
      <c r="F51" s="107">
        <v>46110</v>
      </c>
      <c r="G51" s="89">
        <v>179</v>
      </c>
      <c r="H51" s="108">
        <v>55363</v>
      </c>
      <c r="I51" s="109">
        <v>629021</v>
      </c>
      <c r="J51" s="89">
        <v>4373</v>
      </c>
      <c r="K51" s="108">
        <v>781494</v>
      </c>
    </row>
    <row r="52" spans="1:11" s="3" customFormat="1" ht="13.5">
      <c r="A52" s="521"/>
      <c r="B52" s="100">
        <v>26</v>
      </c>
      <c r="C52" s="406">
        <v>12946</v>
      </c>
      <c r="D52" s="106">
        <v>51</v>
      </c>
      <c r="E52" s="74">
        <v>15221</v>
      </c>
      <c r="F52" s="406">
        <v>42729</v>
      </c>
      <c r="G52" s="102">
        <v>143</v>
      </c>
      <c r="H52" s="407">
        <v>51501</v>
      </c>
      <c r="I52" s="408">
        <v>573842</v>
      </c>
      <c r="J52" s="102">
        <v>4113</v>
      </c>
      <c r="K52" s="407">
        <v>711374</v>
      </c>
    </row>
    <row r="53" spans="1:11" s="3" customFormat="1" ht="13.5">
      <c r="A53" s="521"/>
      <c r="B53" s="87">
        <v>27</v>
      </c>
      <c r="C53" s="107">
        <v>12769</v>
      </c>
      <c r="D53" s="92">
        <v>51</v>
      </c>
      <c r="E53" s="71">
        <v>14867</v>
      </c>
      <c r="F53" s="107">
        <v>40607</v>
      </c>
      <c r="G53" s="89">
        <v>196</v>
      </c>
      <c r="H53" s="108">
        <v>48481</v>
      </c>
      <c r="I53" s="109">
        <v>536899</v>
      </c>
      <c r="J53" s="89">
        <v>4117</v>
      </c>
      <c r="K53" s="108">
        <v>666023</v>
      </c>
    </row>
    <row r="54" spans="1:11" ht="13.5">
      <c r="A54" s="434" t="s">
        <v>277</v>
      </c>
      <c r="B54" s="409">
        <v>28</v>
      </c>
      <c r="C54" s="439">
        <v>12173</v>
      </c>
      <c r="D54" s="440">
        <v>49</v>
      </c>
      <c r="E54" s="441">
        <v>14231</v>
      </c>
      <c r="F54" s="439">
        <v>37920</v>
      </c>
      <c r="G54" s="442">
        <v>161</v>
      </c>
      <c r="H54" s="443">
        <v>45460</v>
      </c>
      <c r="I54" s="444">
        <v>499201</v>
      </c>
      <c r="J54" s="442">
        <v>3904</v>
      </c>
      <c r="K54" s="443">
        <v>618853</v>
      </c>
    </row>
    <row r="55" ht="13.5">
      <c r="A55" s="3" t="s">
        <v>155</v>
      </c>
    </row>
  </sheetData>
  <sheetProtection/>
  <mergeCells count="13">
    <mergeCell ref="A29:A33"/>
    <mergeCell ref="A34:A38"/>
    <mergeCell ref="A39:A43"/>
    <mergeCell ref="A49:A53"/>
    <mergeCell ref="H4:K4"/>
    <mergeCell ref="C5:E6"/>
    <mergeCell ref="F5:H6"/>
    <mergeCell ref="I5:K6"/>
    <mergeCell ref="A9:A13"/>
    <mergeCell ref="A44:A48"/>
    <mergeCell ref="A14:A18"/>
    <mergeCell ref="A19:A23"/>
    <mergeCell ref="A24:A2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&amp;C-2-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11.125" style="0" customWidth="1"/>
    <col min="7" max="7" width="3.625" style="0" customWidth="1"/>
    <col min="8" max="8" width="11.625" style="0" bestFit="1" customWidth="1"/>
    <col min="9" max="9" width="3.625" style="0" customWidth="1"/>
    <col min="10" max="10" width="10.50390625" style="0" bestFit="1" customWidth="1"/>
  </cols>
  <sheetData>
    <row r="1" spans="1:10" ht="13.5">
      <c r="A1" s="3" t="s">
        <v>47</v>
      </c>
      <c r="B1" s="3"/>
      <c r="C1" s="3"/>
      <c r="D1" s="3"/>
      <c r="E1" s="3"/>
      <c r="F1" s="512" t="s">
        <v>180</v>
      </c>
      <c r="G1" s="512"/>
      <c r="H1" s="512"/>
      <c r="I1" s="512"/>
      <c r="J1" s="512"/>
    </row>
    <row r="2" spans="1:10" ht="13.5">
      <c r="A2" s="110"/>
      <c r="B2" s="17" t="s">
        <v>238</v>
      </c>
      <c r="C2" s="574" t="s">
        <v>276</v>
      </c>
      <c r="D2" s="575"/>
      <c r="E2" s="576" t="s">
        <v>213</v>
      </c>
      <c r="F2" s="575"/>
      <c r="G2" s="577" t="s">
        <v>56</v>
      </c>
      <c r="H2" s="578"/>
      <c r="I2" s="578"/>
      <c r="J2" s="579"/>
    </row>
    <row r="3" spans="1:10" ht="13.5">
      <c r="A3" s="8" t="s">
        <v>26</v>
      </c>
      <c r="B3" s="10"/>
      <c r="C3" s="580" t="s">
        <v>278</v>
      </c>
      <c r="D3" s="581"/>
      <c r="E3" s="582" t="s">
        <v>45</v>
      </c>
      <c r="F3" s="581"/>
      <c r="G3" s="583" t="s">
        <v>28</v>
      </c>
      <c r="H3" s="584"/>
      <c r="I3" s="583" t="s">
        <v>13</v>
      </c>
      <c r="J3" s="585"/>
    </row>
    <row r="4" spans="1:10" ht="27" customHeight="1">
      <c r="A4" s="5"/>
      <c r="B4" s="111" t="s">
        <v>247</v>
      </c>
      <c r="C4" s="586">
        <f>'2ページ（年次推移）'!C54</f>
        <v>12173</v>
      </c>
      <c r="D4" s="587"/>
      <c r="E4" s="588">
        <v>25242</v>
      </c>
      <c r="F4" s="589"/>
      <c r="G4" s="112"/>
      <c r="H4" s="113">
        <f aca="true" t="shared" si="0" ref="H4:H12">C4-E4</f>
        <v>-13069</v>
      </c>
      <c r="I4" s="112"/>
      <c r="J4" s="21">
        <f aca="true" t="shared" si="1" ref="J4:J12">(C4/E4-1)*100</f>
        <v>-51.77481974486966</v>
      </c>
    </row>
    <row r="5" spans="1:10" ht="24.75" customHeight="1">
      <c r="A5" s="114" t="s">
        <v>42</v>
      </c>
      <c r="B5" s="115" t="s">
        <v>19</v>
      </c>
      <c r="C5" s="590">
        <f>'2ページ（年次推移）'!D54</f>
        <v>49</v>
      </c>
      <c r="D5" s="591"/>
      <c r="E5" s="592">
        <v>280</v>
      </c>
      <c r="F5" s="593"/>
      <c r="G5" s="116"/>
      <c r="H5" s="117">
        <f t="shared" si="0"/>
        <v>-231</v>
      </c>
      <c r="I5" s="116"/>
      <c r="J5" s="28">
        <f t="shared" si="1"/>
        <v>-82.5</v>
      </c>
    </row>
    <row r="6" spans="1:10" ht="27" customHeight="1">
      <c r="A6" s="118"/>
      <c r="B6" s="119" t="s">
        <v>121</v>
      </c>
      <c r="C6" s="590">
        <f>'2ページ（年次推移）'!E54</f>
        <v>14231</v>
      </c>
      <c r="D6" s="591"/>
      <c r="E6" s="592">
        <v>34642</v>
      </c>
      <c r="F6" s="593"/>
      <c r="G6" s="116"/>
      <c r="H6" s="117">
        <f t="shared" si="0"/>
        <v>-20411</v>
      </c>
      <c r="I6" s="116"/>
      <c r="J6" s="28">
        <f t="shared" si="1"/>
        <v>-58.91980832515444</v>
      </c>
    </row>
    <row r="7" spans="1:10" ht="27.75" customHeight="1">
      <c r="A7" s="120"/>
      <c r="B7" s="121" t="s">
        <v>247</v>
      </c>
      <c r="C7" s="590">
        <f>'2ページ（年次推移）'!F54</f>
        <v>37920</v>
      </c>
      <c r="D7" s="591"/>
      <c r="E7" s="592">
        <v>52968</v>
      </c>
      <c r="F7" s="593"/>
      <c r="G7" s="116"/>
      <c r="H7" s="117">
        <f t="shared" si="0"/>
        <v>-15048</v>
      </c>
      <c r="I7" s="116"/>
      <c r="J7" s="28">
        <f t="shared" si="1"/>
        <v>-28.409605799728133</v>
      </c>
    </row>
    <row r="8" spans="1:10" ht="26.25" customHeight="1">
      <c r="A8" s="122" t="s">
        <v>82</v>
      </c>
      <c r="B8" s="115" t="s">
        <v>22</v>
      </c>
      <c r="C8" s="590">
        <f>'2ページ（年次推移）'!G54</f>
        <v>161</v>
      </c>
      <c r="D8" s="591"/>
      <c r="E8" s="592">
        <v>848</v>
      </c>
      <c r="F8" s="593"/>
      <c r="G8" s="116"/>
      <c r="H8" s="117">
        <f t="shared" si="0"/>
        <v>-687</v>
      </c>
      <c r="I8" s="116"/>
      <c r="J8" s="28">
        <f t="shared" si="1"/>
        <v>-81.01415094339622</v>
      </c>
    </row>
    <row r="9" spans="1:10" ht="26.25" customHeight="1">
      <c r="A9" s="122"/>
      <c r="B9" s="119" t="s">
        <v>220</v>
      </c>
      <c r="C9" s="590">
        <f>'2ページ（年次推移）'!H54</f>
        <v>45460</v>
      </c>
      <c r="D9" s="591"/>
      <c r="E9" s="592">
        <v>74649</v>
      </c>
      <c r="F9" s="593"/>
      <c r="G9" s="116"/>
      <c r="H9" s="117">
        <f t="shared" si="0"/>
        <v>-29189</v>
      </c>
      <c r="I9" s="116"/>
      <c r="J9" s="28">
        <f t="shared" si="1"/>
        <v>-39.10166244691824</v>
      </c>
    </row>
    <row r="10" spans="1:10" ht="27" customHeight="1">
      <c r="A10" s="51"/>
      <c r="B10" s="121" t="s">
        <v>247</v>
      </c>
      <c r="C10" s="590">
        <f>'2ページ（年次推移）'!I54</f>
        <v>499201</v>
      </c>
      <c r="D10" s="591"/>
      <c r="E10" s="592">
        <v>718080</v>
      </c>
      <c r="F10" s="593"/>
      <c r="G10" s="116"/>
      <c r="H10" s="117">
        <f t="shared" si="0"/>
        <v>-218879</v>
      </c>
      <c r="I10" s="116"/>
      <c r="J10" s="28">
        <f t="shared" si="1"/>
        <v>-30.481144162210338</v>
      </c>
    </row>
    <row r="11" spans="1:10" ht="25.5" customHeight="1">
      <c r="A11" s="58" t="s">
        <v>200</v>
      </c>
      <c r="B11" s="115" t="s">
        <v>22</v>
      </c>
      <c r="C11" s="590">
        <f>'2ページ（年次推移）'!J54</f>
        <v>3904</v>
      </c>
      <c r="D11" s="591"/>
      <c r="E11" s="592">
        <v>16765</v>
      </c>
      <c r="F11" s="593"/>
      <c r="G11" s="116"/>
      <c r="H11" s="117">
        <f t="shared" si="0"/>
        <v>-12861</v>
      </c>
      <c r="I11" s="116"/>
      <c r="J11" s="28">
        <f t="shared" si="1"/>
        <v>-76.71339099314048</v>
      </c>
    </row>
    <row r="12" spans="1:10" ht="27.75" customHeight="1">
      <c r="A12" s="38"/>
      <c r="B12" s="123" t="s">
        <v>220</v>
      </c>
      <c r="C12" s="594">
        <f>'2ページ（年次推移）'!K54</f>
        <v>618853</v>
      </c>
      <c r="D12" s="595"/>
      <c r="E12" s="596">
        <v>981096</v>
      </c>
      <c r="F12" s="597"/>
      <c r="G12" s="124"/>
      <c r="H12" s="125">
        <f t="shared" si="0"/>
        <v>-362243</v>
      </c>
      <c r="I12" s="124"/>
      <c r="J12" s="126">
        <f t="shared" si="1"/>
        <v>-36.92227875763432</v>
      </c>
    </row>
    <row r="13" spans="1:10" ht="13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3.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13.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13.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13.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3.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13.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 ht="13.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ht="13.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 ht="13.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13.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1" ht="13.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1" ht="13.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</row>
    <row r="28" spans="1:11" ht="13.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3.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3.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3.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3.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ht="13.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3.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13.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3.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3.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</sheetData>
  <sheetProtection/>
  <mergeCells count="26"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F1:J1"/>
    <mergeCell ref="C2:D2"/>
    <mergeCell ref="E2:F2"/>
    <mergeCell ref="G2:J2"/>
    <mergeCell ref="C3:D3"/>
    <mergeCell ref="E3:F3"/>
    <mergeCell ref="G3:H3"/>
    <mergeCell ref="I3:J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&amp;C-3-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7.50390625" style="0" customWidth="1"/>
    <col min="2" max="2" width="10.25390625" style="0" customWidth="1"/>
    <col min="3" max="4" width="7.25390625" style="0" customWidth="1"/>
    <col min="5" max="5" width="8.00390625" style="0" customWidth="1"/>
    <col min="6" max="6" width="10.50390625" style="0" bestFit="1" customWidth="1"/>
    <col min="7" max="7" width="7.25390625" style="0" customWidth="1"/>
    <col min="8" max="8" width="6.00390625" style="0" customWidth="1"/>
    <col min="9" max="11" width="7.50390625" style="0" customWidth="1"/>
    <col min="12" max="12" width="6.25390625" style="0" customWidth="1"/>
    <col min="13" max="13" width="7.50390625" style="0" customWidth="1"/>
  </cols>
  <sheetData>
    <row r="1" spans="1:13" ht="15">
      <c r="A1" s="129" t="s">
        <v>223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28"/>
      <c r="M1" s="128"/>
    </row>
    <row r="3" s="128" customFormat="1" ht="15.75" thickBot="1">
      <c r="A3" s="196" t="s">
        <v>97</v>
      </c>
    </row>
    <row r="4" spans="1:13" ht="13.5">
      <c r="A4" s="133" t="s">
        <v>26</v>
      </c>
      <c r="B4" s="574" t="s">
        <v>58</v>
      </c>
      <c r="C4" s="575"/>
      <c r="D4" s="577" t="s">
        <v>162</v>
      </c>
      <c r="E4" s="579"/>
      <c r="F4" s="601" t="s">
        <v>96</v>
      </c>
      <c r="G4" s="575"/>
      <c r="H4" s="577" t="s">
        <v>224</v>
      </c>
      <c r="I4" s="579"/>
      <c r="J4" s="601" t="s">
        <v>164</v>
      </c>
      <c r="K4" s="575"/>
      <c r="L4" s="577" t="s">
        <v>104</v>
      </c>
      <c r="M4" s="579"/>
    </row>
    <row r="5" spans="1:13" ht="14.25" thickBot="1">
      <c r="A5" s="135" t="s">
        <v>238</v>
      </c>
      <c r="B5" s="4" t="s">
        <v>167</v>
      </c>
      <c r="C5" s="41" t="s">
        <v>227</v>
      </c>
      <c r="D5" s="41" t="s">
        <v>24</v>
      </c>
      <c r="E5" s="43" t="s">
        <v>121</v>
      </c>
      <c r="F5" s="136" t="s">
        <v>243</v>
      </c>
      <c r="G5" s="41" t="s">
        <v>227</v>
      </c>
      <c r="H5" s="41" t="s">
        <v>22</v>
      </c>
      <c r="I5" s="43" t="s">
        <v>220</v>
      </c>
      <c r="J5" s="136" t="s">
        <v>98</v>
      </c>
      <c r="K5" s="41" t="s">
        <v>227</v>
      </c>
      <c r="L5" s="41" t="s">
        <v>22</v>
      </c>
      <c r="M5" s="43" t="s">
        <v>220</v>
      </c>
    </row>
    <row r="6" spans="1:13" ht="13.5">
      <c r="A6" s="137">
        <v>45</v>
      </c>
      <c r="B6" s="138">
        <v>2980487</v>
      </c>
      <c r="C6" s="139">
        <v>100</v>
      </c>
      <c r="D6" s="140">
        <f>100000*280/B6</f>
        <v>9.394437888841656</v>
      </c>
      <c r="E6" s="141">
        <f>100000*34642/B6</f>
        <v>1162.2932762330452</v>
      </c>
      <c r="F6" s="142">
        <v>532653</v>
      </c>
      <c r="G6" s="139">
        <v>100</v>
      </c>
      <c r="H6" s="140">
        <f>10000*280/F6</f>
        <v>5.256705585061945</v>
      </c>
      <c r="I6" s="141">
        <f>10000*34642/F6</f>
        <v>650.367124563271</v>
      </c>
      <c r="J6" s="142">
        <v>3555</v>
      </c>
      <c r="K6" s="139">
        <v>100</v>
      </c>
      <c r="L6" s="140">
        <f>100*280/J6</f>
        <v>7.876230661040788</v>
      </c>
      <c r="M6" s="141">
        <f>100*34642/J6</f>
        <v>974.4585091420535</v>
      </c>
    </row>
    <row r="7" spans="1:13" ht="13.5">
      <c r="A7" s="143">
        <v>46</v>
      </c>
      <c r="B7" s="144">
        <v>2942404</v>
      </c>
      <c r="C7" s="145">
        <f>B7*100/B6</f>
        <v>98.72225579242587</v>
      </c>
      <c r="D7" s="145">
        <f>100000*222/B7</f>
        <v>7.544851080952854</v>
      </c>
      <c r="E7" s="146">
        <f>100000*31519/B7</f>
        <v>1071.1989244169054</v>
      </c>
      <c r="F7" s="147">
        <v>566500</v>
      </c>
      <c r="G7" s="145">
        <f>F7*100/F6</f>
        <v>106.35441835491399</v>
      </c>
      <c r="H7" s="145">
        <f>10000*222/F7</f>
        <v>3.918799646954987</v>
      </c>
      <c r="I7" s="146">
        <f>10000*31519/F7</f>
        <v>556.3812886142983</v>
      </c>
      <c r="J7" s="147">
        <v>3603</v>
      </c>
      <c r="K7" s="145">
        <f>J7*100/J6</f>
        <v>101.35021097046413</v>
      </c>
      <c r="L7" s="145">
        <f>100*222/J7</f>
        <v>6.1615320566194836</v>
      </c>
      <c r="M7" s="146">
        <f>100*31519/J7</f>
        <v>874.7987787954482</v>
      </c>
    </row>
    <row r="8" spans="1:13" ht="13.5">
      <c r="A8" s="137">
        <v>47</v>
      </c>
      <c r="B8" s="138">
        <v>2894509</v>
      </c>
      <c r="C8" s="145">
        <f>B8*100/B6</f>
        <v>97.11530363997562</v>
      </c>
      <c r="D8" s="145">
        <f>100000*228/B8</f>
        <v>7.876983626583991</v>
      </c>
      <c r="E8" s="148">
        <f>100000*27240/B8</f>
        <v>941.092254333982</v>
      </c>
      <c r="F8" s="142">
        <v>603547</v>
      </c>
      <c r="G8" s="145">
        <f>F8*100/F6</f>
        <v>113.30960306240648</v>
      </c>
      <c r="H8" s="145">
        <f>10000*228/F8</f>
        <v>3.7776676878519817</v>
      </c>
      <c r="I8" s="146">
        <f>10000*27240/F8</f>
        <v>451.33187639073674</v>
      </c>
      <c r="J8" s="142">
        <v>3697</v>
      </c>
      <c r="K8" s="145">
        <f>J8*100/J6</f>
        <v>103.9943741209564</v>
      </c>
      <c r="L8" s="145">
        <f>100*228/J8</f>
        <v>6.167162564241277</v>
      </c>
      <c r="M8" s="146">
        <f>100*27240/J8</f>
        <v>736.813632675142</v>
      </c>
    </row>
    <row r="9" spans="1:13" ht="13.5">
      <c r="A9" s="143">
        <v>48</v>
      </c>
      <c r="B9" s="144">
        <v>2849102</v>
      </c>
      <c r="C9" s="145">
        <f>B9*100/B6</f>
        <v>95.59182777848049</v>
      </c>
      <c r="D9" s="145">
        <f>100000*244/B9</f>
        <v>8.564101952123861</v>
      </c>
      <c r="E9" s="148">
        <f>100000*21997/B9</f>
        <v>772.0678304953631</v>
      </c>
      <c r="F9" s="147">
        <v>602059</v>
      </c>
      <c r="G9" s="145">
        <f>F9*100/F6</f>
        <v>113.03024670845748</v>
      </c>
      <c r="H9" s="145">
        <f>10000*244/F9</f>
        <v>4.052758948873781</v>
      </c>
      <c r="I9" s="148">
        <f>10000*21997/F9</f>
        <v>365.3628631081007</v>
      </c>
      <c r="J9" s="147">
        <v>3652</v>
      </c>
      <c r="K9" s="145">
        <f>J9*100/J6</f>
        <v>102.72855133614627</v>
      </c>
      <c r="L9" s="145">
        <f>100*244/J9</f>
        <v>6.681270536692224</v>
      </c>
      <c r="M9" s="146">
        <f>100*21997/J9</f>
        <v>602.3274917853231</v>
      </c>
    </row>
    <row r="10" spans="1:13" ht="13.5">
      <c r="A10" s="137">
        <v>49</v>
      </c>
      <c r="B10" s="138">
        <v>2810322</v>
      </c>
      <c r="C10" s="145">
        <f>B10*100/B6</f>
        <v>94.29069813087592</v>
      </c>
      <c r="D10" s="145">
        <f>100000*147/B10</f>
        <v>5.230717334170248</v>
      </c>
      <c r="E10" s="148">
        <f>100000*17500/B10</f>
        <v>622.7044445440772</v>
      </c>
      <c r="F10" s="142">
        <v>620878</v>
      </c>
      <c r="G10" s="145">
        <f>F10*100/F6</f>
        <v>116.56331608007464</v>
      </c>
      <c r="H10" s="145">
        <f>10000*147/F10</f>
        <v>2.3676148937472417</v>
      </c>
      <c r="I10" s="148">
        <f>10000*17500/F10</f>
        <v>281.8589159222907</v>
      </c>
      <c r="J10" s="142">
        <v>3673</v>
      </c>
      <c r="K10" s="145">
        <f>J10*100/J6</f>
        <v>103.31926863572433</v>
      </c>
      <c r="L10" s="145">
        <f>100*147/J10</f>
        <v>4.0021780560849445</v>
      </c>
      <c r="M10" s="146">
        <f>100*17500/J10</f>
        <v>476.449768581541</v>
      </c>
    </row>
    <row r="11" spans="1:13" ht="13.5">
      <c r="A11" s="143">
        <v>50</v>
      </c>
      <c r="B11" s="144">
        <v>2778987</v>
      </c>
      <c r="C11" s="145">
        <f>B11*100/B6</f>
        <v>93.23935987642288</v>
      </c>
      <c r="D11" s="140">
        <f>100000*130/B11</f>
        <v>4.677963588890484</v>
      </c>
      <c r="E11" s="149">
        <f>100000*16029/B11</f>
        <v>576.7929105101967</v>
      </c>
      <c r="F11" s="147">
        <v>653189</v>
      </c>
      <c r="G11" s="145">
        <f>F11*100/F6</f>
        <v>122.62936658575094</v>
      </c>
      <c r="H11" s="140">
        <f>10000*130/F11</f>
        <v>1.9902355979662854</v>
      </c>
      <c r="I11" s="149">
        <f>10000*16029/F11</f>
        <v>245.396049229243</v>
      </c>
      <c r="J11" s="147">
        <v>3726</v>
      </c>
      <c r="K11" s="145">
        <f>J11*100/J6</f>
        <v>104.81012658227849</v>
      </c>
      <c r="L11" s="140">
        <f>100*130/J11</f>
        <v>3.488996242619431</v>
      </c>
      <c r="M11" s="141">
        <f>100*16029/J11</f>
        <v>430.19323671497585</v>
      </c>
    </row>
    <row r="12" spans="1:13" ht="13.5">
      <c r="A12" s="137">
        <v>51</v>
      </c>
      <c r="B12" s="138">
        <v>2748781</v>
      </c>
      <c r="C12" s="145">
        <f>B12*100/B6</f>
        <v>92.22590133760019</v>
      </c>
      <c r="D12" s="145">
        <f>100000*110/B12</f>
        <v>4.001773877220485</v>
      </c>
      <c r="E12" s="148">
        <f>100000*16367/B12</f>
        <v>595.4275731678879</v>
      </c>
      <c r="F12" s="142">
        <v>675897</v>
      </c>
      <c r="G12" s="145">
        <f>F12*100/F6</f>
        <v>126.89255481523618</v>
      </c>
      <c r="H12" s="145">
        <f>10000*110/F12</f>
        <v>1.6274669069399628</v>
      </c>
      <c r="I12" s="148">
        <f>10000*16367/F12</f>
        <v>242.152280598967</v>
      </c>
      <c r="J12" s="142">
        <v>3746</v>
      </c>
      <c r="K12" s="145">
        <f>J12*100/J6</f>
        <v>105.37271448663854</v>
      </c>
      <c r="L12" s="145">
        <f>100*110/J12</f>
        <v>2.936465563267485</v>
      </c>
      <c r="M12" s="146">
        <f>100*16367/J12</f>
        <v>436.9193806727176</v>
      </c>
    </row>
    <row r="13" spans="1:13" ht="13.5">
      <c r="A13" s="143">
        <v>52</v>
      </c>
      <c r="B13" s="144">
        <v>2720651</v>
      </c>
      <c r="C13" s="145">
        <f>B13*100/B6</f>
        <v>91.2820958454105</v>
      </c>
      <c r="D13" s="145">
        <f>100000*98/B13</f>
        <v>3.6020790612246847</v>
      </c>
      <c r="E13" s="148">
        <f>100000*16017/B13</f>
        <v>588.7193910575079</v>
      </c>
      <c r="F13" s="147">
        <v>687259</v>
      </c>
      <c r="G13" s="145">
        <f>F13*100/F6</f>
        <v>129.02565084586024</v>
      </c>
      <c r="H13" s="145">
        <f>10000*98/F13</f>
        <v>1.4259544072904102</v>
      </c>
      <c r="I13" s="148">
        <f>10000*16017/F13</f>
        <v>233.05624226092345</v>
      </c>
      <c r="J13" s="147">
        <v>3747</v>
      </c>
      <c r="K13" s="145">
        <f>J13*100/J6</f>
        <v>105.40084388185655</v>
      </c>
      <c r="L13" s="145">
        <f>100*98/J13</f>
        <v>2.6154256738724313</v>
      </c>
      <c r="M13" s="146">
        <f>100*16017/J13</f>
        <v>427.46196957566053</v>
      </c>
    </row>
    <row r="14" spans="1:13" ht="13.5">
      <c r="A14" s="137">
        <v>53</v>
      </c>
      <c r="B14" s="138">
        <v>2694091</v>
      </c>
      <c r="C14" s="145">
        <f>B14*100/B6</f>
        <v>90.39096630852609</v>
      </c>
      <c r="D14" s="145">
        <f>100000*118/B14</f>
        <v>4.379955985154177</v>
      </c>
      <c r="E14" s="148">
        <f>100000*15854/B14</f>
        <v>588.473069395206</v>
      </c>
      <c r="F14" s="142">
        <v>706814</v>
      </c>
      <c r="G14" s="145">
        <f>F14*100/F6</f>
        <v>132.69689647857047</v>
      </c>
      <c r="H14" s="145">
        <f>10000*118/F14</f>
        <v>1.669463253416033</v>
      </c>
      <c r="I14" s="148">
        <f>10000*15854/F14</f>
        <v>224.30229169201516</v>
      </c>
      <c r="J14" s="142">
        <v>3751</v>
      </c>
      <c r="K14" s="145">
        <f>J14*100/J6</f>
        <v>105.51336146272855</v>
      </c>
      <c r="L14" s="145">
        <f>100*118/J14</f>
        <v>3.1458277792588643</v>
      </c>
      <c r="M14" s="146">
        <f>100*15854/J14</f>
        <v>422.66062383364437</v>
      </c>
    </row>
    <row r="15" spans="1:13" ht="13.5">
      <c r="A15" s="143">
        <v>54</v>
      </c>
      <c r="B15" s="144">
        <v>2671163</v>
      </c>
      <c r="C15" s="145">
        <f>B15*100/B6</f>
        <v>89.62169605168552</v>
      </c>
      <c r="D15" s="145">
        <f>100000*99/B15</f>
        <v>3.7062507978734356</v>
      </c>
      <c r="E15" s="148">
        <f>100000*15423/B15</f>
        <v>577.3889500565858</v>
      </c>
      <c r="F15" s="147">
        <v>691266</v>
      </c>
      <c r="G15" s="145">
        <f>F15*100/F6</f>
        <v>129.77792296297966</v>
      </c>
      <c r="H15" s="145">
        <f>10000*99/F15</f>
        <v>1.4321549157632518</v>
      </c>
      <c r="I15" s="148">
        <f>10000*15423/F15</f>
        <v>223.1123764223902</v>
      </c>
      <c r="J15" s="147">
        <v>3763</v>
      </c>
      <c r="K15" s="145">
        <f>J15*100/J6</f>
        <v>105.85091420534458</v>
      </c>
      <c r="L15" s="145">
        <f>100*99/J15</f>
        <v>2.630879617326601</v>
      </c>
      <c r="M15" s="146">
        <f>100*15423/J15</f>
        <v>409.85915492957747</v>
      </c>
    </row>
    <row r="16" spans="1:13" ht="13.5">
      <c r="A16" s="137">
        <v>55</v>
      </c>
      <c r="B16" s="138">
        <v>2648180</v>
      </c>
      <c r="C16" s="145">
        <f>B16*100/B6</f>
        <v>88.85058045883106</v>
      </c>
      <c r="D16" s="140">
        <f>100000*104/B16</f>
        <v>3.9272254907143775</v>
      </c>
      <c r="E16" s="149">
        <f>100000*16163/B16</f>
        <v>610.3437077540046</v>
      </c>
      <c r="F16" s="142">
        <v>703328</v>
      </c>
      <c r="G16" s="145">
        <f>F16*100/F6</f>
        <v>132.04243663323027</v>
      </c>
      <c r="H16" s="140">
        <f>10000*104/F16</f>
        <v>1.4786841985531645</v>
      </c>
      <c r="I16" s="149">
        <f>10000*16163/F16</f>
        <v>229.80742981937303</v>
      </c>
      <c r="J16" s="142">
        <v>3765</v>
      </c>
      <c r="K16" s="145">
        <f>J16*100/J6</f>
        <v>105.90717299578058</v>
      </c>
      <c r="L16" s="140">
        <f>100*104/J16</f>
        <v>2.762284196547145</v>
      </c>
      <c r="M16" s="141">
        <f>100*16163/J16</f>
        <v>429.2961487383798</v>
      </c>
    </row>
    <row r="17" spans="1:13" ht="13.5">
      <c r="A17" s="143">
        <v>56</v>
      </c>
      <c r="B17" s="144">
        <v>2635211</v>
      </c>
      <c r="C17" s="145">
        <f>B17*100/B6</f>
        <v>88.41545022675824</v>
      </c>
      <c r="D17" s="145">
        <f>100000*128/B17</f>
        <v>4.857296057127873</v>
      </c>
      <c r="E17" s="148">
        <f>100000*17476/B17</f>
        <v>663.17270229974</v>
      </c>
      <c r="F17" s="147">
        <v>724713</v>
      </c>
      <c r="G17" s="145">
        <f>F17*100/F6</f>
        <v>136.05724552382134</v>
      </c>
      <c r="H17" s="145">
        <f>10000*128/F17</f>
        <v>1.7662164194653607</v>
      </c>
      <c r="I17" s="148">
        <f>10000*17476/F17</f>
        <v>241.14373552013004</v>
      </c>
      <c r="J17" s="147">
        <v>3788</v>
      </c>
      <c r="K17" s="145">
        <f>J17*100/J6</f>
        <v>106.55414908579465</v>
      </c>
      <c r="L17" s="145">
        <f>100*128/J17</f>
        <v>3.37909186906019</v>
      </c>
      <c r="M17" s="146">
        <f>100*17476/J17</f>
        <v>461.35163674762407</v>
      </c>
    </row>
    <row r="18" spans="1:13" ht="13.5">
      <c r="A18" s="137">
        <v>57</v>
      </c>
      <c r="B18" s="138">
        <v>2623124</v>
      </c>
      <c r="C18" s="145">
        <f>B18*100/B6</f>
        <v>88.00991247403529</v>
      </c>
      <c r="D18" s="145">
        <f>100000*131/B18</f>
        <v>4.99404526816117</v>
      </c>
      <c r="E18" s="148">
        <f>100000*18448/B18</f>
        <v>703.2835657025745</v>
      </c>
      <c r="F18" s="142">
        <v>733134</v>
      </c>
      <c r="G18" s="145">
        <f>F18*100/F6</f>
        <v>137.63819972852872</v>
      </c>
      <c r="H18" s="145">
        <f>10000*131/F18</f>
        <v>1.7868493345009235</v>
      </c>
      <c r="I18" s="148">
        <f>10000*18448/F18</f>
        <v>251.63203452574837</v>
      </c>
      <c r="J18" s="142">
        <v>3805</v>
      </c>
      <c r="K18" s="145">
        <f>J18*100/J6</f>
        <v>107.0323488045007</v>
      </c>
      <c r="L18" s="145">
        <f>100*131/J18</f>
        <v>3.442838370565046</v>
      </c>
      <c r="M18" s="146">
        <f>100*18448/J18</f>
        <v>484.83574244415246</v>
      </c>
    </row>
    <row r="19" spans="1:13" ht="13.5">
      <c r="A19" s="143">
        <v>58</v>
      </c>
      <c r="B19" s="144">
        <v>2624911</v>
      </c>
      <c r="C19" s="145">
        <f>B19*100/B6</f>
        <v>88.06986911870443</v>
      </c>
      <c r="D19" s="145">
        <v>4.5</v>
      </c>
      <c r="E19" s="148">
        <f>100000*19220/B19</f>
        <v>732.2153017759459</v>
      </c>
      <c r="F19" s="147">
        <v>750722</v>
      </c>
      <c r="G19" s="145">
        <f>F19*100/F6</f>
        <v>140.94016179388834</v>
      </c>
      <c r="H19" s="145">
        <v>1.6</v>
      </c>
      <c r="I19" s="148">
        <f>10000*19220/F19</f>
        <v>256.02020454975343</v>
      </c>
      <c r="J19" s="147">
        <v>3780</v>
      </c>
      <c r="K19" s="145">
        <f>J19*100/J6</f>
        <v>106.32911392405063</v>
      </c>
      <c r="L19" s="145">
        <v>3.1</v>
      </c>
      <c r="M19" s="146">
        <f>100*19220/J19</f>
        <v>508.46560846560845</v>
      </c>
    </row>
    <row r="20" spans="1:13" ht="13.5">
      <c r="A20" s="137">
        <v>59</v>
      </c>
      <c r="B20" s="138">
        <v>2631317</v>
      </c>
      <c r="C20" s="145">
        <f>B20*100/B6</f>
        <v>88.28480043697557</v>
      </c>
      <c r="D20" s="145">
        <f>100000*138/B20</f>
        <v>5.244522039723834</v>
      </c>
      <c r="E20" s="148">
        <f>100000*18863/B20</f>
        <v>716.8653567776137</v>
      </c>
      <c r="F20" s="142">
        <v>771399</v>
      </c>
      <c r="G20" s="145">
        <f>F20*100/F6</f>
        <v>144.8220511289714</v>
      </c>
      <c r="H20" s="145">
        <f>10000*138/F20</f>
        <v>1.7889574655917366</v>
      </c>
      <c r="I20" s="148">
        <f>10000*18863/F20</f>
        <v>244.52974401055744</v>
      </c>
      <c r="J20" s="142">
        <v>3861</v>
      </c>
      <c r="K20" s="145">
        <f>J20*100/J6</f>
        <v>108.60759493670886</v>
      </c>
      <c r="L20" s="145">
        <f>100*138/J20</f>
        <v>3.5742035742035743</v>
      </c>
      <c r="M20" s="146">
        <f>100*18863/J20</f>
        <v>488.55218855218857</v>
      </c>
    </row>
    <row r="21" spans="1:13" ht="13.5">
      <c r="A21" s="143">
        <v>60</v>
      </c>
      <c r="B21" s="144">
        <v>2636249</v>
      </c>
      <c r="C21" s="145">
        <f>B21*100/B6</f>
        <v>88.45027675007474</v>
      </c>
      <c r="D21" s="140">
        <f>100000*121/B21</f>
        <v>4.589854751960076</v>
      </c>
      <c r="E21" s="149">
        <f>100000*19750/B21</f>
        <v>749.1705070348058</v>
      </c>
      <c r="F21" s="147">
        <v>791519</v>
      </c>
      <c r="G21" s="145">
        <f>F21*100/F6</f>
        <v>148.59936957080876</v>
      </c>
      <c r="H21" s="140">
        <f>10000*121/F21</f>
        <v>1.528706196566349</v>
      </c>
      <c r="I21" s="149">
        <f>10000*19750/F21</f>
        <v>249.52022629905284</v>
      </c>
      <c r="J21" s="147">
        <v>3866</v>
      </c>
      <c r="K21" s="145">
        <f>J21*100/J6</f>
        <v>108.74824191279887</v>
      </c>
      <c r="L21" s="140">
        <f>100*121/J21</f>
        <v>3.1298499741334713</v>
      </c>
      <c r="M21" s="141">
        <f>100*19750/J21</f>
        <v>510.8639420589757</v>
      </c>
    </row>
    <row r="22" spans="1:13" ht="13.5">
      <c r="A22" s="137">
        <v>61</v>
      </c>
      <c r="B22" s="138">
        <v>2643780</v>
      </c>
      <c r="C22" s="145">
        <f>B22*100/B6</f>
        <v>88.70295357772069</v>
      </c>
      <c r="D22" s="145">
        <f>100000*134/B22</f>
        <v>5.068500404723539</v>
      </c>
      <c r="E22" s="148">
        <f>100000*19970/B22</f>
        <v>755.3578588233514</v>
      </c>
      <c r="F22" s="142">
        <v>811354</v>
      </c>
      <c r="G22" s="145">
        <f>F22*100/F6</f>
        <v>152.32318225936962</v>
      </c>
      <c r="H22" s="145">
        <f>10000*134/F22</f>
        <v>1.6515602314156337</v>
      </c>
      <c r="I22" s="148">
        <f>10000*19970/F22</f>
        <v>246.1317747863448</v>
      </c>
      <c r="J22" s="142">
        <v>3870</v>
      </c>
      <c r="K22" s="145">
        <f>J22*100/J6</f>
        <v>108.86075949367088</v>
      </c>
      <c r="L22" s="145">
        <f>100*134/J22</f>
        <v>3.462532299741602</v>
      </c>
      <c r="M22" s="146">
        <f>100*19970/J22</f>
        <v>516.0206718346253</v>
      </c>
    </row>
    <row r="23" spans="1:13" ht="13.5">
      <c r="A23" s="143">
        <v>62</v>
      </c>
      <c r="B23" s="144">
        <v>2649758</v>
      </c>
      <c r="C23" s="145">
        <f>B23*100/B6</f>
        <v>88.90352482664746</v>
      </c>
      <c r="D23" s="145">
        <f>100000*139/B23</f>
        <v>5.245762065818841</v>
      </c>
      <c r="E23" s="148">
        <f>100000*20120/B23</f>
        <v>759.3146242034178</v>
      </c>
      <c r="F23" s="147">
        <v>834194</v>
      </c>
      <c r="G23" s="145">
        <f>F23*100/F6</f>
        <v>156.61115210089872</v>
      </c>
      <c r="H23" s="145">
        <f>10000*139/F23</f>
        <v>1.6662790669796235</v>
      </c>
      <c r="I23" s="148">
        <f>10000*20120/F23</f>
        <v>241.19089804050375</v>
      </c>
      <c r="J23" s="147">
        <v>3872</v>
      </c>
      <c r="K23" s="145">
        <f>J23*100/J6</f>
        <v>108.91701828410689</v>
      </c>
      <c r="L23" s="145">
        <f>100*139/J23</f>
        <v>3.5898760330578514</v>
      </c>
      <c r="M23" s="146">
        <f>100*20120/J23</f>
        <v>519.6280991735537</v>
      </c>
    </row>
    <row r="24" spans="1:13" ht="13.5">
      <c r="A24" s="137">
        <v>63</v>
      </c>
      <c r="B24" s="138">
        <v>2646399</v>
      </c>
      <c r="C24" s="145">
        <f>B24*100/B6</f>
        <v>88.79082512354525</v>
      </c>
      <c r="D24" s="145">
        <f>100000*145/B24</f>
        <v>5.479143545625584</v>
      </c>
      <c r="E24" s="148">
        <f>100000*19807/B24</f>
        <v>748.4510083324548</v>
      </c>
      <c r="F24" s="142">
        <v>860460</v>
      </c>
      <c r="G24" s="145">
        <f>F24*100/F6</f>
        <v>161.54231741865718</v>
      </c>
      <c r="H24" s="145">
        <f>10000*145/F24</f>
        <v>1.6851451549171375</v>
      </c>
      <c r="I24" s="148">
        <f>10000*19807/F24</f>
        <v>230.19082816168097</v>
      </c>
      <c r="J24" s="142">
        <v>3883</v>
      </c>
      <c r="K24" s="145">
        <f>J24*100/J6</f>
        <v>109.22644163150493</v>
      </c>
      <c r="L24" s="145">
        <f>100*145/J24</f>
        <v>3.7342261138295134</v>
      </c>
      <c r="M24" s="146">
        <f>100*19807/J24</f>
        <v>510.0952871491115</v>
      </c>
    </row>
    <row r="25" spans="1:13" ht="13.5">
      <c r="A25" s="143" t="s">
        <v>106</v>
      </c>
      <c r="B25" s="144">
        <v>2637434</v>
      </c>
      <c r="C25" s="145">
        <f>B25*100/B6</f>
        <v>88.49003535328286</v>
      </c>
      <c r="D25" s="145">
        <f>100000*148/B25</f>
        <v>5.611514828427934</v>
      </c>
      <c r="E25" s="148">
        <f>100000*20524/B25</f>
        <v>778.180610396317</v>
      </c>
      <c r="F25" s="147">
        <v>889057</v>
      </c>
      <c r="G25" s="145">
        <f>F25*100/F6</f>
        <v>166.91110347637203</v>
      </c>
      <c r="H25" s="145">
        <f>10000*148/F25</f>
        <v>1.6646851664179012</v>
      </c>
      <c r="I25" s="148">
        <f>10000*20524/F25</f>
        <v>230.85134024027707</v>
      </c>
      <c r="J25" s="147">
        <v>3873</v>
      </c>
      <c r="K25" s="145">
        <f>J25*100/J6</f>
        <v>108.94514767932489</v>
      </c>
      <c r="L25" s="145">
        <f>100*148/J25</f>
        <v>3.8213271365866253</v>
      </c>
      <c r="M25" s="146">
        <f>100*20524/J25</f>
        <v>529.9251226439453</v>
      </c>
    </row>
    <row r="26" spans="1:13" ht="13.5">
      <c r="A26" s="137">
        <v>2</v>
      </c>
      <c r="B26" s="138">
        <v>2623801</v>
      </c>
      <c r="C26" s="145">
        <f>B26*100/B6</f>
        <v>88.03262688278795</v>
      </c>
      <c r="D26" s="140">
        <f>100000*164/B26</f>
        <v>6.2504740260408465</v>
      </c>
      <c r="E26" s="149">
        <f>100000*19896/B26</f>
        <v>758.2892147689554</v>
      </c>
      <c r="F26" s="142">
        <v>924602</v>
      </c>
      <c r="G26" s="145">
        <f>F26*100/F6</f>
        <v>173.584303477123</v>
      </c>
      <c r="H26" s="140">
        <f>10000*164/F26</f>
        <v>1.7737361589094551</v>
      </c>
      <c r="I26" s="149">
        <f>10000*19896/F26</f>
        <v>215.18447937599097</v>
      </c>
      <c r="J26" s="142">
        <v>3875</v>
      </c>
      <c r="K26" s="145">
        <f>J26*100/J6</f>
        <v>109.0014064697609</v>
      </c>
      <c r="L26" s="140">
        <f>100*164/J26</f>
        <v>4.232258064516129</v>
      </c>
      <c r="M26" s="141">
        <f>100*19896/J26</f>
        <v>513.4451612903226</v>
      </c>
    </row>
    <row r="27" spans="1:13" ht="13.5">
      <c r="A27" s="143">
        <v>3</v>
      </c>
      <c r="B27" s="144">
        <v>2613199</v>
      </c>
      <c r="C27" s="145">
        <f>B27*100/B6</f>
        <v>87.67691320243974</v>
      </c>
      <c r="D27" s="145">
        <f>100000*147/B27</f>
        <v>5.625289157082947</v>
      </c>
      <c r="E27" s="148">
        <f>100000*19590/B27</f>
        <v>749.655881545952</v>
      </c>
      <c r="F27" s="147">
        <v>947553</v>
      </c>
      <c r="G27" s="145">
        <f>F27*100/F6</f>
        <v>177.89311240150718</v>
      </c>
      <c r="H27" s="145">
        <f>10000*147/F27</f>
        <v>1.5513644091676138</v>
      </c>
      <c r="I27" s="148">
        <f>10000*19590/F27</f>
        <v>206.74305289519424</v>
      </c>
      <c r="J27" s="147">
        <v>3886</v>
      </c>
      <c r="K27" s="145">
        <f>J27*100/J6</f>
        <v>109.31082981715893</v>
      </c>
      <c r="L27" s="145">
        <f>100*147/J27</f>
        <v>3.7828100874935666</v>
      </c>
      <c r="M27" s="146">
        <f>100*19590/J27</f>
        <v>504.1173443129182</v>
      </c>
    </row>
    <row r="28" spans="1:13" ht="13.5">
      <c r="A28" s="137">
        <v>4</v>
      </c>
      <c r="B28" s="138">
        <v>2603272</v>
      </c>
      <c r="C28" s="145">
        <f>B28*100/B6</f>
        <v>87.3438468277164</v>
      </c>
      <c r="D28" s="145">
        <f>100000*157/B28</f>
        <v>6.03087191810921</v>
      </c>
      <c r="E28" s="148">
        <f>100000*20232/B28</f>
        <v>777.1758003005449</v>
      </c>
      <c r="F28" s="142">
        <v>943513</v>
      </c>
      <c r="G28" s="145">
        <f>F28*100/F6</f>
        <v>177.1346448813768</v>
      </c>
      <c r="H28" s="145">
        <f>10000*157/F28</f>
        <v>1.6639940308188652</v>
      </c>
      <c r="I28" s="148">
        <f>10000*20232/F28</f>
        <v>214.43265752565148</v>
      </c>
      <c r="J28" s="142">
        <v>3895</v>
      </c>
      <c r="K28" s="145">
        <f>J28*100/J6</f>
        <v>109.56399437412095</v>
      </c>
      <c r="L28" s="145">
        <f>100*157/J28</f>
        <v>4.030808729139923</v>
      </c>
      <c r="M28" s="146">
        <f>100*20232/J28</f>
        <v>519.4351732991014</v>
      </c>
    </row>
    <row r="29" spans="1:13" ht="13.5">
      <c r="A29" s="143">
        <v>5</v>
      </c>
      <c r="B29" s="144">
        <v>2595584</v>
      </c>
      <c r="C29" s="145">
        <f>B29*100/B6</f>
        <v>87.08590240453992</v>
      </c>
      <c r="D29" s="145">
        <f>100000*167/B29</f>
        <v>6.43400483282375</v>
      </c>
      <c r="E29" s="148">
        <f>100000*19840/B29</f>
        <v>764.3751849294803</v>
      </c>
      <c r="F29" s="147">
        <v>933366</v>
      </c>
      <c r="G29" s="145">
        <f>F29*100/F6</f>
        <v>175.2296523252474</v>
      </c>
      <c r="H29" s="145">
        <f>10000*167/F29</f>
        <v>1.7892230914775127</v>
      </c>
      <c r="I29" s="148">
        <f>10000*19840/F29</f>
        <v>212.56398883181944</v>
      </c>
      <c r="J29" s="147">
        <v>3899</v>
      </c>
      <c r="K29" s="145">
        <f>J29*100/J6</f>
        <v>109.67651195499296</v>
      </c>
      <c r="L29" s="145">
        <f>100*167/J29</f>
        <v>4.283149525519364</v>
      </c>
      <c r="M29" s="146">
        <f>100*19840/J29</f>
        <v>508.8484226724801</v>
      </c>
    </row>
    <row r="30" spans="1:13" ht="13.5">
      <c r="A30" s="137">
        <v>6</v>
      </c>
      <c r="B30" s="138">
        <v>2590270</v>
      </c>
      <c r="C30" s="145">
        <f>B30*100/B6</f>
        <v>86.90760939403528</v>
      </c>
      <c r="D30" s="145">
        <f>100000*156/B30</f>
        <v>6.022538190999394</v>
      </c>
      <c r="E30" s="148">
        <f>100000*19748/B30</f>
        <v>762.3915653580515</v>
      </c>
      <c r="F30" s="142">
        <v>929150</v>
      </c>
      <c r="G30" s="145">
        <f>F30*100/F6</f>
        <v>174.43814265572522</v>
      </c>
      <c r="H30" s="145">
        <f>10000*156/F30</f>
        <v>1.6789538825808534</v>
      </c>
      <c r="I30" s="148">
        <f>10000*19748/F30</f>
        <v>212.5383414949147</v>
      </c>
      <c r="J30" s="147">
        <v>3899</v>
      </c>
      <c r="K30" s="145">
        <f>J30*100/J6</f>
        <v>109.67651195499296</v>
      </c>
      <c r="L30" s="145">
        <f>100*156/J30</f>
        <v>4.001025904077968</v>
      </c>
      <c r="M30" s="146">
        <f>100*19748/J30</f>
        <v>506.4888432931521</v>
      </c>
    </row>
    <row r="31" spans="1:13" ht="13.5">
      <c r="A31" s="143">
        <v>7</v>
      </c>
      <c r="B31" s="144">
        <v>2602421</v>
      </c>
      <c r="C31" s="145">
        <f>B31*100/B6</f>
        <v>87.3152944468471</v>
      </c>
      <c r="D31" s="145">
        <f>100000*159/B31</f>
        <v>6.109695548875451</v>
      </c>
      <c r="E31" s="148">
        <f>100000*20621/B31</f>
        <v>792.3775592035263</v>
      </c>
      <c r="F31" s="147">
        <v>929279</v>
      </c>
      <c r="G31" s="145">
        <f>F31*100/F6</f>
        <v>174.46236104931353</v>
      </c>
      <c r="H31" s="145">
        <f>10000*159/F31</f>
        <v>1.7110039073303067</v>
      </c>
      <c r="I31" s="148">
        <f>10000*20621/F31</f>
        <v>221.90321744061794</v>
      </c>
      <c r="J31" s="142">
        <v>3904</v>
      </c>
      <c r="K31" s="145">
        <f>J31*100/J6</f>
        <v>109.81715893108299</v>
      </c>
      <c r="L31" s="145">
        <f>100*159/J31</f>
        <v>4.072745901639344</v>
      </c>
      <c r="M31" s="146">
        <f>100*20621/J31</f>
        <v>528.201844262295</v>
      </c>
    </row>
    <row r="32" spans="1:13" ht="13.5">
      <c r="A32" s="137">
        <v>8</v>
      </c>
      <c r="B32" s="138">
        <v>2600058</v>
      </c>
      <c r="C32" s="145">
        <f>B32*100/B6</f>
        <v>87.23601210137807</v>
      </c>
      <c r="D32" s="145">
        <f>100000*122/B32</f>
        <v>4.692203020086475</v>
      </c>
      <c r="E32" s="148">
        <f>100000*20667/B32</f>
        <v>794.8668837387473</v>
      </c>
      <c r="F32" s="142">
        <v>929147</v>
      </c>
      <c r="G32" s="145">
        <f>F32*100/F6</f>
        <v>174.43757943726968</v>
      </c>
      <c r="H32" s="145">
        <f>10000*122/F32</f>
        <v>1.3130322758400985</v>
      </c>
      <c r="I32" s="148">
        <f>10000*20667/F32</f>
        <v>222.4298200392403</v>
      </c>
      <c r="J32" s="151">
        <v>3904</v>
      </c>
      <c r="K32" s="145">
        <f>J32*100/J6</f>
        <v>109.81715893108299</v>
      </c>
      <c r="L32" s="145">
        <f>100*122/J32</f>
        <v>3.125</v>
      </c>
      <c r="M32" s="146">
        <f>100*20667/J32</f>
        <v>529.3801229508197</v>
      </c>
    </row>
    <row r="33" spans="1:13" ht="13.5">
      <c r="A33" s="143">
        <v>9</v>
      </c>
      <c r="B33" s="144">
        <v>2596502</v>
      </c>
      <c r="C33" s="145">
        <f>B33*100/B6</f>
        <v>87.11670274018978</v>
      </c>
      <c r="D33" s="145">
        <f>100000*132/B33</f>
        <v>5.083762693038557</v>
      </c>
      <c r="E33" s="148">
        <f>100000*19764/B33</f>
        <v>761.1779232213186</v>
      </c>
      <c r="F33" s="147">
        <v>940603</v>
      </c>
      <c r="G33" s="145">
        <f>F33*100/F6</f>
        <v>176.58832297950073</v>
      </c>
      <c r="H33" s="145">
        <f>10000*132/F33</f>
        <v>1.4033550817932752</v>
      </c>
      <c r="I33" s="148">
        <f>10000*19764/F33</f>
        <v>210.12052906486585</v>
      </c>
      <c r="J33" s="147">
        <v>3913</v>
      </c>
      <c r="K33" s="145">
        <f>J33*100/J6</f>
        <v>110.070323488045</v>
      </c>
      <c r="L33" s="145">
        <f>100*132/J33</f>
        <v>3.3733708152312802</v>
      </c>
      <c r="M33" s="146">
        <f>100*19764/J33</f>
        <v>505.08561206235623</v>
      </c>
    </row>
    <row r="34" spans="1:13" ht="13.5">
      <c r="A34" s="137">
        <v>10</v>
      </c>
      <c r="B34" s="138">
        <v>2596276</v>
      </c>
      <c r="C34" s="145">
        <f>B34*100/B6</f>
        <v>87.10912008675092</v>
      </c>
      <c r="D34" s="145">
        <f>100000*129/B34</f>
        <v>4.968655104465011</v>
      </c>
      <c r="E34" s="148">
        <f>100000*20434/B34</f>
        <v>787.0503752297521</v>
      </c>
      <c r="F34" s="142">
        <v>945839</v>
      </c>
      <c r="G34" s="145">
        <f>F34*100/F6</f>
        <v>177.57132692390732</v>
      </c>
      <c r="H34" s="145">
        <f>10000*129/F34</f>
        <v>1.3638684807879564</v>
      </c>
      <c r="I34" s="148">
        <f>10000*20434/F34</f>
        <v>216.04099640636514</v>
      </c>
      <c r="J34" s="142">
        <v>3918</v>
      </c>
      <c r="K34" s="145">
        <f>J34*100/J6</f>
        <v>110.21097046413502</v>
      </c>
      <c r="L34" s="145">
        <f>100*129/J34</f>
        <v>3.2924961715160794</v>
      </c>
      <c r="M34" s="146">
        <f>100*20434/J34</f>
        <v>521.5416028586013</v>
      </c>
    </row>
    <row r="35" spans="1:13" ht="13.5">
      <c r="A35" s="143">
        <v>11</v>
      </c>
      <c r="B35" s="144">
        <v>2595155</v>
      </c>
      <c r="C35" s="145">
        <f>B35*100/B6</f>
        <v>87.07150878363167</v>
      </c>
      <c r="D35" s="145">
        <f>100000*117/B35</f>
        <v>4.508401232296337</v>
      </c>
      <c r="E35" s="148">
        <f>100000*21146/B35</f>
        <v>814.8260893857978</v>
      </c>
      <c r="F35" s="147">
        <v>931917</v>
      </c>
      <c r="G35" s="145">
        <f>F35*100/F6</f>
        <v>174.95761781122044</v>
      </c>
      <c r="H35" s="145">
        <f>10000*117/F35</f>
        <v>1.25547661433368</v>
      </c>
      <c r="I35" s="148">
        <f>10000*21146/F35</f>
        <v>226.9086195444444</v>
      </c>
      <c r="J35" s="147">
        <v>3920</v>
      </c>
      <c r="K35" s="145">
        <f>J35*100/J6</f>
        <v>110.26722925457102</v>
      </c>
      <c r="L35" s="145">
        <f>100*117/J35</f>
        <v>2.9846938775510203</v>
      </c>
      <c r="M35" s="146">
        <f>100*21146/J35</f>
        <v>539.4387755102041</v>
      </c>
    </row>
    <row r="36" spans="1:13" ht="13.5">
      <c r="A36" s="137">
        <v>12</v>
      </c>
      <c r="B36" s="138">
        <v>2598774</v>
      </c>
      <c r="C36" s="145">
        <f>B36*100/B6</f>
        <v>87.19293189334495</v>
      </c>
      <c r="D36" s="140">
        <f>100000*100/B36</f>
        <v>3.8479683112113636</v>
      </c>
      <c r="E36" s="149">
        <f>100000*23167/B36</f>
        <v>891.4588186583366</v>
      </c>
      <c r="F36" s="142">
        <v>921544</v>
      </c>
      <c r="G36" s="145">
        <f>F36*100/F6</f>
        <v>173.01019613144018</v>
      </c>
      <c r="H36" s="140">
        <f>10000*100/F36</f>
        <v>1.0851353814901947</v>
      </c>
      <c r="I36" s="149">
        <f>10000*23167/F36</f>
        <v>251.3933138298334</v>
      </c>
      <c r="J36" s="142">
        <v>3922</v>
      </c>
      <c r="K36" s="145">
        <f>J36*100/J6</f>
        <v>110.32348804500704</v>
      </c>
      <c r="L36" s="140">
        <f>100*100/J36</f>
        <v>2.5497195308516063</v>
      </c>
      <c r="M36" s="141">
        <f>100*23167/J36</f>
        <v>590.6935237123917</v>
      </c>
    </row>
    <row r="37" spans="1:13" ht="13.5">
      <c r="A37" s="143">
        <v>13</v>
      </c>
      <c r="B37" s="144">
        <v>2607059</v>
      </c>
      <c r="C37" s="145">
        <f>B37*100/B6</f>
        <v>87.47090660016299</v>
      </c>
      <c r="D37" s="145">
        <f>100000*101/B37</f>
        <v>3.8740972106883658</v>
      </c>
      <c r="E37" s="148">
        <f>100000*23349/B37</f>
        <v>895.6068888352738</v>
      </c>
      <c r="F37" s="147">
        <v>917210</v>
      </c>
      <c r="G37" s="145">
        <f>F37*100/F6</f>
        <v>172.19653320266664</v>
      </c>
      <c r="H37" s="145">
        <f>10000*101/F37</f>
        <v>1.10116549099988</v>
      </c>
      <c r="I37" s="148">
        <f>10000*23349/F37</f>
        <v>254.5654757362</v>
      </c>
      <c r="J37" s="147">
        <v>3934</v>
      </c>
      <c r="K37" s="145">
        <f>J37*100/J6</f>
        <v>110.66104078762307</v>
      </c>
      <c r="L37" s="145">
        <f>100*101/J37</f>
        <v>2.5673614641586173</v>
      </c>
      <c r="M37" s="146">
        <f>100*23349/J37</f>
        <v>593.5180477885104</v>
      </c>
    </row>
    <row r="38" spans="1:13" ht="13.5">
      <c r="A38" s="137">
        <v>14</v>
      </c>
      <c r="B38" s="138">
        <v>2614875</v>
      </c>
      <c r="C38" s="145">
        <f>B38*100/B6</f>
        <v>87.73314562351723</v>
      </c>
      <c r="D38" s="145">
        <f>100000*107/B38</f>
        <v>4.091973803719107</v>
      </c>
      <c r="E38" s="148">
        <f>100000*23424/B38</f>
        <v>895.7980783020221</v>
      </c>
      <c r="F38" s="142">
        <v>913052</v>
      </c>
      <c r="G38" s="145">
        <f>F38*100/F6</f>
        <v>171.41591242328496</v>
      </c>
      <c r="H38" s="145">
        <f>10000*107/F38</f>
        <v>1.171893824229069</v>
      </c>
      <c r="I38" s="148">
        <f>10000*23424/F38</f>
        <v>256.54617699758614</v>
      </c>
      <c r="J38" s="142">
        <v>3951</v>
      </c>
      <c r="K38" s="145">
        <f>J38*100/J6</f>
        <v>111.13924050632912</v>
      </c>
      <c r="L38" s="145">
        <f>100*107/J38</f>
        <v>2.7081751455327767</v>
      </c>
      <c r="M38" s="146">
        <f>100*23424/J38</f>
        <v>592.8625664388762</v>
      </c>
    </row>
    <row r="39" spans="1:13" ht="13.5">
      <c r="A39" s="143">
        <v>15</v>
      </c>
      <c r="B39" s="144">
        <v>2619955</v>
      </c>
      <c r="C39" s="145">
        <f>B39*100/B6</f>
        <v>87.90358756807193</v>
      </c>
      <c r="D39" s="145">
        <f>100000*86/B39</f>
        <v>3.2824991268934007</v>
      </c>
      <c r="E39" s="148">
        <f>100000*24161/B39</f>
        <v>922.1914116845518</v>
      </c>
      <c r="F39" s="147">
        <v>905738</v>
      </c>
      <c r="G39" s="145">
        <f>F39*100/F6</f>
        <v>170.0427858286727</v>
      </c>
      <c r="H39" s="145">
        <f>10000*86/F39</f>
        <v>0.9495019531034361</v>
      </c>
      <c r="I39" s="148">
        <f>10000*24161/F39</f>
        <v>266.7548452201409</v>
      </c>
      <c r="J39" s="147">
        <v>3955</v>
      </c>
      <c r="K39" s="145">
        <f>J39*100/J6</f>
        <v>111.25175808720113</v>
      </c>
      <c r="L39" s="145">
        <f>100*86/J39</f>
        <v>2.1744627054361567</v>
      </c>
      <c r="M39" s="146">
        <f>100*24161/J39</f>
        <v>610.897597977244</v>
      </c>
    </row>
    <row r="40" spans="1:13" ht="13.5">
      <c r="A40" s="137">
        <v>16</v>
      </c>
      <c r="B40" s="152">
        <v>2624775</v>
      </c>
      <c r="C40" s="153">
        <f>B40*100/B6</f>
        <v>88.06530610601556</v>
      </c>
      <c r="D40" s="145">
        <f>100000*91/B40</f>
        <v>3.4669638349953806</v>
      </c>
      <c r="E40" s="148">
        <f>100000*24183/B40</f>
        <v>921.3361145241021</v>
      </c>
      <c r="F40" s="154">
        <v>900212</v>
      </c>
      <c r="G40" s="153">
        <f>F40*100/F6</f>
        <v>169.00533743356368</v>
      </c>
      <c r="H40" s="145">
        <f>10000*91/F40</f>
        <v>1.0108729943613282</v>
      </c>
      <c r="I40" s="148">
        <f>10000*24183/F40</f>
        <v>268.6367211279121</v>
      </c>
      <c r="J40" s="154">
        <v>3961</v>
      </c>
      <c r="K40" s="153">
        <f>J40*100/J6</f>
        <v>111.42053445850914</v>
      </c>
      <c r="L40" s="145">
        <f>100*91/J40</f>
        <v>2.2973996465539006</v>
      </c>
      <c r="M40" s="146">
        <f>100*24183/J40</f>
        <v>610.5276445342085</v>
      </c>
    </row>
    <row r="41" spans="1:13" ht="13.5">
      <c r="A41" s="143">
        <v>17</v>
      </c>
      <c r="B41" s="152">
        <v>2628811</v>
      </c>
      <c r="C41" s="145">
        <f>B41*100/B6</f>
        <v>88.20072021787044</v>
      </c>
      <c r="D41" s="145">
        <f>100000*80/B41</f>
        <v>3.043200899570186</v>
      </c>
      <c r="E41" s="155">
        <f>100000*23353/B41</f>
        <v>888.3483825957819</v>
      </c>
      <c r="F41" s="154">
        <v>899539</v>
      </c>
      <c r="G41" s="145">
        <f>F41*100/F6</f>
        <v>168.87898876003703</v>
      </c>
      <c r="H41" s="145">
        <f>10000*80/F41</f>
        <v>0.8893444308695899</v>
      </c>
      <c r="I41" s="155">
        <f>10000*23353/F41</f>
        <v>259.6107561762191</v>
      </c>
      <c r="J41" s="154">
        <v>3969</v>
      </c>
      <c r="K41" s="145">
        <f>J41*100/J6</f>
        <v>111.64556962025317</v>
      </c>
      <c r="L41" s="145">
        <f>100*80/J41</f>
        <v>2.015621063240111</v>
      </c>
      <c r="M41" s="156">
        <f>100*23353/J41</f>
        <v>588.3849836230788</v>
      </c>
    </row>
    <row r="42" spans="1:13" ht="13.5">
      <c r="A42" s="157">
        <v>18</v>
      </c>
      <c r="B42" s="152">
        <v>2634944</v>
      </c>
      <c r="C42" s="145">
        <f>B42*100/B6</f>
        <v>88.40649195919995</v>
      </c>
      <c r="D42" s="145">
        <f>100000*75/B42</f>
        <v>2.8463603021544293</v>
      </c>
      <c r="E42" s="155">
        <f>100000*22100/B42</f>
        <v>838.7275023681718</v>
      </c>
      <c r="F42" s="154">
        <v>897431</v>
      </c>
      <c r="G42" s="145">
        <f>F42*100/F6</f>
        <v>168.48323392527593</v>
      </c>
      <c r="H42" s="145">
        <f>10000*75/F42</f>
        <v>0.8357188463514187</v>
      </c>
      <c r="I42" s="155">
        <f>10000*22100/F42</f>
        <v>246.2584867248847</v>
      </c>
      <c r="J42" s="154">
        <v>3974</v>
      </c>
      <c r="K42" s="145">
        <f>J42*100/J6</f>
        <v>111.78621659634318</v>
      </c>
      <c r="L42" s="145">
        <f>100*75/J42</f>
        <v>1.887267237040765</v>
      </c>
      <c r="M42" s="156">
        <f>100*22100/J42</f>
        <v>556.114745848012</v>
      </c>
    </row>
    <row r="43" spans="1:13" ht="13.5">
      <c r="A43" s="157">
        <v>19</v>
      </c>
      <c r="B43" s="152">
        <v>2642854</v>
      </c>
      <c r="C43" s="145">
        <f>B43*100/B6</f>
        <v>88.67188482955973</v>
      </c>
      <c r="D43" s="145">
        <f>100000*73/B43</f>
        <v>2.7621654468994503</v>
      </c>
      <c r="E43" s="155">
        <f>100000*20318/B43</f>
        <v>768.790103426069</v>
      </c>
      <c r="F43" s="154">
        <v>890261</v>
      </c>
      <c r="G43" s="145">
        <f>F43*100/F6</f>
        <v>167.13714181652972</v>
      </c>
      <c r="H43" s="145">
        <f>10000*73/F43</f>
        <v>0.8199842518093009</v>
      </c>
      <c r="I43" s="155">
        <f>10000*20318/F43</f>
        <v>228.22520586659417</v>
      </c>
      <c r="J43" s="154">
        <v>3979</v>
      </c>
      <c r="K43" s="145">
        <f>J43*100/J6</f>
        <v>111.92686357243319</v>
      </c>
      <c r="L43" s="145">
        <f>100*73/J43</f>
        <v>1.834631817039457</v>
      </c>
      <c r="M43" s="156">
        <f>100*20318/J43</f>
        <v>510.63081176174916</v>
      </c>
    </row>
    <row r="44" spans="1:13" ht="13.5">
      <c r="A44" s="157">
        <v>20</v>
      </c>
      <c r="B44" s="152">
        <v>2650670</v>
      </c>
      <c r="C44" s="145">
        <f>B44*100/B6</f>
        <v>88.93412385291397</v>
      </c>
      <c r="D44" s="145">
        <f>100000*61/B44</f>
        <v>2.3013049530873326</v>
      </c>
      <c r="E44" s="155">
        <f>100000*18741/B44</f>
        <v>707.0287889477</v>
      </c>
      <c r="F44" s="154">
        <v>878268</v>
      </c>
      <c r="G44" s="145">
        <v>155</v>
      </c>
      <c r="H44" s="145">
        <f>10000*61/F44</f>
        <v>0.6945488165343608</v>
      </c>
      <c r="I44" s="155">
        <f>10000*18741/F44</f>
        <v>213.38589132246648</v>
      </c>
      <c r="J44" s="154">
        <v>3977</v>
      </c>
      <c r="K44" s="145">
        <f>J44*100/J6</f>
        <v>111.87060478199719</v>
      </c>
      <c r="L44" s="145">
        <v>1.5</v>
      </c>
      <c r="M44" s="156">
        <v>471.2</v>
      </c>
    </row>
    <row r="45" spans="1:13" ht="13.5">
      <c r="A45" s="157">
        <v>21</v>
      </c>
      <c r="B45" s="152">
        <v>2659796</v>
      </c>
      <c r="C45" s="145">
        <f>B45*100/B6</f>
        <v>89.24031542496243</v>
      </c>
      <c r="D45" s="145">
        <f>100000*64/B45</f>
        <v>2.4061995732003507</v>
      </c>
      <c r="E45" s="155">
        <f>100000*18280/B45</f>
        <v>687.2707530953502</v>
      </c>
      <c r="F45" s="154">
        <v>863396</v>
      </c>
      <c r="G45" s="145">
        <v>162.2</v>
      </c>
      <c r="H45" s="145">
        <f>10000*64/F45</f>
        <v>0.7412589356448258</v>
      </c>
      <c r="I45" s="155">
        <f>10000*18280/F45</f>
        <v>211.72208349355336</v>
      </c>
      <c r="J45" s="154">
        <v>3977</v>
      </c>
      <c r="K45" s="145">
        <f>J45*100/J6</f>
        <v>111.87060478199719</v>
      </c>
      <c r="L45" s="145">
        <v>1.6</v>
      </c>
      <c r="M45" s="156">
        <v>459.6</v>
      </c>
    </row>
    <row r="46" spans="1:13" ht="13.5">
      <c r="A46" s="157">
        <v>22</v>
      </c>
      <c r="B46" s="152">
        <v>2665314</v>
      </c>
      <c r="C46" s="145">
        <f>B46*100/B6</f>
        <v>89.42545295450039</v>
      </c>
      <c r="D46" s="145">
        <f>100000*62/B46</f>
        <v>2.3261799547820634</v>
      </c>
      <c r="E46" s="155">
        <v>675.533607459654</v>
      </c>
      <c r="F46" s="154">
        <v>848705</v>
      </c>
      <c r="G46" s="145">
        <v>163.3</v>
      </c>
      <c r="H46" s="145">
        <v>0.7</v>
      </c>
      <c r="I46" s="155">
        <v>207.2</v>
      </c>
      <c r="J46" s="154">
        <v>3985</v>
      </c>
      <c r="K46" s="145">
        <f>J46*100/J6</f>
        <v>112.0956399437412</v>
      </c>
      <c r="L46" s="145">
        <v>1.6</v>
      </c>
      <c r="M46" s="156">
        <v>452.3</v>
      </c>
    </row>
    <row r="47" spans="1:13" ht="13.5">
      <c r="A47" s="158">
        <v>23</v>
      </c>
      <c r="B47" s="152">
        <v>2668972</v>
      </c>
      <c r="C47" s="145">
        <f>B47*100/B6</f>
        <v>89.54818457520533</v>
      </c>
      <c r="D47" s="145">
        <f>100000*65/B47</f>
        <v>2.435394601367118</v>
      </c>
      <c r="E47" s="155">
        <v>647.1</v>
      </c>
      <c r="F47" s="154">
        <v>839638</v>
      </c>
      <c r="G47" s="145">
        <v>161.6</v>
      </c>
      <c r="H47" s="145">
        <v>0.8</v>
      </c>
      <c r="I47" s="155">
        <v>200.8</v>
      </c>
      <c r="J47" s="154">
        <v>3986</v>
      </c>
      <c r="K47" s="145">
        <f>J47*100/J6</f>
        <v>112.1237693389592</v>
      </c>
      <c r="L47" s="145">
        <v>1.6</v>
      </c>
      <c r="M47" s="156">
        <v>433.6</v>
      </c>
    </row>
    <row r="48" spans="1:13" ht="13.5">
      <c r="A48" s="158">
        <v>24</v>
      </c>
      <c r="B48" s="152">
        <v>2674154</v>
      </c>
      <c r="C48" s="145">
        <f>B48*100/$B$6</f>
        <v>89.72204877927668</v>
      </c>
      <c r="D48" s="145">
        <f>100000*51/B48</f>
        <v>1.9071452130281203</v>
      </c>
      <c r="E48" s="155">
        <v>631.2</v>
      </c>
      <c r="F48" s="154">
        <v>834729</v>
      </c>
      <c r="G48" s="145">
        <v>156.7</v>
      </c>
      <c r="H48" s="145">
        <v>0.6</v>
      </c>
      <c r="I48" s="155">
        <v>202.5</v>
      </c>
      <c r="J48" s="154">
        <v>3986</v>
      </c>
      <c r="K48" s="145">
        <f>J48*100/J6</f>
        <v>112.1237693389592</v>
      </c>
      <c r="L48" s="145">
        <v>1.3</v>
      </c>
      <c r="M48" s="156">
        <v>424</v>
      </c>
    </row>
    <row r="49" spans="1:13" ht="13.5">
      <c r="A49" s="158">
        <v>25</v>
      </c>
      <c r="B49" s="154">
        <v>2678663</v>
      </c>
      <c r="C49" s="145">
        <f>B49*100/$B$6</f>
        <v>89.87333278085092</v>
      </c>
      <c r="D49" s="145">
        <f>100000*49/B49</f>
        <v>1.8292707966623647</v>
      </c>
      <c r="E49" s="155">
        <v>611.8</v>
      </c>
      <c r="F49" s="154">
        <v>835576</v>
      </c>
      <c r="G49" s="153">
        <f>F49*100/$F$6</f>
        <v>156.87060806941855</v>
      </c>
      <c r="H49" s="145">
        <f>10000*49/F49</f>
        <v>0.5864218215937269</v>
      </c>
      <c r="I49" s="155">
        <v>185.1</v>
      </c>
      <c r="J49" s="154">
        <v>3813</v>
      </c>
      <c r="K49" s="145">
        <f>J49*100/J6</f>
        <v>107.25738396624473</v>
      </c>
      <c r="L49" s="145">
        <f>100*49/J49</f>
        <v>1.2850773669027014</v>
      </c>
      <c r="M49" s="156">
        <f>100*16418/J49</f>
        <v>430.5795961185418</v>
      </c>
    </row>
    <row r="50" spans="1:13" ht="13.5">
      <c r="A50" s="158">
        <v>26</v>
      </c>
      <c r="B50" s="154">
        <v>2679808</v>
      </c>
      <c r="C50" s="145">
        <f>B50*100/$B$6</f>
        <v>89.91174932150349</v>
      </c>
      <c r="D50" s="145">
        <f>100000*51/B50</f>
        <v>1.903121417653802</v>
      </c>
      <c r="E50" s="155">
        <f>100000*15221/B50</f>
        <v>567.9884529040886</v>
      </c>
      <c r="F50" s="154">
        <v>838591</v>
      </c>
      <c r="G50" s="153">
        <f>F50*100/$F$6</f>
        <v>157.43664261723862</v>
      </c>
      <c r="H50" s="145">
        <f>10000*51/F50</f>
        <v>0.6081629781383296</v>
      </c>
      <c r="I50" s="155">
        <f>10000*15221/F50</f>
        <v>181.50683706359834</v>
      </c>
      <c r="J50" s="154">
        <v>3818</v>
      </c>
      <c r="K50" s="145">
        <f>J50*100/J6</f>
        <v>107.39803094233474</v>
      </c>
      <c r="L50" s="145">
        <f>100*51/J50</f>
        <v>1.3357778941854375</v>
      </c>
      <c r="M50" s="156">
        <f>100*15221/J50</f>
        <v>398.6642221058146</v>
      </c>
    </row>
    <row r="51" spans="1:13" ht="13.5">
      <c r="A51" s="158">
        <v>27</v>
      </c>
      <c r="B51" s="151">
        <v>2691185</v>
      </c>
      <c r="C51" s="145">
        <f>B51*100/$B$6</f>
        <v>90.29346546386547</v>
      </c>
      <c r="D51" s="145">
        <f>100000*51/B51</f>
        <v>1.8950759609614352</v>
      </c>
      <c r="E51" s="155">
        <f>100000*14867/B51</f>
        <v>552.4332217963462</v>
      </c>
      <c r="F51" s="151">
        <v>842716</v>
      </c>
      <c r="G51" s="153">
        <f>F51*100/$F$6</f>
        <v>158.21106799360936</v>
      </c>
      <c r="H51" s="145">
        <f>10000*51/F51</f>
        <v>0.6051860887891057</v>
      </c>
      <c r="I51" s="155">
        <f>10000*14867/F51</f>
        <v>176.4176780789732</v>
      </c>
      <c r="J51" s="151">
        <v>3817</v>
      </c>
      <c r="K51" s="145">
        <f>J51*100/J6</f>
        <v>107.36990154711674</v>
      </c>
      <c r="L51" s="145">
        <f>100*51/J51</f>
        <v>1.3361278490961488</v>
      </c>
      <c r="M51" s="156">
        <f>100*14867/J51</f>
        <v>389.49436730416556</v>
      </c>
    </row>
    <row r="52" spans="1:13" ht="13.5">
      <c r="A52" s="158">
        <v>28</v>
      </c>
      <c r="B52" s="151">
        <v>2702033</v>
      </c>
      <c r="C52" s="145">
        <f>B52*100/$B$6</f>
        <v>90.65743282893031</v>
      </c>
      <c r="D52" s="145">
        <f>100000*49/B52</f>
        <v>1.81344935461558</v>
      </c>
      <c r="E52" s="155">
        <f>100000*14231/B52</f>
        <v>526.6775054190678</v>
      </c>
      <c r="F52" s="151">
        <v>841066</v>
      </c>
      <c r="G52" s="153">
        <f>F52*100/$F$6</f>
        <v>157.90129784306106</v>
      </c>
      <c r="H52" s="145">
        <f>10000*49/F52</f>
        <v>0.582593993812614</v>
      </c>
      <c r="I52" s="155">
        <f>10000*14231/F52</f>
        <v>169.20194134586347</v>
      </c>
      <c r="J52" s="151">
        <v>3816</v>
      </c>
      <c r="K52" s="145">
        <f>J52*100/$J$6</f>
        <v>107.34177215189874</v>
      </c>
      <c r="L52" s="145">
        <f>100*49/J52</f>
        <v>1.2840670859538783</v>
      </c>
      <c r="M52" s="156">
        <f>100*14231/J52</f>
        <v>372.92976939203356</v>
      </c>
    </row>
    <row r="53" spans="1:13" ht="19.5" customHeight="1" thickBot="1">
      <c r="A53" s="159"/>
      <c r="B53" s="598" t="s">
        <v>269</v>
      </c>
      <c r="C53" s="602"/>
      <c r="D53" s="602"/>
      <c r="E53" s="603"/>
      <c r="F53" s="598" t="s">
        <v>109</v>
      </c>
      <c r="G53" s="599"/>
      <c r="H53" s="599"/>
      <c r="I53" s="600"/>
      <c r="J53" s="598" t="s">
        <v>216</v>
      </c>
      <c r="K53" s="599"/>
      <c r="L53" s="599"/>
      <c r="M53" s="600"/>
    </row>
    <row r="54" ht="13.5">
      <c r="C54" s="160"/>
    </row>
  </sheetData>
  <sheetProtection/>
  <mergeCells count="9">
    <mergeCell ref="L4:M4"/>
    <mergeCell ref="F53:I53"/>
    <mergeCell ref="J53:M53"/>
    <mergeCell ref="B4:C4"/>
    <mergeCell ref="D4:E4"/>
    <mergeCell ref="F4:G4"/>
    <mergeCell ref="H4:I4"/>
    <mergeCell ref="J4:K4"/>
    <mergeCell ref="B53:E5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&amp;C-4-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SheetLayoutView="100" workbookViewId="0" topLeftCell="A1">
      <selection activeCell="S13" sqref="S13"/>
    </sheetView>
  </sheetViews>
  <sheetFormatPr defaultColWidth="9.00390625" defaultRowHeight="13.5"/>
  <cols>
    <col min="1" max="1" width="2.875" style="0" customWidth="1"/>
    <col min="2" max="2" width="2.00390625" style="0" customWidth="1"/>
    <col min="4" max="15" width="6.125" style="0" customWidth="1"/>
    <col min="16" max="16" width="7.875" style="0" customWidth="1"/>
  </cols>
  <sheetData>
    <row r="1" spans="1:16" s="161" customFormat="1" ht="21.75" customHeight="1">
      <c r="A1" s="32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29" t="s">
        <v>186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6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2"/>
      <c r="R4" s="162"/>
      <c r="S4" s="162"/>
      <c r="T4" s="162"/>
      <c r="U4" s="162"/>
      <c r="V4" s="162"/>
      <c r="W4" s="162"/>
      <c r="X4" s="163"/>
      <c r="Y4" s="163"/>
      <c r="Z4" s="163"/>
    </row>
    <row r="5" spans="1:26" ht="14.25" thickBot="1">
      <c r="A5" s="3" t="s">
        <v>89</v>
      </c>
      <c r="B5" s="3"/>
      <c r="C5" s="3"/>
      <c r="D5" s="3"/>
      <c r="E5" s="3"/>
      <c r="F5" s="3"/>
      <c r="G5" s="3"/>
      <c r="H5" s="3"/>
      <c r="I5" s="3"/>
      <c r="J5" s="3"/>
      <c r="K5" s="512" t="s">
        <v>180</v>
      </c>
      <c r="L5" s="512"/>
      <c r="M5" s="512"/>
      <c r="N5" s="512"/>
      <c r="O5" s="512"/>
      <c r="P5" s="512"/>
      <c r="Q5" s="162"/>
      <c r="R5" s="162"/>
      <c r="S5" s="162"/>
      <c r="T5" s="162"/>
      <c r="U5" s="162"/>
      <c r="V5" s="162"/>
      <c r="W5" s="162"/>
      <c r="X5" s="163"/>
      <c r="Y5" s="163"/>
      <c r="Z5" s="163"/>
    </row>
    <row r="6" spans="1:16" ht="13.5">
      <c r="A6" s="164"/>
      <c r="B6" s="165"/>
      <c r="C6" s="166" t="s">
        <v>157</v>
      </c>
      <c r="D6" s="604">
        <v>1</v>
      </c>
      <c r="E6" s="605">
        <v>2</v>
      </c>
      <c r="F6" s="605">
        <v>3</v>
      </c>
      <c r="G6" s="605">
        <v>4</v>
      </c>
      <c r="H6" s="605">
        <v>5</v>
      </c>
      <c r="I6" s="605">
        <v>6</v>
      </c>
      <c r="J6" s="605">
        <v>7</v>
      </c>
      <c r="K6" s="605">
        <v>8</v>
      </c>
      <c r="L6" s="605">
        <v>9</v>
      </c>
      <c r="M6" s="605">
        <v>10</v>
      </c>
      <c r="N6" s="605">
        <v>11</v>
      </c>
      <c r="O6" s="516">
        <v>12</v>
      </c>
      <c r="P6" s="608" t="s">
        <v>197</v>
      </c>
    </row>
    <row r="7" spans="1:16" ht="14.25" thickBot="1">
      <c r="A7" s="167" t="s">
        <v>26</v>
      </c>
      <c r="B7" s="168"/>
      <c r="C7" s="168"/>
      <c r="D7" s="522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7"/>
      <c r="P7" s="609"/>
    </row>
    <row r="8" spans="1:16" ht="24" customHeight="1">
      <c r="A8" s="169"/>
      <c r="B8" s="610" t="s">
        <v>73</v>
      </c>
      <c r="C8" s="611"/>
      <c r="D8" s="445">
        <v>948</v>
      </c>
      <c r="E8" s="446">
        <v>984</v>
      </c>
      <c r="F8" s="446">
        <v>1104</v>
      </c>
      <c r="G8" s="446">
        <v>966</v>
      </c>
      <c r="H8" s="446">
        <v>998</v>
      </c>
      <c r="I8" s="446">
        <v>948</v>
      </c>
      <c r="J8" s="446">
        <v>1007</v>
      </c>
      <c r="K8" s="446">
        <v>1050</v>
      </c>
      <c r="L8" s="446">
        <v>1086</v>
      </c>
      <c r="M8" s="446">
        <v>944</v>
      </c>
      <c r="N8" s="446">
        <v>1023</v>
      </c>
      <c r="O8" s="447">
        <v>1115</v>
      </c>
      <c r="P8" s="170">
        <f aca="true" t="shared" si="0" ref="P8:P17">SUM(D8:O8)</f>
        <v>12173</v>
      </c>
    </row>
    <row r="9" spans="1:16" ht="24" customHeight="1">
      <c r="A9" s="171" t="s">
        <v>103</v>
      </c>
      <c r="B9" s="612" t="s">
        <v>24</v>
      </c>
      <c r="C9" s="613"/>
      <c r="D9" s="448">
        <v>7</v>
      </c>
      <c r="E9" s="414">
        <v>3</v>
      </c>
      <c r="F9" s="414">
        <v>4</v>
      </c>
      <c r="G9" s="414">
        <v>1</v>
      </c>
      <c r="H9" s="414">
        <v>2</v>
      </c>
      <c r="I9" s="414">
        <v>7</v>
      </c>
      <c r="J9" s="414">
        <v>1</v>
      </c>
      <c r="K9" s="414">
        <v>5</v>
      </c>
      <c r="L9" s="414">
        <v>6</v>
      </c>
      <c r="M9" s="414">
        <v>2</v>
      </c>
      <c r="N9" s="414">
        <v>5</v>
      </c>
      <c r="O9" s="449">
        <v>6</v>
      </c>
      <c r="P9" s="173">
        <f t="shared" si="0"/>
        <v>49</v>
      </c>
    </row>
    <row r="10" spans="1:16" ht="24" customHeight="1">
      <c r="A10" s="171" t="s">
        <v>32</v>
      </c>
      <c r="B10" s="174"/>
      <c r="C10" s="15" t="s">
        <v>209</v>
      </c>
      <c r="D10" s="415">
        <v>0</v>
      </c>
      <c r="E10" s="414">
        <v>1</v>
      </c>
      <c r="F10" s="414">
        <v>0</v>
      </c>
      <c r="G10" s="414">
        <v>0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4">
        <v>0</v>
      </c>
      <c r="N10" s="414">
        <v>0</v>
      </c>
      <c r="O10" s="416">
        <v>1</v>
      </c>
      <c r="P10" s="175">
        <f t="shared" si="0"/>
        <v>2</v>
      </c>
    </row>
    <row r="11" spans="1:16" ht="24" customHeight="1">
      <c r="A11" s="171" t="s">
        <v>70</v>
      </c>
      <c r="B11" s="176"/>
      <c r="C11" s="15" t="s">
        <v>169</v>
      </c>
      <c r="D11" s="415">
        <v>4</v>
      </c>
      <c r="E11" s="414">
        <v>2</v>
      </c>
      <c r="F11" s="414">
        <v>1</v>
      </c>
      <c r="G11" s="414">
        <v>0</v>
      </c>
      <c r="H11" s="414">
        <v>1</v>
      </c>
      <c r="I11" s="414">
        <v>4</v>
      </c>
      <c r="J11" s="414">
        <v>1</v>
      </c>
      <c r="K11" s="414">
        <v>3</v>
      </c>
      <c r="L11" s="414">
        <v>2</v>
      </c>
      <c r="M11" s="414">
        <v>1</v>
      </c>
      <c r="N11" s="414">
        <v>2</v>
      </c>
      <c r="O11" s="416">
        <v>2</v>
      </c>
      <c r="P11" s="173">
        <f t="shared" si="0"/>
        <v>23</v>
      </c>
    </row>
    <row r="12" spans="1:16" ht="24" customHeight="1">
      <c r="A12" s="171" t="s">
        <v>75</v>
      </c>
      <c r="B12" s="612" t="s">
        <v>7</v>
      </c>
      <c r="C12" s="613"/>
      <c r="D12" s="450">
        <v>1108</v>
      </c>
      <c r="E12" s="417">
        <v>1166</v>
      </c>
      <c r="F12" s="417">
        <v>1266</v>
      </c>
      <c r="G12" s="417">
        <v>1125</v>
      </c>
      <c r="H12" s="417">
        <v>1156</v>
      </c>
      <c r="I12" s="417">
        <v>1100</v>
      </c>
      <c r="J12" s="417">
        <v>1197</v>
      </c>
      <c r="K12" s="417">
        <v>1254</v>
      </c>
      <c r="L12" s="417">
        <v>1283</v>
      </c>
      <c r="M12" s="417">
        <v>1084</v>
      </c>
      <c r="N12" s="417">
        <v>1188</v>
      </c>
      <c r="O12" s="451">
        <v>1304</v>
      </c>
      <c r="P12" s="175">
        <f t="shared" si="0"/>
        <v>14231</v>
      </c>
    </row>
    <row r="13" spans="1:16" ht="24" customHeight="1">
      <c r="A13" s="171" t="s">
        <v>107</v>
      </c>
      <c r="B13" s="174"/>
      <c r="C13" s="15" t="s">
        <v>209</v>
      </c>
      <c r="D13" s="415">
        <v>54</v>
      </c>
      <c r="E13" s="414">
        <v>49</v>
      </c>
      <c r="F13" s="414">
        <v>47</v>
      </c>
      <c r="G13" s="414">
        <v>54</v>
      </c>
      <c r="H13" s="414">
        <v>64</v>
      </c>
      <c r="I13" s="414">
        <v>48</v>
      </c>
      <c r="J13" s="414">
        <v>57</v>
      </c>
      <c r="K13" s="414">
        <v>66</v>
      </c>
      <c r="L13" s="414">
        <v>61</v>
      </c>
      <c r="M13" s="414">
        <v>53</v>
      </c>
      <c r="N13" s="414">
        <v>62</v>
      </c>
      <c r="O13" s="416">
        <v>46</v>
      </c>
      <c r="P13" s="173">
        <f t="shared" si="0"/>
        <v>661</v>
      </c>
    </row>
    <row r="14" spans="1:16" ht="24" customHeight="1" thickBot="1">
      <c r="A14" s="171"/>
      <c r="B14" s="174"/>
      <c r="C14" s="172" t="s">
        <v>169</v>
      </c>
      <c r="D14" s="452">
        <v>153</v>
      </c>
      <c r="E14" s="453">
        <v>169</v>
      </c>
      <c r="F14" s="453">
        <v>190</v>
      </c>
      <c r="G14" s="453">
        <v>157</v>
      </c>
      <c r="H14" s="453">
        <v>169</v>
      </c>
      <c r="I14" s="453">
        <v>161</v>
      </c>
      <c r="J14" s="453">
        <v>164</v>
      </c>
      <c r="K14" s="453">
        <v>169</v>
      </c>
      <c r="L14" s="453">
        <v>156</v>
      </c>
      <c r="M14" s="453">
        <v>154</v>
      </c>
      <c r="N14" s="453">
        <v>157</v>
      </c>
      <c r="O14" s="454">
        <v>218</v>
      </c>
      <c r="P14" s="177">
        <f>SUM(D14:O14)</f>
        <v>2017</v>
      </c>
    </row>
    <row r="15" spans="1:16" ht="24" customHeight="1">
      <c r="A15" s="169"/>
      <c r="B15" s="610" t="s">
        <v>73</v>
      </c>
      <c r="C15" s="611"/>
      <c r="D15" s="412">
        <f>D22-D8</f>
        <v>1778</v>
      </c>
      <c r="E15" s="413">
        <f aca="true" t="shared" si="1" ref="E15:O15">E22-E8</f>
        <v>2100</v>
      </c>
      <c r="F15" s="413">
        <f t="shared" si="1"/>
        <v>2331</v>
      </c>
      <c r="G15" s="413">
        <f t="shared" si="1"/>
        <v>1964</v>
      </c>
      <c r="H15" s="413">
        <f t="shared" si="1"/>
        <v>2079</v>
      </c>
      <c r="I15" s="413">
        <f t="shared" si="1"/>
        <v>2045</v>
      </c>
      <c r="J15" s="413">
        <f t="shared" si="1"/>
        <v>2090</v>
      </c>
      <c r="K15" s="413">
        <f t="shared" si="1"/>
        <v>2248</v>
      </c>
      <c r="L15" s="413">
        <f t="shared" si="1"/>
        <v>2098</v>
      </c>
      <c r="M15" s="413">
        <f t="shared" si="1"/>
        <v>2111</v>
      </c>
      <c r="N15" s="413">
        <f t="shared" si="1"/>
        <v>2214</v>
      </c>
      <c r="O15" s="418">
        <f t="shared" si="1"/>
        <v>2689</v>
      </c>
      <c r="P15" s="170">
        <f t="shared" si="0"/>
        <v>25747</v>
      </c>
    </row>
    <row r="16" spans="1:16" ht="24" customHeight="1">
      <c r="A16" s="171" t="s">
        <v>103</v>
      </c>
      <c r="B16" s="612" t="s">
        <v>24</v>
      </c>
      <c r="C16" s="613"/>
      <c r="D16" s="415">
        <f aca="true" t="shared" si="2" ref="D16:O16">D23-D9</f>
        <v>12</v>
      </c>
      <c r="E16" s="414">
        <f t="shared" si="2"/>
        <v>2</v>
      </c>
      <c r="F16" s="414">
        <f t="shared" si="2"/>
        <v>9</v>
      </c>
      <c r="G16" s="414">
        <f t="shared" si="2"/>
        <v>10</v>
      </c>
      <c r="H16" s="414">
        <f t="shared" si="2"/>
        <v>10</v>
      </c>
      <c r="I16" s="414">
        <f t="shared" si="2"/>
        <v>3</v>
      </c>
      <c r="J16" s="414">
        <f t="shared" si="2"/>
        <v>10</v>
      </c>
      <c r="K16" s="414">
        <f t="shared" si="2"/>
        <v>12</v>
      </c>
      <c r="L16" s="414">
        <f t="shared" si="2"/>
        <v>7</v>
      </c>
      <c r="M16" s="414">
        <f t="shared" si="2"/>
        <v>14</v>
      </c>
      <c r="N16" s="414">
        <f t="shared" si="2"/>
        <v>11</v>
      </c>
      <c r="O16" s="416">
        <f t="shared" si="2"/>
        <v>12</v>
      </c>
      <c r="P16" s="173">
        <f t="shared" si="0"/>
        <v>112</v>
      </c>
    </row>
    <row r="17" spans="1:16" ht="24" customHeight="1">
      <c r="A17" s="171" t="s">
        <v>32</v>
      </c>
      <c r="B17" s="174"/>
      <c r="C17" s="15" t="s">
        <v>209</v>
      </c>
      <c r="D17" s="415">
        <f aca="true" t="shared" si="3" ref="D17:O17">D24-D10</f>
        <v>0</v>
      </c>
      <c r="E17" s="414">
        <f t="shared" si="3"/>
        <v>0</v>
      </c>
      <c r="F17" s="414">
        <f t="shared" si="3"/>
        <v>0</v>
      </c>
      <c r="G17" s="414">
        <f t="shared" si="3"/>
        <v>0</v>
      </c>
      <c r="H17" s="414">
        <f t="shared" si="3"/>
        <v>0</v>
      </c>
      <c r="I17" s="414">
        <f t="shared" si="3"/>
        <v>0</v>
      </c>
      <c r="J17" s="414">
        <f t="shared" si="3"/>
        <v>0</v>
      </c>
      <c r="K17" s="414">
        <f t="shared" si="3"/>
        <v>0</v>
      </c>
      <c r="L17" s="414">
        <f t="shared" si="3"/>
        <v>0</v>
      </c>
      <c r="M17" s="414">
        <f t="shared" si="3"/>
        <v>0</v>
      </c>
      <c r="N17" s="414">
        <f t="shared" si="3"/>
        <v>0</v>
      </c>
      <c r="O17" s="416">
        <f t="shared" si="3"/>
        <v>0</v>
      </c>
      <c r="P17" s="175">
        <f t="shared" si="0"/>
        <v>0</v>
      </c>
    </row>
    <row r="18" spans="1:16" ht="24" customHeight="1">
      <c r="A18" s="171" t="s">
        <v>70</v>
      </c>
      <c r="B18" s="176"/>
      <c r="C18" s="15" t="s">
        <v>169</v>
      </c>
      <c r="D18" s="415">
        <f aca="true" t="shared" si="4" ref="D18:O18">D25-D11</f>
        <v>4</v>
      </c>
      <c r="E18" s="414">
        <f t="shared" si="4"/>
        <v>1</v>
      </c>
      <c r="F18" s="414">
        <f t="shared" si="4"/>
        <v>4</v>
      </c>
      <c r="G18" s="414">
        <f t="shared" si="4"/>
        <v>3</v>
      </c>
      <c r="H18" s="414">
        <f t="shared" si="4"/>
        <v>3</v>
      </c>
      <c r="I18" s="414">
        <f t="shared" si="4"/>
        <v>2</v>
      </c>
      <c r="J18" s="414">
        <f t="shared" si="4"/>
        <v>3</v>
      </c>
      <c r="K18" s="414">
        <f t="shared" si="4"/>
        <v>6</v>
      </c>
      <c r="L18" s="414">
        <f t="shared" si="4"/>
        <v>1</v>
      </c>
      <c r="M18" s="414">
        <f t="shared" si="4"/>
        <v>7</v>
      </c>
      <c r="N18" s="414">
        <f t="shared" si="4"/>
        <v>8</v>
      </c>
      <c r="O18" s="416">
        <f t="shared" si="4"/>
        <v>9</v>
      </c>
      <c r="P18" s="173">
        <f aca="true" t="shared" si="5" ref="P18:P28">SUM(D18:O18)</f>
        <v>51</v>
      </c>
    </row>
    <row r="19" spans="1:16" ht="24" customHeight="1">
      <c r="A19" s="171" t="s">
        <v>75</v>
      </c>
      <c r="B19" s="612" t="s">
        <v>7</v>
      </c>
      <c r="C19" s="613"/>
      <c r="D19" s="419">
        <f aca="true" t="shared" si="6" ref="D19:O19">D26-D12</f>
        <v>2166</v>
      </c>
      <c r="E19" s="417">
        <f t="shared" si="6"/>
        <v>2514</v>
      </c>
      <c r="F19" s="417">
        <f t="shared" si="6"/>
        <v>2775</v>
      </c>
      <c r="G19" s="417">
        <f t="shared" si="6"/>
        <v>2389</v>
      </c>
      <c r="H19" s="417">
        <f t="shared" si="6"/>
        <v>2520</v>
      </c>
      <c r="I19" s="417">
        <f t="shared" si="6"/>
        <v>2453</v>
      </c>
      <c r="J19" s="417">
        <f t="shared" si="6"/>
        <v>2538</v>
      </c>
      <c r="K19" s="417">
        <f t="shared" si="6"/>
        <v>2825</v>
      </c>
      <c r="L19" s="417">
        <f t="shared" si="6"/>
        <v>2529</v>
      </c>
      <c r="M19" s="417">
        <f t="shared" si="6"/>
        <v>2524</v>
      </c>
      <c r="N19" s="417">
        <f t="shared" si="6"/>
        <v>2678</v>
      </c>
      <c r="O19" s="420">
        <f t="shared" si="6"/>
        <v>3318</v>
      </c>
      <c r="P19" s="175">
        <f t="shared" si="5"/>
        <v>31229</v>
      </c>
    </row>
    <row r="20" spans="1:16" ht="24" customHeight="1">
      <c r="A20" s="171" t="s">
        <v>76</v>
      </c>
      <c r="B20" s="174"/>
      <c r="C20" s="15" t="s">
        <v>209</v>
      </c>
      <c r="D20" s="415">
        <f aca="true" t="shared" si="7" ref="D20:O20">D27-D13</f>
        <v>124</v>
      </c>
      <c r="E20" s="414">
        <f t="shared" si="7"/>
        <v>135</v>
      </c>
      <c r="F20" s="414">
        <f t="shared" si="7"/>
        <v>171</v>
      </c>
      <c r="G20" s="414">
        <f t="shared" si="7"/>
        <v>150</v>
      </c>
      <c r="H20" s="414">
        <f t="shared" si="7"/>
        <v>140</v>
      </c>
      <c r="I20" s="414">
        <f t="shared" si="7"/>
        <v>147</v>
      </c>
      <c r="J20" s="414">
        <f t="shared" si="7"/>
        <v>180</v>
      </c>
      <c r="K20" s="414">
        <f t="shared" si="7"/>
        <v>221</v>
      </c>
      <c r="L20" s="414">
        <f t="shared" si="7"/>
        <v>131</v>
      </c>
      <c r="M20" s="414">
        <f t="shared" si="7"/>
        <v>171</v>
      </c>
      <c r="N20" s="414">
        <f t="shared" si="7"/>
        <v>144</v>
      </c>
      <c r="O20" s="421">
        <f t="shared" si="7"/>
        <v>198</v>
      </c>
      <c r="P20" s="173">
        <f t="shared" si="5"/>
        <v>1912</v>
      </c>
    </row>
    <row r="21" spans="1:16" ht="24" customHeight="1" thickBot="1">
      <c r="A21" s="178"/>
      <c r="B21" s="179"/>
      <c r="C21" s="16" t="s">
        <v>169</v>
      </c>
      <c r="D21" s="422">
        <f aca="true" t="shared" si="8" ref="D21:O21">D28-D14</f>
        <v>310</v>
      </c>
      <c r="E21" s="423">
        <f t="shared" si="8"/>
        <v>385</v>
      </c>
      <c r="F21" s="423">
        <f t="shared" si="8"/>
        <v>438</v>
      </c>
      <c r="G21" s="423">
        <f t="shared" si="8"/>
        <v>355</v>
      </c>
      <c r="H21" s="423">
        <f t="shared" si="8"/>
        <v>374</v>
      </c>
      <c r="I21" s="423">
        <f t="shared" si="8"/>
        <v>327</v>
      </c>
      <c r="J21" s="423">
        <f t="shared" si="8"/>
        <v>348</v>
      </c>
      <c r="K21" s="423">
        <f t="shared" si="8"/>
        <v>389</v>
      </c>
      <c r="L21" s="423">
        <f t="shared" si="8"/>
        <v>363</v>
      </c>
      <c r="M21" s="423">
        <f t="shared" si="8"/>
        <v>394</v>
      </c>
      <c r="N21" s="423">
        <f t="shared" si="8"/>
        <v>417</v>
      </c>
      <c r="O21" s="424">
        <f t="shared" si="8"/>
        <v>493</v>
      </c>
      <c r="P21" s="177">
        <f t="shared" si="5"/>
        <v>4593</v>
      </c>
    </row>
    <row r="22" spans="1:16" ht="24" customHeight="1">
      <c r="A22" s="171"/>
      <c r="B22" s="610" t="s">
        <v>73</v>
      </c>
      <c r="C22" s="611"/>
      <c r="D22" s="412">
        <v>2726</v>
      </c>
      <c r="E22" s="413">
        <v>3084</v>
      </c>
      <c r="F22" s="413">
        <v>3435</v>
      </c>
      <c r="G22" s="413">
        <v>2930</v>
      </c>
      <c r="H22" s="413">
        <v>3077</v>
      </c>
      <c r="I22" s="413">
        <v>2993</v>
      </c>
      <c r="J22" s="413">
        <v>3097</v>
      </c>
      <c r="K22" s="413">
        <v>3298</v>
      </c>
      <c r="L22" s="413">
        <v>3184</v>
      </c>
      <c r="M22" s="413">
        <v>3055</v>
      </c>
      <c r="N22" s="413">
        <v>3237</v>
      </c>
      <c r="O22" s="455">
        <v>3804</v>
      </c>
      <c r="P22" s="170">
        <f t="shared" si="5"/>
        <v>37920</v>
      </c>
    </row>
    <row r="23" spans="1:16" ht="24" customHeight="1">
      <c r="A23" s="171" t="s">
        <v>103</v>
      </c>
      <c r="B23" s="612" t="s">
        <v>24</v>
      </c>
      <c r="C23" s="613"/>
      <c r="D23" s="415">
        <v>19</v>
      </c>
      <c r="E23" s="414">
        <v>5</v>
      </c>
      <c r="F23" s="414">
        <v>13</v>
      </c>
      <c r="G23" s="414">
        <v>11</v>
      </c>
      <c r="H23" s="414">
        <v>12</v>
      </c>
      <c r="I23" s="414">
        <v>10</v>
      </c>
      <c r="J23" s="414">
        <v>11</v>
      </c>
      <c r="K23" s="414">
        <v>17</v>
      </c>
      <c r="L23" s="414">
        <v>13</v>
      </c>
      <c r="M23" s="414">
        <v>16</v>
      </c>
      <c r="N23" s="414">
        <v>16</v>
      </c>
      <c r="O23" s="416">
        <v>18</v>
      </c>
      <c r="P23" s="173">
        <f t="shared" si="5"/>
        <v>161</v>
      </c>
    </row>
    <row r="24" spans="1:16" ht="24" customHeight="1">
      <c r="A24" s="171" t="s">
        <v>32</v>
      </c>
      <c r="B24" s="174"/>
      <c r="C24" s="15" t="s">
        <v>209</v>
      </c>
      <c r="D24" s="415">
        <v>0</v>
      </c>
      <c r="E24" s="414">
        <v>1</v>
      </c>
      <c r="F24" s="414">
        <v>0</v>
      </c>
      <c r="G24" s="414">
        <v>0</v>
      </c>
      <c r="H24" s="414">
        <v>0</v>
      </c>
      <c r="I24" s="414">
        <v>0</v>
      </c>
      <c r="J24" s="414">
        <v>0</v>
      </c>
      <c r="K24" s="414">
        <v>0</v>
      </c>
      <c r="L24" s="414">
        <v>0</v>
      </c>
      <c r="M24" s="414">
        <v>0</v>
      </c>
      <c r="N24" s="414">
        <v>0</v>
      </c>
      <c r="O24" s="416">
        <v>1</v>
      </c>
      <c r="P24" s="175">
        <f t="shared" si="5"/>
        <v>2</v>
      </c>
    </row>
    <row r="25" spans="1:16" ht="24" customHeight="1">
      <c r="A25" s="171" t="s">
        <v>2</v>
      </c>
      <c r="B25" s="176"/>
      <c r="C25" s="15" t="s">
        <v>169</v>
      </c>
      <c r="D25" s="415">
        <v>8</v>
      </c>
      <c r="E25" s="414">
        <v>3</v>
      </c>
      <c r="F25" s="414">
        <v>5</v>
      </c>
      <c r="G25" s="414">
        <v>3</v>
      </c>
      <c r="H25" s="414">
        <v>4</v>
      </c>
      <c r="I25" s="414">
        <v>6</v>
      </c>
      <c r="J25" s="414">
        <v>4</v>
      </c>
      <c r="K25" s="414">
        <v>9</v>
      </c>
      <c r="L25" s="414">
        <v>3</v>
      </c>
      <c r="M25" s="414">
        <v>8</v>
      </c>
      <c r="N25" s="414">
        <v>10</v>
      </c>
      <c r="O25" s="416">
        <v>11</v>
      </c>
      <c r="P25" s="173">
        <f t="shared" si="5"/>
        <v>74</v>
      </c>
    </row>
    <row r="26" spans="1:16" ht="24" customHeight="1">
      <c r="A26" s="171" t="s">
        <v>35</v>
      </c>
      <c r="B26" s="612" t="s">
        <v>7</v>
      </c>
      <c r="C26" s="613"/>
      <c r="D26" s="419">
        <v>3274</v>
      </c>
      <c r="E26" s="417">
        <v>3680</v>
      </c>
      <c r="F26" s="417">
        <v>4041</v>
      </c>
      <c r="G26" s="417">
        <v>3514</v>
      </c>
      <c r="H26" s="417">
        <v>3676</v>
      </c>
      <c r="I26" s="417">
        <v>3553</v>
      </c>
      <c r="J26" s="417">
        <v>3735</v>
      </c>
      <c r="K26" s="417">
        <v>4079</v>
      </c>
      <c r="L26" s="417">
        <v>3812</v>
      </c>
      <c r="M26" s="417">
        <v>3608</v>
      </c>
      <c r="N26" s="417">
        <v>3866</v>
      </c>
      <c r="O26" s="456">
        <v>4622</v>
      </c>
      <c r="P26" s="175">
        <f t="shared" si="5"/>
        <v>45460</v>
      </c>
    </row>
    <row r="27" spans="1:16" ht="24" customHeight="1">
      <c r="A27" s="171" t="s">
        <v>75</v>
      </c>
      <c r="B27" s="174"/>
      <c r="C27" s="15" t="s">
        <v>209</v>
      </c>
      <c r="D27" s="415">
        <v>178</v>
      </c>
      <c r="E27" s="414">
        <v>184</v>
      </c>
      <c r="F27" s="414">
        <v>218</v>
      </c>
      <c r="G27" s="414">
        <v>204</v>
      </c>
      <c r="H27" s="414">
        <v>204</v>
      </c>
      <c r="I27" s="414">
        <v>195</v>
      </c>
      <c r="J27" s="414">
        <v>237</v>
      </c>
      <c r="K27" s="414">
        <v>287</v>
      </c>
      <c r="L27" s="414">
        <v>192</v>
      </c>
      <c r="M27" s="414">
        <v>224</v>
      </c>
      <c r="N27" s="414">
        <v>206</v>
      </c>
      <c r="O27" s="416">
        <v>244</v>
      </c>
      <c r="P27" s="173">
        <f>SUM(D27:O27)</f>
        <v>2573</v>
      </c>
    </row>
    <row r="28" spans="1:16" ht="24" customHeight="1" thickBot="1">
      <c r="A28" s="178"/>
      <c r="B28" s="179"/>
      <c r="C28" s="16" t="s">
        <v>169</v>
      </c>
      <c r="D28" s="422">
        <v>463</v>
      </c>
      <c r="E28" s="423">
        <v>554</v>
      </c>
      <c r="F28" s="423">
        <v>628</v>
      </c>
      <c r="G28" s="423">
        <v>512</v>
      </c>
      <c r="H28" s="423">
        <v>543</v>
      </c>
      <c r="I28" s="423">
        <v>488</v>
      </c>
      <c r="J28" s="423">
        <v>512</v>
      </c>
      <c r="K28" s="423">
        <v>558</v>
      </c>
      <c r="L28" s="423">
        <v>519</v>
      </c>
      <c r="M28" s="423">
        <v>548</v>
      </c>
      <c r="N28" s="423">
        <v>574</v>
      </c>
      <c r="O28" s="457">
        <v>711</v>
      </c>
      <c r="P28" s="180">
        <f t="shared" si="5"/>
        <v>6610</v>
      </c>
    </row>
    <row r="29" spans="1:16" ht="13.5">
      <c r="A29" s="614" t="s">
        <v>189</v>
      </c>
      <c r="B29" s="614"/>
      <c r="C29" s="181" t="s">
        <v>270</v>
      </c>
      <c r="D29" s="163"/>
      <c r="E29" s="163"/>
      <c r="F29" s="163"/>
      <c r="G29" s="163"/>
      <c r="H29" s="163"/>
      <c r="I29" s="3"/>
      <c r="J29" s="3"/>
      <c r="K29" s="3"/>
      <c r="L29" s="3"/>
      <c r="M29" s="3"/>
      <c r="N29" s="3"/>
      <c r="O29" s="3"/>
      <c r="P29" s="3"/>
    </row>
    <row r="30" spans="1:8" ht="13.5">
      <c r="A30" s="2"/>
      <c r="B30" s="2"/>
      <c r="C30" s="615" t="s">
        <v>271</v>
      </c>
      <c r="D30" s="615"/>
      <c r="E30" s="615"/>
      <c r="F30" s="615"/>
      <c r="G30" s="615"/>
      <c r="H30" s="615"/>
    </row>
  </sheetData>
  <sheetProtection/>
  <mergeCells count="25">
    <mergeCell ref="B26:C26"/>
    <mergeCell ref="A29:B29"/>
    <mergeCell ref="C30:H30"/>
    <mergeCell ref="B9:C9"/>
    <mergeCell ref="B12:C12"/>
    <mergeCell ref="B15:C15"/>
    <mergeCell ref="B16:C16"/>
    <mergeCell ref="B19:C19"/>
    <mergeCell ref="B22:C22"/>
    <mergeCell ref="M6:M7"/>
    <mergeCell ref="N6:N7"/>
    <mergeCell ref="O6:O7"/>
    <mergeCell ref="P6:P7"/>
    <mergeCell ref="B8:C8"/>
    <mergeCell ref="B23:C23"/>
    <mergeCell ref="K5:P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&amp;C-5-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workbookViewId="0" topLeftCell="A13">
      <selection activeCell="L9" sqref="L9"/>
    </sheetView>
  </sheetViews>
  <sheetFormatPr defaultColWidth="9.00390625" defaultRowHeight="13.5"/>
  <cols>
    <col min="1" max="1" width="9.125" style="0" customWidth="1"/>
    <col min="2" max="14" width="6.375" style="0" customWidth="1"/>
    <col min="17" max="17" width="9.50390625" style="0" customWidth="1"/>
  </cols>
  <sheetData>
    <row r="1" spans="1:15" ht="18.75" customHeight="1">
      <c r="A1" s="18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135</v>
      </c>
      <c r="B3" s="3"/>
      <c r="C3" s="3"/>
      <c r="D3" s="3"/>
      <c r="E3" s="3"/>
      <c r="F3" s="3"/>
      <c r="G3" s="3"/>
      <c r="H3" s="3"/>
      <c r="I3" s="3"/>
      <c r="J3" s="512" t="s">
        <v>180</v>
      </c>
      <c r="K3" s="512"/>
      <c r="L3" s="512"/>
      <c r="M3" s="512"/>
      <c r="N3" s="512"/>
      <c r="O3" s="3"/>
    </row>
    <row r="4" spans="1:15" ht="13.5">
      <c r="A4" s="133" t="s">
        <v>150</v>
      </c>
      <c r="B4" s="630" t="s">
        <v>245</v>
      </c>
      <c r="C4" s="618" t="s">
        <v>240</v>
      </c>
      <c r="D4" s="618" t="s">
        <v>163</v>
      </c>
      <c r="E4" s="618" t="s">
        <v>143</v>
      </c>
      <c r="F4" s="618" t="s">
        <v>210</v>
      </c>
      <c r="G4" s="618" t="s">
        <v>165</v>
      </c>
      <c r="H4" s="618" t="s">
        <v>92</v>
      </c>
      <c r="I4" s="618" t="s">
        <v>85</v>
      </c>
      <c r="J4" s="640" t="s">
        <v>14</v>
      </c>
      <c r="K4" s="618" t="s">
        <v>18</v>
      </c>
      <c r="L4" s="640" t="s">
        <v>232</v>
      </c>
      <c r="M4" s="618" t="s">
        <v>187</v>
      </c>
      <c r="N4" s="634" t="s">
        <v>123</v>
      </c>
      <c r="O4" s="3"/>
    </row>
    <row r="5" spans="1:20" ht="19.5" customHeight="1">
      <c r="A5" s="135" t="s">
        <v>26</v>
      </c>
      <c r="B5" s="631"/>
      <c r="C5" s="619"/>
      <c r="D5" s="619"/>
      <c r="E5" s="619"/>
      <c r="F5" s="619"/>
      <c r="G5" s="619"/>
      <c r="H5" s="619"/>
      <c r="I5" s="619"/>
      <c r="J5" s="641"/>
      <c r="K5" s="619"/>
      <c r="L5" s="641"/>
      <c r="M5" s="619"/>
      <c r="N5" s="635"/>
      <c r="O5" s="3"/>
      <c r="P5" s="134"/>
      <c r="Q5" s="183" t="s">
        <v>119</v>
      </c>
      <c r="R5" s="183" t="s">
        <v>73</v>
      </c>
      <c r="S5" s="183" t="s">
        <v>192</v>
      </c>
      <c r="T5" s="183" t="s">
        <v>38</v>
      </c>
    </row>
    <row r="6" spans="1:20" ht="24" customHeight="1">
      <c r="A6" s="184" t="s">
        <v>73</v>
      </c>
      <c r="B6" s="458">
        <v>1224</v>
      </c>
      <c r="C6" s="459">
        <v>300</v>
      </c>
      <c r="D6" s="459">
        <v>299</v>
      </c>
      <c r="E6" s="459">
        <v>203</v>
      </c>
      <c r="F6" s="459">
        <v>1199</v>
      </c>
      <c r="G6" s="459">
        <v>556</v>
      </c>
      <c r="H6" s="459">
        <v>291</v>
      </c>
      <c r="I6" s="459">
        <v>212</v>
      </c>
      <c r="J6" s="459">
        <v>448</v>
      </c>
      <c r="K6" s="459">
        <v>451</v>
      </c>
      <c r="L6" s="459">
        <v>284</v>
      </c>
      <c r="M6" s="459">
        <v>783</v>
      </c>
      <c r="N6" s="460">
        <v>527</v>
      </c>
      <c r="O6" s="3"/>
      <c r="P6" s="183" t="s">
        <v>245</v>
      </c>
      <c r="Q6" s="185">
        <f>B9</f>
        <v>125983</v>
      </c>
      <c r="R6" s="185">
        <f>B6</f>
        <v>1224</v>
      </c>
      <c r="S6" s="185">
        <f>B7</f>
        <v>2</v>
      </c>
      <c r="T6" s="185">
        <f>B8</f>
        <v>1457</v>
      </c>
    </row>
    <row r="7" spans="1:20" ht="24" customHeight="1">
      <c r="A7" s="186" t="s">
        <v>102</v>
      </c>
      <c r="B7" s="461">
        <v>2</v>
      </c>
      <c r="C7" s="462">
        <v>1</v>
      </c>
      <c r="D7" s="462">
        <v>0</v>
      </c>
      <c r="E7" s="462">
        <v>3</v>
      </c>
      <c r="F7" s="462">
        <v>2</v>
      </c>
      <c r="G7" s="462">
        <v>3</v>
      </c>
      <c r="H7" s="462">
        <v>2</v>
      </c>
      <c r="I7" s="462">
        <v>1</v>
      </c>
      <c r="J7" s="462">
        <v>2</v>
      </c>
      <c r="K7" s="462">
        <v>0</v>
      </c>
      <c r="L7" s="462">
        <v>2</v>
      </c>
      <c r="M7" s="462">
        <v>5</v>
      </c>
      <c r="N7" s="463">
        <v>3</v>
      </c>
      <c r="O7" s="3"/>
      <c r="P7" s="183" t="s">
        <v>240</v>
      </c>
      <c r="Q7" s="185">
        <f>C9</f>
        <v>105779</v>
      </c>
      <c r="R7" s="185">
        <f>C6</f>
        <v>300</v>
      </c>
      <c r="S7" s="185">
        <f>C7</f>
        <v>1</v>
      </c>
      <c r="T7" s="185">
        <f>C8</f>
        <v>348</v>
      </c>
    </row>
    <row r="8" spans="1:20" ht="24" customHeight="1">
      <c r="A8" s="187" t="s">
        <v>7</v>
      </c>
      <c r="B8" s="464">
        <v>1457</v>
      </c>
      <c r="C8" s="465">
        <v>348</v>
      </c>
      <c r="D8" s="465">
        <v>345</v>
      </c>
      <c r="E8" s="465">
        <v>250</v>
      </c>
      <c r="F8" s="465">
        <v>1392</v>
      </c>
      <c r="G8" s="465">
        <v>652</v>
      </c>
      <c r="H8" s="465">
        <v>350</v>
      </c>
      <c r="I8" s="465">
        <v>238</v>
      </c>
      <c r="J8" s="465">
        <v>530</v>
      </c>
      <c r="K8" s="465">
        <v>539</v>
      </c>
      <c r="L8" s="465">
        <v>321</v>
      </c>
      <c r="M8" s="465">
        <v>883</v>
      </c>
      <c r="N8" s="466">
        <v>588</v>
      </c>
      <c r="O8" s="3"/>
      <c r="P8" s="183" t="s">
        <v>163</v>
      </c>
      <c r="Q8" s="185">
        <f>D9</f>
        <v>73352</v>
      </c>
      <c r="R8" s="185">
        <f>D6</f>
        <v>299</v>
      </c>
      <c r="S8" s="185">
        <f>D7</f>
        <v>0</v>
      </c>
      <c r="T8" s="185">
        <f>D8</f>
        <v>345</v>
      </c>
    </row>
    <row r="9" spans="1:20" ht="24" customHeight="1">
      <c r="A9" s="188" t="s">
        <v>119</v>
      </c>
      <c r="B9" s="425">
        <v>125983</v>
      </c>
      <c r="C9" s="426">
        <v>105779</v>
      </c>
      <c r="D9" s="426">
        <v>73352</v>
      </c>
      <c r="E9" s="426">
        <v>66421</v>
      </c>
      <c r="F9" s="426">
        <v>95457</v>
      </c>
      <c r="G9" s="426">
        <v>95522</v>
      </c>
      <c r="H9" s="426">
        <v>81551</v>
      </c>
      <c r="I9" s="426">
        <v>64672</v>
      </c>
      <c r="J9" s="426">
        <v>77290</v>
      </c>
      <c r="K9" s="426">
        <v>71001</v>
      </c>
      <c r="L9" s="426">
        <v>95374</v>
      </c>
      <c r="M9" s="426">
        <v>177868</v>
      </c>
      <c r="N9" s="427">
        <v>175631</v>
      </c>
      <c r="O9" s="3"/>
      <c r="P9" s="183" t="s">
        <v>143</v>
      </c>
      <c r="Q9" s="185">
        <f>E9</f>
        <v>66421</v>
      </c>
      <c r="R9" s="185">
        <f>E6</f>
        <v>203</v>
      </c>
      <c r="S9" s="185">
        <f>E7</f>
        <v>3</v>
      </c>
      <c r="T9" s="185">
        <f>E8</f>
        <v>250</v>
      </c>
    </row>
    <row r="10" spans="1:20" ht="19.5" customHeight="1">
      <c r="A10" s="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"/>
      <c r="P10" s="183" t="s">
        <v>210</v>
      </c>
      <c r="Q10" s="185">
        <f>F9</f>
        <v>95457</v>
      </c>
      <c r="R10" s="185">
        <f>F6</f>
        <v>1199</v>
      </c>
      <c r="S10" s="185">
        <f>F7</f>
        <v>2</v>
      </c>
      <c r="T10" s="185">
        <f>F8</f>
        <v>1392</v>
      </c>
    </row>
    <row r="11" spans="1:20" ht="19.5" customHeight="1">
      <c r="A11" s="110" t="s">
        <v>150</v>
      </c>
      <c r="B11" s="632" t="s">
        <v>68</v>
      </c>
      <c r="C11" s="616" t="s">
        <v>229</v>
      </c>
      <c r="D11" s="616" t="s">
        <v>117</v>
      </c>
      <c r="E11" s="616" t="s">
        <v>219</v>
      </c>
      <c r="F11" s="616" t="s">
        <v>90</v>
      </c>
      <c r="G11" s="620" t="s">
        <v>168</v>
      </c>
      <c r="H11" s="620" t="s">
        <v>15</v>
      </c>
      <c r="I11" s="616" t="s">
        <v>39</v>
      </c>
      <c r="J11" s="620" t="s">
        <v>79</v>
      </c>
      <c r="K11" s="616" t="s">
        <v>190</v>
      </c>
      <c r="L11" s="616" t="s">
        <v>65</v>
      </c>
      <c r="M11" s="636" t="s">
        <v>62</v>
      </c>
      <c r="N11" s="637"/>
      <c r="O11" s="3"/>
      <c r="P11" s="183" t="s">
        <v>165</v>
      </c>
      <c r="Q11" s="185">
        <f>G9</f>
        <v>95522</v>
      </c>
      <c r="R11" s="185">
        <f>G6</f>
        <v>556</v>
      </c>
      <c r="S11" s="185">
        <f>G7</f>
        <v>3</v>
      </c>
      <c r="T11" s="185">
        <f>G8</f>
        <v>652</v>
      </c>
    </row>
    <row r="12" spans="1:20" ht="19.5" customHeight="1">
      <c r="A12" s="8" t="s">
        <v>26</v>
      </c>
      <c r="B12" s="633"/>
      <c r="C12" s="617"/>
      <c r="D12" s="617"/>
      <c r="E12" s="617"/>
      <c r="F12" s="617"/>
      <c r="G12" s="621"/>
      <c r="H12" s="621"/>
      <c r="I12" s="617"/>
      <c r="J12" s="621"/>
      <c r="K12" s="617"/>
      <c r="L12" s="617"/>
      <c r="M12" s="638"/>
      <c r="N12" s="639"/>
      <c r="O12" s="3"/>
      <c r="P12" s="183" t="s">
        <v>92</v>
      </c>
      <c r="Q12" s="185">
        <f>H9</f>
        <v>81551</v>
      </c>
      <c r="R12" s="185">
        <f>H6</f>
        <v>291</v>
      </c>
      <c r="S12" s="185">
        <f>H7</f>
        <v>2</v>
      </c>
      <c r="T12" s="185">
        <f>H8</f>
        <v>350</v>
      </c>
    </row>
    <row r="13" spans="1:20" ht="24" customHeight="1">
      <c r="A13" s="189" t="s">
        <v>73</v>
      </c>
      <c r="B13" s="458">
        <v>435</v>
      </c>
      <c r="C13" s="459">
        <v>485</v>
      </c>
      <c r="D13" s="459">
        <v>232</v>
      </c>
      <c r="E13" s="459">
        <v>517</v>
      </c>
      <c r="F13" s="459">
        <v>525</v>
      </c>
      <c r="G13" s="459">
        <v>389</v>
      </c>
      <c r="H13" s="459">
        <v>517</v>
      </c>
      <c r="I13" s="459">
        <v>365</v>
      </c>
      <c r="J13" s="459">
        <v>543</v>
      </c>
      <c r="K13" s="459">
        <v>999</v>
      </c>
      <c r="L13" s="459">
        <v>389</v>
      </c>
      <c r="M13" s="622">
        <f>SUM(B6:N6)+SUM(B13:L13)</f>
        <v>12173</v>
      </c>
      <c r="N13" s="623"/>
      <c r="O13" s="3"/>
      <c r="P13" s="190" t="s">
        <v>85</v>
      </c>
      <c r="Q13" s="185">
        <f>I9</f>
        <v>64672</v>
      </c>
      <c r="R13" s="185">
        <f>I6</f>
        <v>212</v>
      </c>
      <c r="S13" s="185">
        <f>I7</f>
        <v>1</v>
      </c>
      <c r="T13" s="185">
        <f>I8</f>
        <v>238</v>
      </c>
    </row>
    <row r="14" spans="1:20" ht="24" customHeight="1">
      <c r="A14" s="191" t="s">
        <v>102</v>
      </c>
      <c r="B14" s="461">
        <v>2</v>
      </c>
      <c r="C14" s="462">
        <v>2</v>
      </c>
      <c r="D14" s="462">
        <v>2</v>
      </c>
      <c r="E14" s="462">
        <v>0</v>
      </c>
      <c r="F14" s="462">
        <v>1</v>
      </c>
      <c r="G14" s="462">
        <v>2</v>
      </c>
      <c r="H14" s="462">
        <v>5</v>
      </c>
      <c r="I14" s="462">
        <v>1</v>
      </c>
      <c r="J14" s="462">
        <v>1</v>
      </c>
      <c r="K14" s="462">
        <v>4</v>
      </c>
      <c r="L14" s="462">
        <v>3</v>
      </c>
      <c r="M14" s="624">
        <f>SUM(B7:N7)+SUM(B14:L14)</f>
        <v>49</v>
      </c>
      <c r="N14" s="625"/>
      <c r="O14" s="192"/>
      <c r="P14" s="183" t="s">
        <v>14</v>
      </c>
      <c r="Q14" s="185">
        <f>J9</f>
        <v>77290</v>
      </c>
      <c r="R14" s="185">
        <f>J6</f>
        <v>448</v>
      </c>
      <c r="S14" s="185">
        <f>J7</f>
        <v>2</v>
      </c>
      <c r="T14" s="185">
        <f>J8</f>
        <v>530</v>
      </c>
    </row>
    <row r="15" spans="1:20" ht="24" customHeight="1">
      <c r="A15" s="193" t="s">
        <v>7</v>
      </c>
      <c r="B15" s="467">
        <v>521</v>
      </c>
      <c r="C15" s="465">
        <v>554</v>
      </c>
      <c r="D15" s="465">
        <v>259</v>
      </c>
      <c r="E15" s="465">
        <v>610</v>
      </c>
      <c r="F15" s="465">
        <v>607</v>
      </c>
      <c r="G15" s="465">
        <v>483</v>
      </c>
      <c r="H15" s="465">
        <v>622</v>
      </c>
      <c r="I15" s="465">
        <v>423</v>
      </c>
      <c r="J15" s="465">
        <v>607</v>
      </c>
      <c r="K15" s="465">
        <v>1175</v>
      </c>
      <c r="L15" s="465">
        <v>477</v>
      </c>
      <c r="M15" s="626">
        <f>SUM(B8:N8)+SUM(B15:L15)</f>
        <v>14231</v>
      </c>
      <c r="N15" s="627"/>
      <c r="O15" s="3"/>
      <c r="P15" s="183" t="s">
        <v>18</v>
      </c>
      <c r="Q15" s="185">
        <f>K9</f>
        <v>71001</v>
      </c>
      <c r="R15" s="185">
        <f>K6</f>
        <v>451</v>
      </c>
      <c r="S15" s="185">
        <f>K7</f>
        <v>0</v>
      </c>
      <c r="T15" s="185">
        <f>K8</f>
        <v>539</v>
      </c>
    </row>
    <row r="16" spans="1:20" ht="24" customHeight="1">
      <c r="A16" s="194" t="s">
        <v>119</v>
      </c>
      <c r="B16" s="428">
        <v>80733</v>
      </c>
      <c r="C16" s="426">
        <v>129838</v>
      </c>
      <c r="D16" s="426">
        <v>91458</v>
      </c>
      <c r="E16" s="426">
        <v>165360</v>
      </c>
      <c r="F16" s="426">
        <v>111575</v>
      </c>
      <c r="G16" s="426">
        <v>108193</v>
      </c>
      <c r="H16" s="426">
        <v>122195</v>
      </c>
      <c r="I16" s="426">
        <v>153869</v>
      </c>
      <c r="J16" s="426">
        <v>126231</v>
      </c>
      <c r="K16" s="426">
        <v>195755</v>
      </c>
      <c r="L16" s="429">
        <v>110925</v>
      </c>
      <c r="M16" s="628">
        <f>SUM(B9:N9)+SUM(B16:L16)</f>
        <v>2702033</v>
      </c>
      <c r="N16" s="629"/>
      <c r="O16" s="3"/>
      <c r="P16" s="183" t="s">
        <v>232</v>
      </c>
      <c r="Q16" s="185">
        <f>L9</f>
        <v>95374</v>
      </c>
      <c r="R16" s="185">
        <f>L6</f>
        <v>284</v>
      </c>
      <c r="S16" s="185">
        <f>L7</f>
        <v>2</v>
      </c>
      <c r="T16" s="185">
        <f>L8</f>
        <v>321</v>
      </c>
    </row>
    <row r="17" spans="1:20" ht="13.5">
      <c r="A17" s="3" t="s">
        <v>4</v>
      </c>
      <c r="B17" s="3"/>
      <c r="C17" s="3"/>
      <c r="D17" s="3"/>
      <c r="E17" s="3"/>
      <c r="F17" s="3"/>
      <c r="G17" s="195"/>
      <c r="H17" s="3"/>
      <c r="I17" s="3"/>
      <c r="J17" s="3"/>
      <c r="K17" s="3"/>
      <c r="L17" s="3"/>
      <c r="M17" s="3"/>
      <c r="N17" s="3"/>
      <c r="O17" s="3"/>
      <c r="P17" s="183" t="s">
        <v>187</v>
      </c>
      <c r="Q17" s="185">
        <f>M9</f>
        <v>177868</v>
      </c>
      <c r="R17" s="185">
        <f>M6</f>
        <v>783</v>
      </c>
      <c r="S17" s="185">
        <f>M7</f>
        <v>5</v>
      </c>
      <c r="T17" s="185">
        <f>M8</f>
        <v>883</v>
      </c>
    </row>
    <row r="18" spans="1:20" ht="13.5">
      <c r="A18" s="33" t="s">
        <v>280</v>
      </c>
      <c r="B18" s="33"/>
      <c r="C18" s="33"/>
      <c r="D18" s="33"/>
      <c r="E18" s="33"/>
      <c r="F18" s="33"/>
      <c r="G18" s="33"/>
      <c r="H18" s="33"/>
      <c r="I18" s="3"/>
      <c r="J18" s="3"/>
      <c r="K18" s="3"/>
      <c r="L18" s="3"/>
      <c r="M18" s="3"/>
      <c r="N18" s="3"/>
      <c r="O18" s="3"/>
      <c r="P18" s="183" t="s">
        <v>23</v>
      </c>
      <c r="Q18" s="185">
        <f>N9</f>
        <v>175631</v>
      </c>
      <c r="R18" s="185">
        <f>N6</f>
        <v>527</v>
      </c>
      <c r="S18" s="185">
        <f>N7</f>
        <v>3</v>
      </c>
      <c r="T18" s="185">
        <f>N8</f>
        <v>588</v>
      </c>
    </row>
    <row r="19" spans="1:20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3" t="s">
        <v>68</v>
      </c>
      <c r="Q19" s="185">
        <f>B16</f>
        <v>80733</v>
      </c>
      <c r="R19" s="185">
        <f>B13</f>
        <v>435</v>
      </c>
      <c r="S19" s="185">
        <f>B14</f>
        <v>2</v>
      </c>
      <c r="T19" s="185">
        <f>B15</f>
        <v>521</v>
      </c>
    </row>
    <row r="20" spans="1:20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3" t="s">
        <v>229</v>
      </c>
      <c r="Q20" s="185">
        <f>C16</f>
        <v>129838</v>
      </c>
      <c r="R20" s="185">
        <f>C13</f>
        <v>485</v>
      </c>
      <c r="S20" s="185">
        <f>C14</f>
        <v>2</v>
      </c>
      <c r="T20" s="185">
        <f>C15</f>
        <v>554</v>
      </c>
    </row>
    <row r="21" spans="1:20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3" t="s">
        <v>117</v>
      </c>
      <c r="Q21" s="185">
        <f>D16</f>
        <v>91458</v>
      </c>
      <c r="R21" s="185">
        <f>D13</f>
        <v>232</v>
      </c>
      <c r="S21" s="185">
        <f>D14</f>
        <v>2</v>
      </c>
      <c r="T21" s="185">
        <f>D15</f>
        <v>259</v>
      </c>
    </row>
    <row r="22" spans="1:20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3" t="s">
        <v>219</v>
      </c>
      <c r="Q22" s="185">
        <f>E16</f>
        <v>165360</v>
      </c>
      <c r="R22" s="185">
        <f>E13</f>
        <v>517</v>
      </c>
      <c r="S22" s="185">
        <f>E14</f>
        <v>0</v>
      </c>
      <c r="T22" s="185">
        <f>E15</f>
        <v>610</v>
      </c>
    </row>
    <row r="23" spans="1:2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83" t="s">
        <v>90</v>
      </c>
      <c r="Q23" s="185">
        <f>F16</f>
        <v>111575</v>
      </c>
      <c r="R23" s="185">
        <f>F13</f>
        <v>525</v>
      </c>
      <c r="S23" s="185">
        <f>F14</f>
        <v>1</v>
      </c>
      <c r="T23" s="185">
        <f>F15</f>
        <v>607</v>
      </c>
    </row>
    <row r="24" spans="1:2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83" t="s">
        <v>168</v>
      </c>
      <c r="Q24" s="185">
        <f>G16</f>
        <v>108193</v>
      </c>
      <c r="R24" s="185">
        <f>G13</f>
        <v>389</v>
      </c>
      <c r="S24" s="185">
        <f>G14</f>
        <v>2</v>
      </c>
      <c r="T24" s="185">
        <f>G15</f>
        <v>483</v>
      </c>
    </row>
    <row r="25" spans="1:2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83" t="s">
        <v>15</v>
      </c>
      <c r="Q25" s="185">
        <f>H16</f>
        <v>122195</v>
      </c>
      <c r="R25" s="185">
        <f>H13</f>
        <v>517</v>
      </c>
      <c r="S25" s="185">
        <f>H14</f>
        <v>5</v>
      </c>
      <c r="T25" s="185">
        <f>H15</f>
        <v>622</v>
      </c>
    </row>
    <row r="26" spans="1:20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83" t="s">
        <v>39</v>
      </c>
      <c r="Q26" s="185">
        <f>I16</f>
        <v>153869</v>
      </c>
      <c r="R26" s="185">
        <f>I13</f>
        <v>365</v>
      </c>
      <c r="S26" s="185">
        <f>I14</f>
        <v>1</v>
      </c>
      <c r="T26" s="185">
        <f>I15</f>
        <v>423</v>
      </c>
    </row>
    <row r="27" spans="1:20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3" t="s">
        <v>79</v>
      </c>
      <c r="Q27" s="185">
        <f>J16</f>
        <v>126231</v>
      </c>
      <c r="R27" s="185">
        <f>J13</f>
        <v>543</v>
      </c>
      <c r="S27" s="185">
        <f>J14</f>
        <v>1</v>
      </c>
      <c r="T27" s="185">
        <f>J15</f>
        <v>607</v>
      </c>
    </row>
    <row r="28" spans="1:20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3" t="s">
        <v>190</v>
      </c>
      <c r="Q28" s="185">
        <f>K16</f>
        <v>195755</v>
      </c>
      <c r="R28" s="185">
        <f>K13</f>
        <v>999</v>
      </c>
      <c r="S28" s="185">
        <f>K14</f>
        <v>4</v>
      </c>
      <c r="T28" s="185">
        <f>K15</f>
        <v>1175</v>
      </c>
    </row>
    <row r="29" spans="1:20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3" t="s">
        <v>65</v>
      </c>
      <c r="Q29" s="185">
        <f>L16</f>
        <v>110925</v>
      </c>
      <c r="R29" s="185">
        <f>L13</f>
        <v>389</v>
      </c>
      <c r="S29" s="185">
        <f>L14</f>
        <v>3</v>
      </c>
      <c r="T29" s="185">
        <f>L15</f>
        <v>477</v>
      </c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3" t="s">
        <v>62</v>
      </c>
      <c r="Q30" s="185">
        <f>SUM(Q6:Q29)</f>
        <v>2702033</v>
      </c>
      <c r="R30" s="185">
        <f>SUM(R6:R29)</f>
        <v>12173</v>
      </c>
      <c r="S30" s="185">
        <f>SUM(S6:S29)</f>
        <v>49</v>
      </c>
      <c r="T30" s="185">
        <f>SUM(T6:T29)</f>
        <v>14231</v>
      </c>
    </row>
    <row r="31" spans="1:1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30">
    <mergeCell ref="I11:I12"/>
    <mergeCell ref="J11:J12"/>
    <mergeCell ref="K11:K12"/>
    <mergeCell ref="I4:I5"/>
    <mergeCell ref="N4:N5"/>
    <mergeCell ref="M11:N12"/>
    <mergeCell ref="J4:J5"/>
    <mergeCell ref="K4:K5"/>
    <mergeCell ref="L4:L5"/>
    <mergeCell ref="L11:L12"/>
    <mergeCell ref="M13:N13"/>
    <mergeCell ref="M14:N14"/>
    <mergeCell ref="M15:N15"/>
    <mergeCell ref="M16:N16"/>
    <mergeCell ref="J3:N3"/>
    <mergeCell ref="B4:B5"/>
    <mergeCell ref="C4:C5"/>
    <mergeCell ref="D4:D5"/>
    <mergeCell ref="B11:B12"/>
    <mergeCell ref="C11:C12"/>
    <mergeCell ref="D11:D12"/>
    <mergeCell ref="E11:E12"/>
    <mergeCell ref="F11:F12"/>
    <mergeCell ref="M4:M5"/>
    <mergeCell ref="E4:E5"/>
    <mergeCell ref="F4:F5"/>
    <mergeCell ref="G4:G5"/>
    <mergeCell ref="H4:H5"/>
    <mergeCell ref="G11:G12"/>
    <mergeCell ref="H11:H1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&amp;C－6－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" width="11.75390625" style="0" customWidth="1"/>
    <col min="2" max="2" width="10.375" style="0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75390625" style="0" customWidth="1"/>
  </cols>
  <sheetData>
    <row r="1" spans="1:8" ht="14.25">
      <c r="A1" s="182" t="s">
        <v>265</v>
      </c>
      <c r="B1" s="182"/>
      <c r="C1" s="3"/>
      <c r="D1" s="3"/>
      <c r="E1" s="3"/>
      <c r="F1" s="3"/>
      <c r="G1" s="3"/>
      <c r="H1" s="31"/>
    </row>
    <row r="2" spans="1:9" ht="13.5">
      <c r="A2" s="382" t="s">
        <v>266</v>
      </c>
      <c r="B2" s="382"/>
      <c r="C2" s="382"/>
      <c r="D2" s="382"/>
      <c r="E2" s="382"/>
      <c r="F2" s="382"/>
      <c r="G2" s="382"/>
      <c r="H2" s="197"/>
      <c r="I2" s="150"/>
    </row>
    <row r="3" spans="1:8" ht="13.5">
      <c r="A3" s="3"/>
      <c r="B3" s="3"/>
      <c r="C3" s="3"/>
      <c r="D3" s="3"/>
      <c r="E3" s="3"/>
      <c r="F3" s="3"/>
      <c r="G3" s="3"/>
      <c r="H3" s="31"/>
    </row>
    <row r="4" spans="1:19" ht="18" customHeight="1">
      <c r="A4" s="642" t="s">
        <v>260</v>
      </c>
      <c r="B4" s="644" t="s">
        <v>234</v>
      </c>
      <c r="C4" s="519"/>
      <c r="D4" s="644" t="s">
        <v>194</v>
      </c>
      <c r="E4" s="519"/>
      <c r="F4" s="644" t="s">
        <v>11</v>
      </c>
      <c r="G4" s="519"/>
      <c r="H4" s="31"/>
      <c r="I4" s="198"/>
      <c r="J4" s="198"/>
      <c r="K4" s="199"/>
      <c r="L4" s="199"/>
      <c r="M4" s="199"/>
      <c r="N4" s="198"/>
      <c r="O4" s="198"/>
      <c r="P4" s="198"/>
      <c r="Q4" s="198"/>
      <c r="R4" s="198"/>
      <c r="S4" s="198"/>
    </row>
    <row r="5" spans="1:19" ht="18" customHeight="1">
      <c r="A5" s="643"/>
      <c r="B5" s="338" t="s">
        <v>276</v>
      </c>
      <c r="C5" s="383" t="s">
        <v>275</v>
      </c>
      <c r="D5" s="338" t="s">
        <v>276</v>
      </c>
      <c r="E5" s="383" t="s">
        <v>275</v>
      </c>
      <c r="F5" s="338" t="s">
        <v>276</v>
      </c>
      <c r="G5" s="383" t="s">
        <v>275</v>
      </c>
      <c r="H5" s="31"/>
      <c r="I5" s="198"/>
      <c r="J5" s="198"/>
      <c r="K5" s="200"/>
      <c r="L5" s="201"/>
      <c r="M5" s="200"/>
      <c r="N5" s="198"/>
      <c r="O5" s="198"/>
      <c r="P5" s="198"/>
      <c r="Q5" s="198"/>
      <c r="R5" s="198"/>
      <c r="S5" s="198"/>
    </row>
    <row r="6" spans="1:19" ht="18" customHeight="1">
      <c r="A6" s="397" t="s">
        <v>48</v>
      </c>
      <c r="B6" s="469">
        <v>2787</v>
      </c>
      <c r="C6" s="384">
        <v>2907</v>
      </c>
      <c r="D6" s="473">
        <v>9</v>
      </c>
      <c r="E6" s="385">
        <v>11</v>
      </c>
      <c r="F6" s="477">
        <v>3451</v>
      </c>
      <c r="G6" s="386">
        <v>3634</v>
      </c>
      <c r="H6" s="31"/>
      <c r="I6" s="198"/>
      <c r="J6" s="198"/>
      <c r="K6" s="200"/>
      <c r="L6" s="198"/>
      <c r="M6" s="202"/>
      <c r="N6" s="198"/>
      <c r="O6" s="198"/>
      <c r="P6" s="198"/>
      <c r="Q6" s="198"/>
      <c r="R6" s="198"/>
      <c r="S6" s="198"/>
    </row>
    <row r="7" spans="1:19" ht="18" customHeight="1">
      <c r="A7" s="398" t="s">
        <v>170</v>
      </c>
      <c r="B7" s="470">
        <v>3285</v>
      </c>
      <c r="C7" s="387">
        <v>3407</v>
      </c>
      <c r="D7" s="474">
        <v>15</v>
      </c>
      <c r="E7" s="388">
        <v>18</v>
      </c>
      <c r="F7" s="478">
        <v>3925</v>
      </c>
      <c r="G7" s="387">
        <v>4029</v>
      </c>
      <c r="H7" s="31"/>
      <c r="I7" s="198"/>
      <c r="J7" s="198"/>
      <c r="K7" s="200"/>
      <c r="L7" s="198"/>
      <c r="M7" s="202"/>
      <c r="N7" s="198"/>
      <c r="O7" s="198"/>
      <c r="P7" s="198"/>
      <c r="Q7" s="198"/>
      <c r="R7" s="198"/>
      <c r="S7" s="198"/>
    </row>
    <row r="8" spans="1:19" ht="18" customHeight="1">
      <c r="A8" s="399" t="s">
        <v>30</v>
      </c>
      <c r="B8" s="471">
        <v>609</v>
      </c>
      <c r="C8" s="386">
        <v>647</v>
      </c>
      <c r="D8" s="475">
        <v>2</v>
      </c>
      <c r="E8" s="389">
        <v>0</v>
      </c>
      <c r="F8" s="477">
        <v>712</v>
      </c>
      <c r="G8" s="386">
        <v>761</v>
      </c>
      <c r="H8" s="31"/>
      <c r="I8" s="198"/>
      <c r="J8" s="198"/>
      <c r="K8" s="200"/>
      <c r="L8" s="198"/>
      <c r="M8" s="202"/>
      <c r="N8" s="198"/>
      <c r="O8" s="198"/>
      <c r="P8" s="198"/>
      <c r="Q8" s="198"/>
      <c r="R8" s="198"/>
      <c r="S8" s="198"/>
    </row>
    <row r="9" spans="1:19" ht="18" customHeight="1">
      <c r="A9" s="398" t="s">
        <v>49</v>
      </c>
      <c r="B9" s="470">
        <v>588</v>
      </c>
      <c r="C9" s="387">
        <v>674</v>
      </c>
      <c r="D9" s="474">
        <v>4</v>
      </c>
      <c r="E9" s="388">
        <v>6</v>
      </c>
      <c r="F9" s="478">
        <v>703</v>
      </c>
      <c r="G9" s="387">
        <v>797</v>
      </c>
      <c r="H9" s="31"/>
      <c r="I9" s="198"/>
      <c r="J9" s="198"/>
      <c r="K9" s="200"/>
      <c r="L9" s="198"/>
      <c r="M9" s="202"/>
      <c r="N9" s="198"/>
      <c r="O9" s="198"/>
      <c r="P9" s="198"/>
      <c r="Q9" s="198"/>
      <c r="R9" s="198"/>
      <c r="S9" s="198"/>
    </row>
    <row r="10" spans="1:19" ht="18" customHeight="1">
      <c r="A10" s="188" t="s">
        <v>146</v>
      </c>
      <c r="B10" s="472">
        <v>4904</v>
      </c>
      <c r="C10" s="390">
        <v>5134</v>
      </c>
      <c r="D10" s="476">
        <v>19</v>
      </c>
      <c r="E10" s="391">
        <v>16</v>
      </c>
      <c r="F10" s="479">
        <v>5440</v>
      </c>
      <c r="G10" s="390">
        <v>5646</v>
      </c>
      <c r="H10" s="31"/>
      <c r="I10" s="198"/>
      <c r="J10" s="198"/>
      <c r="K10" s="203"/>
      <c r="L10" s="203"/>
      <c r="M10" s="202"/>
      <c r="N10" s="198"/>
      <c r="O10" s="198"/>
      <c r="P10" s="198"/>
      <c r="Q10" s="198"/>
      <c r="R10" s="198"/>
      <c r="S10" s="198"/>
    </row>
    <row r="11" spans="1:19" ht="18" customHeight="1">
      <c r="A11" s="392" t="s">
        <v>62</v>
      </c>
      <c r="B11" s="393">
        <f>SUM(B6:B10)</f>
        <v>12173</v>
      </c>
      <c r="C11" s="394">
        <v>12769</v>
      </c>
      <c r="D11" s="393">
        <f>SUM(D6:D10)</f>
        <v>49</v>
      </c>
      <c r="E11" s="394">
        <v>51</v>
      </c>
      <c r="F11" s="395">
        <f>SUM(F6:F10)</f>
        <v>14231</v>
      </c>
      <c r="G11" s="396">
        <v>14867</v>
      </c>
      <c r="H11" s="31"/>
      <c r="I11" s="198"/>
      <c r="J11" s="198"/>
      <c r="K11" s="200"/>
      <c r="L11" s="198"/>
      <c r="M11" s="202"/>
      <c r="N11" s="198"/>
      <c r="O11" s="198"/>
      <c r="P11" s="198"/>
      <c r="Q11" s="198"/>
      <c r="R11" s="198"/>
      <c r="S11" s="198"/>
    </row>
    <row r="12" spans="9:19" ht="13.5">
      <c r="I12" s="198"/>
      <c r="J12" s="198"/>
      <c r="K12" s="200"/>
      <c r="L12" s="198"/>
      <c r="M12" s="202"/>
      <c r="N12" s="198"/>
      <c r="O12" s="198"/>
      <c r="P12" s="198"/>
      <c r="Q12" s="198"/>
      <c r="R12" s="198"/>
      <c r="S12" s="198"/>
    </row>
    <row r="13" spans="3:19" ht="13.5">
      <c r="C13" t="s">
        <v>52</v>
      </c>
      <c r="I13" s="198"/>
      <c r="J13" s="198"/>
      <c r="K13" s="200"/>
      <c r="L13" s="198"/>
      <c r="M13" s="202"/>
      <c r="N13" s="198"/>
      <c r="O13" s="198"/>
      <c r="P13" s="198"/>
      <c r="Q13" s="198"/>
      <c r="R13" s="198"/>
      <c r="S13" s="198"/>
    </row>
    <row r="14" spans="9:19" ht="13.5">
      <c r="I14" s="198"/>
      <c r="J14" s="198"/>
      <c r="K14" s="200"/>
      <c r="L14" s="198"/>
      <c r="M14" s="202"/>
      <c r="N14" s="198"/>
      <c r="O14" s="198"/>
      <c r="P14" s="198"/>
      <c r="Q14" s="198"/>
      <c r="R14" s="198"/>
      <c r="S14" s="198"/>
    </row>
    <row r="15" spans="9:19" ht="13.5">
      <c r="I15" s="198"/>
      <c r="J15" s="198"/>
      <c r="K15" s="200"/>
      <c r="L15" s="198"/>
      <c r="M15" s="202"/>
      <c r="N15" s="198"/>
      <c r="O15" s="198"/>
      <c r="P15" s="198"/>
      <c r="Q15" s="198"/>
      <c r="R15" s="198"/>
      <c r="S15" s="198"/>
    </row>
    <row r="16" spans="9:13" ht="13.5">
      <c r="I16" s="198"/>
      <c r="J16" s="198"/>
      <c r="K16" s="203"/>
      <c r="L16" s="203"/>
      <c r="M16" s="202"/>
    </row>
  </sheetData>
  <sheetProtection/>
  <mergeCells count="4">
    <mergeCell ref="A4:A5"/>
    <mergeCell ref="B4:C4"/>
    <mergeCell ref="D4:E4"/>
    <mergeCell ref="F4:G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SheetLayoutView="100" workbookViewId="0" topLeftCell="A1">
      <selection activeCell="P16" sqref="P16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15.875" style="0" customWidth="1"/>
    <col min="4" max="5" width="7.125" style="0" customWidth="1"/>
    <col min="6" max="6" width="7.625" style="0" customWidth="1"/>
    <col min="7" max="7" width="3.00390625" style="0" customWidth="1"/>
    <col min="8" max="8" width="3.875" style="0" customWidth="1"/>
    <col min="9" max="9" width="15.875" style="0" customWidth="1"/>
    <col min="10" max="11" width="7.125" style="0" customWidth="1"/>
    <col min="12" max="12" width="7.625" style="0" customWidth="1"/>
  </cols>
  <sheetData>
    <row r="1" spans="1:12" ht="16.5" customHeight="1" thickBot="1">
      <c r="A1" t="s">
        <v>53</v>
      </c>
      <c r="B1" s="33"/>
      <c r="C1" s="33"/>
      <c r="D1" s="402"/>
      <c r="E1" s="33"/>
      <c r="F1" s="402"/>
      <c r="G1" s="535" t="s">
        <v>267</v>
      </c>
      <c r="H1" s="535"/>
      <c r="I1" s="535"/>
      <c r="J1" s="535"/>
      <c r="K1" s="535"/>
      <c r="L1" s="535"/>
    </row>
    <row r="2" spans="1:12" ht="15.75" customHeight="1">
      <c r="A2" s="204"/>
      <c r="B2" s="655" t="s">
        <v>60</v>
      </c>
      <c r="C2" s="656"/>
      <c r="D2" s="400" t="s">
        <v>73</v>
      </c>
      <c r="E2" s="400" t="s">
        <v>24</v>
      </c>
      <c r="F2" s="502" t="s">
        <v>121</v>
      </c>
      <c r="G2" s="504"/>
      <c r="H2" s="655" t="s">
        <v>60</v>
      </c>
      <c r="I2" s="656"/>
      <c r="J2" s="400" t="s">
        <v>254</v>
      </c>
      <c r="K2" s="400" t="s">
        <v>22</v>
      </c>
      <c r="L2" s="401" t="s">
        <v>220</v>
      </c>
    </row>
    <row r="3" spans="1:12" ht="15.75" customHeight="1">
      <c r="A3" s="647" t="s">
        <v>211</v>
      </c>
      <c r="B3" s="653" t="s">
        <v>29</v>
      </c>
      <c r="C3" s="505" t="s">
        <v>8</v>
      </c>
      <c r="D3" s="480">
        <v>342</v>
      </c>
      <c r="E3" s="480">
        <v>1</v>
      </c>
      <c r="F3" s="481">
        <v>430</v>
      </c>
      <c r="G3" s="651" t="s">
        <v>211</v>
      </c>
      <c r="H3" s="653" t="s">
        <v>31</v>
      </c>
      <c r="I3" s="205" t="s">
        <v>255</v>
      </c>
      <c r="J3" s="480">
        <v>131</v>
      </c>
      <c r="K3" s="480">
        <v>0</v>
      </c>
      <c r="L3" s="485">
        <v>154</v>
      </c>
    </row>
    <row r="4" spans="1:12" ht="15.75" customHeight="1">
      <c r="A4" s="647"/>
      <c r="B4" s="659"/>
      <c r="C4" s="505" t="s">
        <v>242</v>
      </c>
      <c r="D4" s="480">
        <v>177</v>
      </c>
      <c r="E4" s="480">
        <v>1</v>
      </c>
      <c r="F4" s="481">
        <v>205</v>
      </c>
      <c r="G4" s="651"/>
      <c r="H4" s="653"/>
      <c r="I4" s="206" t="s">
        <v>246</v>
      </c>
      <c r="J4" s="486">
        <v>196</v>
      </c>
      <c r="K4" s="486">
        <v>1</v>
      </c>
      <c r="L4" s="487">
        <v>231</v>
      </c>
    </row>
    <row r="5" spans="1:12" ht="15.75" customHeight="1">
      <c r="A5" s="647"/>
      <c r="B5" s="659"/>
      <c r="C5" s="505" t="s">
        <v>71</v>
      </c>
      <c r="D5" s="480">
        <v>505</v>
      </c>
      <c r="E5" s="480">
        <v>1</v>
      </c>
      <c r="F5" s="481">
        <v>613</v>
      </c>
      <c r="G5" s="651"/>
      <c r="H5" s="653"/>
      <c r="I5" s="207" t="s">
        <v>6</v>
      </c>
      <c r="J5" s="488">
        <v>97</v>
      </c>
      <c r="K5" s="488">
        <v>0</v>
      </c>
      <c r="L5" s="489">
        <v>107</v>
      </c>
    </row>
    <row r="6" spans="1:12" ht="15.75" customHeight="1">
      <c r="A6" s="647"/>
      <c r="B6" s="659"/>
      <c r="C6" s="505" t="s">
        <v>257</v>
      </c>
      <c r="D6" s="480">
        <v>212</v>
      </c>
      <c r="E6" s="480">
        <v>2</v>
      </c>
      <c r="F6" s="481">
        <v>276</v>
      </c>
      <c r="G6" s="651"/>
      <c r="H6" s="653"/>
      <c r="I6" s="207" t="s">
        <v>88</v>
      </c>
      <c r="J6" s="488">
        <v>79</v>
      </c>
      <c r="K6" s="488">
        <v>0</v>
      </c>
      <c r="L6" s="489">
        <v>90</v>
      </c>
    </row>
    <row r="7" spans="1:12" ht="15.75" customHeight="1">
      <c r="A7" s="647"/>
      <c r="B7" s="659"/>
      <c r="C7" s="505" t="s">
        <v>131</v>
      </c>
      <c r="D7" s="480">
        <v>196</v>
      </c>
      <c r="E7" s="480">
        <v>0</v>
      </c>
      <c r="F7" s="481">
        <v>262</v>
      </c>
      <c r="G7" s="651"/>
      <c r="H7" s="653"/>
      <c r="I7" s="207" t="s">
        <v>84</v>
      </c>
      <c r="J7" s="488">
        <v>75</v>
      </c>
      <c r="K7" s="488">
        <v>1</v>
      </c>
      <c r="L7" s="489">
        <v>96</v>
      </c>
    </row>
    <row r="8" spans="1:12" ht="15.75" customHeight="1">
      <c r="A8" s="647"/>
      <c r="B8" s="659"/>
      <c r="C8" s="505" t="s">
        <v>25</v>
      </c>
      <c r="D8" s="480">
        <v>40</v>
      </c>
      <c r="E8" s="480">
        <v>0</v>
      </c>
      <c r="F8" s="481">
        <v>44</v>
      </c>
      <c r="G8" s="651"/>
      <c r="H8" s="653"/>
      <c r="I8" s="207" t="s">
        <v>9</v>
      </c>
      <c r="J8" s="488">
        <v>25</v>
      </c>
      <c r="K8" s="488">
        <v>0</v>
      </c>
      <c r="L8" s="489">
        <v>28</v>
      </c>
    </row>
    <row r="9" spans="1:12" ht="15.75" customHeight="1">
      <c r="A9" s="647"/>
      <c r="B9" s="659"/>
      <c r="C9" s="505" t="s">
        <v>199</v>
      </c>
      <c r="D9" s="480">
        <v>131</v>
      </c>
      <c r="E9" s="480">
        <v>2</v>
      </c>
      <c r="F9" s="481">
        <v>158</v>
      </c>
      <c r="G9" s="651"/>
      <c r="H9" s="653"/>
      <c r="I9" s="207" t="s">
        <v>159</v>
      </c>
      <c r="J9" s="488">
        <v>5</v>
      </c>
      <c r="K9" s="488">
        <v>0</v>
      </c>
      <c r="L9" s="489">
        <v>5</v>
      </c>
    </row>
    <row r="10" spans="1:12" ht="15.75" customHeight="1">
      <c r="A10" s="647"/>
      <c r="B10" s="659"/>
      <c r="C10" s="505" t="s">
        <v>129</v>
      </c>
      <c r="D10" s="480">
        <v>178</v>
      </c>
      <c r="E10" s="480">
        <v>0</v>
      </c>
      <c r="F10" s="481">
        <v>220</v>
      </c>
      <c r="G10" s="651"/>
      <c r="H10" s="653"/>
      <c r="I10" s="207" t="s">
        <v>272</v>
      </c>
      <c r="J10" s="488">
        <v>1</v>
      </c>
      <c r="K10" s="488">
        <v>0</v>
      </c>
      <c r="L10" s="489">
        <v>1</v>
      </c>
    </row>
    <row r="11" spans="1:12" ht="15.75" customHeight="1">
      <c r="A11" s="647"/>
      <c r="B11" s="659"/>
      <c r="C11" s="505" t="s">
        <v>139</v>
      </c>
      <c r="D11" s="480">
        <v>194</v>
      </c>
      <c r="E11" s="480">
        <v>1</v>
      </c>
      <c r="F11" s="481">
        <v>244</v>
      </c>
      <c r="G11" s="651"/>
      <c r="H11" s="653"/>
      <c r="I11" s="207" t="s">
        <v>146</v>
      </c>
      <c r="J11" s="488">
        <v>0</v>
      </c>
      <c r="K11" s="488">
        <v>0</v>
      </c>
      <c r="L11" s="489">
        <v>0</v>
      </c>
    </row>
    <row r="12" spans="1:12" ht="15.75" customHeight="1">
      <c r="A12" s="647"/>
      <c r="B12" s="659"/>
      <c r="C12" s="505" t="s">
        <v>248</v>
      </c>
      <c r="D12" s="480">
        <v>42</v>
      </c>
      <c r="E12" s="480">
        <v>0</v>
      </c>
      <c r="F12" s="481">
        <v>48</v>
      </c>
      <c r="G12" s="651"/>
      <c r="H12" s="653" t="s">
        <v>134</v>
      </c>
      <c r="I12" s="205" t="s">
        <v>61</v>
      </c>
      <c r="J12" s="488">
        <v>26</v>
      </c>
      <c r="K12" s="488">
        <v>0</v>
      </c>
      <c r="L12" s="489">
        <v>28</v>
      </c>
    </row>
    <row r="13" spans="1:12" ht="15.75" customHeight="1">
      <c r="A13" s="647"/>
      <c r="B13" s="659"/>
      <c r="C13" s="505" t="s">
        <v>113</v>
      </c>
      <c r="D13" s="480">
        <v>274</v>
      </c>
      <c r="E13" s="480">
        <v>0</v>
      </c>
      <c r="F13" s="481">
        <v>349</v>
      </c>
      <c r="G13" s="651"/>
      <c r="H13" s="653"/>
      <c r="I13" s="205" t="s">
        <v>83</v>
      </c>
      <c r="J13" s="480">
        <v>17</v>
      </c>
      <c r="K13" s="480">
        <v>0</v>
      </c>
      <c r="L13" s="485">
        <v>24</v>
      </c>
    </row>
    <row r="14" spans="1:12" ht="15.75" customHeight="1">
      <c r="A14" s="647"/>
      <c r="B14" s="659"/>
      <c r="C14" s="505" t="s">
        <v>217</v>
      </c>
      <c r="D14" s="480">
        <v>496</v>
      </c>
      <c r="E14" s="480">
        <v>1</v>
      </c>
      <c r="F14" s="481">
        <v>602</v>
      </c>
      <c r="G14" s="651"/>
      <c r="H14" s="653"/>
      <c r="I14" s="205" t="s">
        <v>140</v>
      </c>
      <c r="J14" s="488">
        <v>22</v>
      </c>
      <c r="K14" s="488">
        <v>0</v>
      </c>
      <c r="L14" s="489">
        <v>25</v>
      </c>
    </row>
    <row r="15" spans="1:12" ht="15.75" customHeight="1">
      <c r="A15" s="647"/>
      <c r="B15" s="649" t="s">
        <v>273</v>
      </c>
      <c r="C15" s="207" t="s">
        <v>158</v>
      </c>
      <c r="D15" s="480">
        <v>179</v>
      </c>
      <c r="E15" s="480">
        <v>1</v>
      </c>
      <c r="F15" s="481">
        <v>221</v>
      </c>
      <c r="G15" s="651"/>
      <c r="H15" s="653"/>
      <c r="I15" s="205" t="s">
        <v>124</v>
      </c>
      <c r="J15" s="488">
        <v>56</v>
      </c>
      <c r="K15" s="488">
        <v>0</v>
      </c>
      <c r="L15" s="489">
        <v>69</v>
      </c>
    </row>
    <row r="16" spans="1:12" ht="15.75" customHeight="1">
      <c r="A16" s="647"/>
      <c r="B16" s="649"/>
      <c r="C16" s="207" t="s">
        <v>154</v>
      </c>
      <c r="D16" s="480">
        <v>252</v>
      </c>
      <c r="E16" s="480">
        <v>2</v>
      </c>
      <c r="F16" s="481">
        <v>310</v>
      </c>
      <c r="G16" s="651"/>
      <c r="H16" s="653"/>
      <c r="I16" s="205" t="s">
        <v>87</v>
      </c>
      <c r="J16" s="488">
        <v>32</v>
      </c>
      <c r="K16" s="488">
        <v>0</v>
      </c>
      <c r="L16" s="489">
        <v>48</v>
      </c>
    </row>
    <row r="17" spans="1:12" ht="15.75" customHeight="1">
      <c r="A17" s="647"/>
      <c r="B17" s="649"/>
      <c r="C17" s="207" t="s">
        <v>10</v>
      </c>
      <c r="D17" s="480">
        <v>125</v>
      </c>
      <c r="E17" s="480">
        <v>0</v>
      </c>
      <c r="F17" s="481">
        <v>144</v>
      </c>
      <c r="G17" s="651"/>
      <c r="H17" s="653"/>
      <c r="I17" s="205" t="s">
        <v>1</v>
      </c>
      <c r="J17" s="488">
        <v>39</v>
      </c>
      <c r="K17" s="488">
        <v>1</v>
      </c>
      <c r="L17" s="489">
        <v>46</v>
      </c>
    </row>
    <row r="18" spans="1:12" ht="15.75" customHeight="1">
      <c r="A18" s="647"/>
      <c r="B18" s="649"/>
      <c r="C18" s="207" t="s">
        <v>99</v>
      </c>
      <c r="D18" s="480">
        <v>122</v>
      </c>
      <c r="E18" s="480">
        <v>1</v>
      </c>
      <c r="F18" s="481">
        <v>146</v>
      </c>
      <c r="G18" s="651"/>
      <c r="H18" s="653"/>
      <c r="I18" s="205" t="s">
        <v>173</v>
      </c>
      <c r="J18" s="488">
        <v>23</v>
      </c>
      <c r="K18" s="488">
        <v>0</v>
      </c>
      <c r="L18" s="489">
        <v>26</v>
      </c>
    </row>
    <row r="19" spans="1:12" ht="15.75" customHeight="1">
      <c r="A19" s="647"/>
      <c r="B19" s="649"/>
      <c r="C19" s="207" t="s">
        <v>196</v>
      </c>
      <c r="D19" s="480">
        <v>60</v>
      </c>
      <c r="E19" s="480">
        <v>1</v>
      </c>
      <c r="F19" s="481">
        <v>65</v>
      </c>
      <c r="G19" s="651"/>
      <c r="H19" s="653"/>
      <c r="I19" s="205" t="s">
        <v>177</v>
      </c>
      <c r="J19" s="488">
        <v>24</v>
      </c>
      <c r="K19" s="488">
        <v>1</v>
      </c>
      <c r="L19" s="489">
        <v>26</v>
      </c>
    </row>
    <row r="20" spans="1:12" ht="15.75" customHeight="1">
      <c r="A20" s="647"/>
      <c r="B20" s="649"/>
      <c r="C20" s="207" t="s">
        <v>36</v>
      </c>
      <c r="D20" s="480">
        <v>194</v>
      </c>
      <c r="E20" s="480">
        <v>1</v>
      </c>
      <c r="F20" s="481">
        <v>245</v>
      </c>
      <c r="G20" s="651"/>
      <c r="H20" s="653"/>
      <c r="I20" s="205" t="s">
        <v>114</v>
      </c>
      <c r="J20" s="488">
        <v>18</v>
      </c>
      <c r="K20" s="488">
        <v>0</v>
      </c>
      <c r="L20" s="489">
        <v>25</v>
      </c>
    </row>
    <row r="21" spans="1:12" ht="15.75" customHeight="1">
      <c r="A21" s="647"/>
      <c r="B21" s="649"/>
      <c r="C21" s="207" t="s">
        <v>188</v>
      </c>
      <c r="D21" s="480">
        <v>212</v>
      </c>
      <c r="E21" s="480">
        <v>3</v>
      </c>
      <c r="F21" s="481">
        <v>259</v>
      </c>
      <c r="G21" s="651"/>
      <c r="H21" s="653"/>
      <c r="I21" s="205" t="s">
        <v>235</v>
      </c>
      <c r="J21" s="488">
        <v>9</v>
      </c>
      <c r="K21" s="488">
        <v>0</v>
      </c>
      <c r="L21" s="489">
        <v>9</v>
      </c>
    </row>
    <row r="22" spans="1:12" ht="15.75" customHeight="1">
      <c r="A22" s="647"/>
      <c r="B22" s="649"/>
      <c r="C22" s="207" t="s">
        <v>263</v>
      </c>
      <c r="D22" s="480">
        <v>217</v>
      </c>
      <c r="E22" s="480">
        <v>0</v>
      </c>
      <c r="F22" s="481">
        <v>254</v>
      </c>
      <c r="G22" s="651"/>
      <c r="H22" s="653"/>
      <c r="I22" s="205" t="s">
        <v>20</v>
      </c>
      <c r="J22" s="488">
        <v>24</v>
      </c>
      <c r="K22" s="488">
        <v>0</v>
      </c>
      <c r="L22" s="489">
        <v>34</v>
      </c>
    </row>
    <row r="23" spans="1:12" ht="15.75" customHeight="1">
      <c r="A23" s="647"/>
      <c r="B23" s="649"/>
      <c r="C23" s="207" t="s">
        <v>133</v>
      </c>
      <c r="D23" s="480">
        <v>129</v>
      </c>
      <c r="E23" s="480">
        <v>1</v>
      </c>
      <c r="F23" s="481">
        <v>150</v>
      </c>
      <c r="G23" s="651"/>
      <c r="H23" s="653"/>
      <c r="I23" s="205" t="s">
        <v>230</v>
      </c>
      <c r="J23" s="488">
        <v>5</v>
      </c>
      <c r="K23" s="488">
        <v>0</v>
      </c>
      <c r="L23" s="489">
        <v>5</v>
      </c>
    </row>
    <row r="24" spans="1:12" ht="15.75" customHeight="1">
      <c r="A24" s="647"/>
      <c r="B24" s="649"/>
      <c r="C24" s="207" t="s">
        <v>144</v>
      </c>
      <c r="D24" s="480">
        <v>19</v>
      </c>
      <c r="E24" s="480">
        <v>0</v>
      </c>
      <c r="F24" s="481">
        <v>22</v>
      </c>
      <c r="G24" s="651"/>
      <c r="H24" s="653"/>
      <c r="I24" s="205" t="s">
        <v>175</v>
      </c>
      <c r="J24" s="488">
        <v>6</v>
      </c>
      <c r="K24" s="488">
        <v>0</v>
      </c>
      <c r="L24" s="489">
        <v>8</v>
      </c>
    </row>
    <row r="25" spans="1:12" ht="15.75" customHeight="1">
      <c r="A25" s="647"/>
      <c r="B25" s="649"/>
      <c r="C25" s="207" t="s">
        <v>160</v>
      </c>
      <c r="D25" s="480">
        <v>7</v>
      </c>
      <c r="E25" s="480">
        <v>0</v>
      </c>
      <c r="F25" s="481">
        <v>7</v>
      </c>
      <c r="G25" s="651"/>
      <c r="H25" s="653"/>
      <c r="I25" s="205" t="s">
        <v>17</v>
      </c>
      <c r="J25" s="488">
        <v>29</v>
      </c>
      <c r="K25" s="488">
        <v>0</v>
      </c>
      <c r="L25" s="489">
        <v>33</v>
      </c>
    </row>
    <row r="26" spans="1:12" ht="15.75" customHeight="1">
      <c r="A26" s="647"/>
      <c r="B26" s="649"/>
      <c r="C26" s="207" t="s">
        <v>179</v>
      </c>
      <c r="D26" s="480">
        <v>43</v>
      </c>
      <c r="E26" s="480">
        <v>0</v>
      </c>
      <c r="F26" s="481">
        <v>47</v>
      </c>
      <c r="G26" s="651"/>
      <c r="H26" s="653"/>
      <c r="I26" s="205" t="s">
        <v>94</v>
      </c>
      <c r="J26" s="488">
        <v>3</v>
      </c>
      <c r="K26" s="488">
        <v>0</v>
      </c>
      <c r="L26" s="489">
        <v>3</v>
      </c>
    </row>
    <row r="27" spans="1:12" ht="15.75" customHeight="1">
      <c r="A27" s="647"/>
      <c r="B27" s="649"/>
      <c r="C27" s="207" t="s">
        <v>84</v>
      </c>
      <c r="D27" s="480">
        <v>65</v>
      </c>
      <c r="E27" s="480">
        <v>0</v>
      </c>
      <c r="F27" s="481">
        <v>72</v>
      </c>
      <c r="G27" s="651"/>
      <c r="H27" s="653"/>
      <c r="I27" s="205" t="s">
        <v>258</v>
      </c>
      <c r="J27" s="488">
        <v>20</v>
      </c>
      <c r="K27" s="488">
        <v>0</v>
      </c>
      <c r="L27" s="489">
        <v>23</v>
      </c>
    </row>
    <row r="28" spans="1:12" ht="15.75" customHeight="1">
      <c r="A28" s="647"/>
      <c r="B28" s="649"/>
      <c r="C28" s="207" t="s">
        <v>225</v>
      </c>
      <c r="D28" s="480">
        <v>170</v>
      </c>
      <c r="E28" s="480">
        <v>0</v>
      </c>
      <c r="F28" s="481">
        <v>201</v>
      </c>
      <c r="G28" s="651"/>
      <c r="H28" s="653"/>
      <c r="I28" s="205" t="s">
        <v>21</v>
      </c>
      <c r="J28" s="488">
        <v>24</v>
      </c>
      <c r="K28" s="488">
        <v>0</v>
      </c>
      <c r="L28" s="489">
        <v>24</v>
      </c>
    </row>
    <row r="29" spans="1:12" ht="15.75" customHeight="1">
      <c r="A29" s="647"/>
      <c r="B29" s="649"/>
      <c r="C29" s="207" t="s">
        <v>171</v>
      </c>
      <c r="D29" s="480">
        <v>300</v>
      </c>
      <c r="E29" s="480">
        <v>0</v>
      </c>
      <c r="F29" s="481">
        <v>356</v>
      </c>
      <c r="G29" s="651"/>
      <c r="H29" s="653"/>
      <c r="I29" s="205" t="s">
        <v>228</v>
      </c>
      <c r="J29" s="488">
        <v>16</v>
      </c>
      <c r="K29" s="488">
        <v>0</v>
      </c>
      <c r="L29" s="489">
        <v>18</v>
      </c>
    </row>
    <row r="30" spans="1:12" ht="15.75" customHeight="1">
      <c r="A30" s="647"/>
      <c r="B30" s="649"/>
      <c r="C30" s="207" t="s">
        <v>0</v>
      </c>
      <c r="D30" s="480">
        <v>107</v>
      </c>
      <c r="E30" s="480">
        <v>1</v>
      </c>
      <c r="F30" s="481">
        <v>123</v>
      </c>
      <c r="G30" s="651"/>
      <c r="H30" s="653"/>
      <c r="I30" s="205" t="s">
        <v>262</v>
      </c>
      <c r="J30" s="488">
        <v>0</v>
      </c>
      <c r="K30" s="488">
        <v>0</v>
      </c>
      <c r="L30" s="489">
        <v>0</v>
      </c>
    </row>
    <row r="31" spans="1:12" ht="15.75" customHeight="1">
      <c r="A31" s="647"/>
      <c r="B31" s="649"/>
      <c r="C31" s="207" t="s">
        <v>101</v>
      </c>
      <c r="D31" s="480">
        <v>61</v>
      </c>
      <c r="E31" s="480">
        <v>0</v>
      </c>
      <c r="F31" s="481">
        <v>71</v>
      </c>
      <c r="G31" s="651"/>
      <c r="H31" s="653"/>
      <c r="I31" s="205" t="s">
        <v>63</v>
      </c>
      <c r="J31" s="488">
        <v>15</v>
      </c>
      <c r="K31" s="488">
        <v>0</v>
      </c>
      <c r="L31" s="489">
        <v>19</v>
      </c>
    </row>
    <row r="32" spans="1:12" ht="15.75" customHeight="1">
      <c r="A32" s="647"/>
      <c r="B32" s="649"/>
      <c r="C32" s="207" t="s">
        <v>231</v>
      </c>
      <c r="D32" s="480">
        <v>82</v>
      </c>
      <c r="E32" s="480">
        <v>0</v>
      </c>
      <c r="F32" s="481">
        <v>96</v>
      </c>
      <c r="G32" s="651"/>
      <c r="H32" s="653"/>
      <c r="I32" s="205" t="s">
        <v>152</v>
      </c>
      <c r="J32" s="488">
        <v>19</v>
      </c>
      <c r="K32" s="488">
        <v>0</v>
      </c>
      <c r="L32" s="489">
        <v>21</v>
      </c>
    </row>
    <row r="33" spans="1:12" ht="15.75" customHeight="1">
      <c r="A33" s="647"/>
      <c r="B33" s="649"/>
      <c r="C33" s="207" t="s">
        <v>195</v>
      </c>
      <c r="D33" s="480">
        <v>37</v>
      </c>
      <c r="E33" s="480">
        <v>1</v>
      </c>
      <c r="F33" s="481">
        <v>45</v>
      </c>
      <c r="G33" s="651"/>
      <c r="H33" s="653"/>
      <c r="I33" s="205" t="s">
        <v>181</v>
      </c>
      <c r="J33" s="488">
        <v>54</v>
      </c>
      <c r="K33" s="488">
        <v>0</v>
      </c>
      <c r="L33" s="489">
        <v>64</v>
      </c>
    </row>
    <row r="34" spans="1:12" ht="15.75" customHeight="1">
      <c r="A34" s="647"/>
      <c r="B34" s="649"/>
      <c r="C34" s="207" t="s">
        <v>203</v>
      </c>
      <c r="D34" s="480">
        <v>320</v>
      </c>
      <c r="E34" s="480">
        <v>1</v>
      </c>
      <c r="F34" s="481">
        <v>394</v>
      </c>
      <c r="G34" s="651"/>
      <c r="H34" s="653"/>
      <c r="I34" s="205" t="s">
        <v>222</v>
      </c>
      <c r="J34" s="488">
        <v>8</v>
      </c>
      <c r="K34" s="488">
        <v>0</v>
      </c>
      <c r="L34" s="489">
        <v>9</v>
      </c>
    </row>
    <row r="35" spans="1:12" ht="15.75" customHeight="1">
      <c r="A35" s="647"/>
      <c r="B35" s="649"/>
      <c r="C35" s="207" t="s">
        <v>178</v>
      </c>
      <c r="D35" s="480">
        <v>156</v>
      </c>
      <c r="E35" s="480">
        <v>0</v>
      </c>
      <c r="F35" s="481">
        <v>200</v>
      </c>
      <c r="G35" s="651"/>
      <c r="H35" s="653"/>
      <c r="I35" s="205" t="s">
        <v>172</v>
      </c>
      <c r="J35" s="488">
        <v>33</v>
      </c>
      <c r="K35" s="488">
        <v>0</v>
      </c>
      <c r="L35" s="489">
        <v>38</v>
      </c>
    </row>
    <row r="36" spans="1:12" ht="15.75" customHeight="1">
      <c r="A36" s="647"/>
      <c r="B36" s="649"/>
      <c r="C36" s="207" t="s">
        <v>221</v>
      </c>
      <c r="D36" s="480">
        <v>87</v>
      </c>
      <c r="E36" s="480">
        <v>0</v>
      </c>
      <c r="F36" s="481">
        <v>100</v>
      </c>
      <c r="G36" s="651"/>
      <c r="H36" s="653"/>
      <c r="I36" s="205" t="s">
        <v>12</v>
      </c>
      <c r="J36" s="488">
        <v>7</v>
      </c>
      <c r="K36" s="488">
        <v>1</v>
      </c>
      <c r="L36" s="489">
        <v>6</v>
      </c>
    </row>
    <row r="37" spans="1:12" ht="15.75" customHeight="1">
      <c r="A37" s="647"/>
      <c r="B37" s="649"/>
      <c r="C37" s="207" t="s">
        <v>244</v>
      </c>
      <c r="D37" s="480">
        <v>27</v>
      </c>
      <c r="E37" s="480">
        <v>0</v>
      </c>
      <c r="F37" s="481">
        <v>28</v>
      </c>
      <c r="G37" s="651"/>
      <c r="H37" s="653"/>
      <c r="I37" s="208" t="s">
        <v>207</v>
      </c>
      <c r="J37" s="488">
        <v>4</v>
      </c>
      <c r="K37" s="488">
        <v>0</v>
      </c>
      <c r="L37" s="489">
        <v>5</v>
      </c>
    </row>
    <row r="38" spans="1:12" ht="15.75" customHeight="1">
      <c r="A38" s="647"/>
      <c r="B38" s="649"/>
      <c r="C38" s="207" t="s">
        <v>141</v>
      </c>
      <c r="D38" s="480">
        <v>109</v>
      </c>
      <c r="E38" s="480">
        <v>0</v>
      </c>
      <c r="F38" s="481">
        <v>132</v>
      </c>
      <c r="G38" s="651"/>
      <c r="H38" s="653"/>
      <c r="I38" s="205" t="s">
        <v>215</v>
      </c>
      <c r="J38" s="488">
        <v>42</v>
      </c>
      <c r="K38" s="488">
        <v>0</v>
      </c>
      <c r="L38" s="489">
        <v>53</v>
      </c>
    </row>
    <row r="39" spans="1:12" ht="15.75" customHeight="1">
      <c r="A39" s="647"/>
      <c r="B39" s="649"/>
      <c r="C39" s="207" t="s">
        <v>91</v>
      </c>
      <c r="D39" s="480">
        <v>47</v>
      </c>
      <c r="E39" s="480">
        <v>1</v>
      </c>
      <c r="F39" s="481">
        <v>59</v>
      </c>
      <c r="G39" s="651"/>
      <c r="H39" s="653"/>
      <c r="I39" s="205" t="s">
        <v>128</v>
      </c>
      <c r="J39" s="488">
        <v>1</v>
      </c>
      <c r="K39" s="488">
        <v>0</v>
      </c>
      <c r="L39" s="489">
        <v>1</v>
      </c>
    </row>
    <row r="40" spans="1:12" ht="15.75" customHeight="1">
      <c r="A40" s="647"/>
      <c r="B40" s="649"/>
      <c r="C40" s="207" t="s">
        <v>105</v>
      </c>
      <c r="D40" s="480">
        <v>30</v>
      </c>
      <c r="E40" s="480">
        <v>0</v>
      </c>
      <c r="F40" s="481">
        <v>32</v>
      </c>
      <c r="G40" s="651"/>
      <c r="H40" s="653"/>
      <c r="I40" s="205" t="s">
        <v>156</v>
      </c>
      <c r="J40" s="488">
        <v>1</v>
      </c>
      <c r="K40" s="488">
        <v>0</v>
      </c>
      <c r="L40" s="489">
        <v>1</v>
      </c>
    </row>
    <row r="41" spans="1:12" ht="15.75" customHeight="1">
      <c r="A41" s="647"/>
      <c r="B41" s="649"/>
      <c r="C41" s="207" t="s">
        <v>185</v>
      </c>
      <c r="D41" s="480">
        <v>64</v>
      </c>
      <c r="E41" s="480">
        <v>0</v>
      </c>
      <c r="F41" s="481">
        <v>70</v>
      </c>
      <c r="G41" s="651"/>
      <c r="H41" s="653"/>
      <c r="I41" s="209" t="s">
        <v>145</v>
      </c>
      <c r="J41" s="488">
        <v>10</v>
      </c>
      <c r="K41" s="488">
        <v>0</v>
      </c>
      <c r="L41" s="489">
        <v>10</v>
      </c>
    </row>
    <row r="42" spans="1:12" ht="15.75" customHeight="1" thickBot="1">
      <c r="A42" s="647"/>
      <c r="B42" s="649"/>
      <c r="C42" s="506" t="s">
        <v>57</v>
      </c>
      <c r="D42" s="482">
        <v>64</v>
      </c>
      <c r="E42" s="482">
        <v>1</v>
      </c>
      <c r="F42" s="483">
        <v>76</v>
      </c>
      <c r="G42" s="652"/>
      <c r="H42" s="654"/>
      <c r="I42" s="209" t="s">
        <v>281</v>
      </c>
      <c r="J42" s="490">
        <v>1</v>
      </c>
      <c r="K42" s="490">
        <v>1</v>
      </c>
      <c r="L42" s="491">
        <v>2</v>
      </c>
    </row>
    <row r="43" spans="1:12" ht="15.75" customHeight="1" thickBot="1">
      <c r="A43" s="648"/>
      <c r="B43" s="650"/>
      <c r="C43" s="507" t="s">
        <v>146</v>
      </c>
      <c r="D43" s="484">
        <v>0</v>
      </c>
      <c r="E43" s="484">
        <v>0</v>
      </c>
      <c r="F43" s="503">
        <v>0</v>
      </c>
      <c r="G43" s="657" t="s">
        <v>51</v>
      </c>
      <c r="H43" s="658"/>
      <c r="I43" s="646"/>
      <c r="J43" s="492">
        <v>7269</v>
      </c>
      <c r="K43" s="492">
        <v>30</v>
      </c>
      <c r="L43" s="493">
        <v>8791</v>
      </c>
    </row>
    <row r="44" spans="1:12" ht="15.75" customHeight="1" thickBot="1">
      <c r="A44" s="404"/>
      <c r="B44" s="405"/>
      <c r="C44" s="198"/>
      <c r="D44" s="198"/>
      <c r="E44" s="198"/>
      <c r="F44" s="198"/>
      <c r="G44" s="645" t="s">
        <v>146</v>
      </c>
      <c r="H44" s="646"/>
      <c r="I44" s="646"/>
      <c r="J44" s="492">
        <v>4904</v>
      </c>
      <c r="K44" s="492">
        <v>19</v>
      </c>
      <c r="L44" s="493">
        <v>5440</v>
      </c>
    </row>
    <row r="45" spans="1:12" ht="15.75" customHeight="1" thickBot="1">
      <c r="A45" s="198"/>
      <c r="B45" s="198"/>
      <c r="C45" s="198"/>
      <c r="D45" s="198"/>
      <c r="E45" s="198"/>
      <c r="F45" s="198"/>
      <c r="G45" s="645" t="s">
        <v>226</v>
      </c>
      <c r="H45" s="646"/>
      <c r="I45" s="646"/>
      <c r="J45" s="508">
        <f>J43+J44</f>
        <v>12173</v>
      </c>
      <c r="K45" s="210">
        <f>K43+K44</f>
        <v>49</v>
      </c>
      <c r="L45" s="211">
        <f>L43+L44</f>
        <v>14231</v>
      </c>
    </row>
    <row r="46" spans="7:10" ht="15.75" customHeight="1">
      <c r="G46" s="212"/>
      <c r="H46" s="212"/>
      <c r="I46" s="212"/>
      <c r="J46" s="212"/>
    </row>
    <row r="47" spans="7:10" ht="15.75" customHeight="1">
      <c r="G47" s="212"/>
      <c r="H47" s="212"/>
      <c r="I47" s="212"/>
      <c r="J47" s="212"/>
    </row>
    <row r="48" spans="7:10" ht="15.75" customHeight="1">
      <c r="G48" s="212"/>
      <c r="H48" s="212"/>
      <c r="I48" s="212"/>
      <c r="J48" s="212"/>
    </row>
    <row r="49" spans="7:10" ht="15.75" customHeight="1">
      <c r="G49" s="212"/>
      <c r="H49" s="212"/>
      <c r="I49" s="212"/>
      <c r="J49" s="212"/>
    </row>
    <row r="50" spans="7:10" ht="15.75" customHeight="1">
      <c r="G50" s="212"/>
      <c r="H50" s="212"/>
      <c r="I50" s="212"/>
      <c r="J50" s="212"/>
    </row>
    <row r="51" spans="7:10" ht="15.75" customHeight="1">
      <c r="G51" s="212"/>
      <c r="H51" s="212"/>
      <c r="I51" s="212"/>
      <c r="J51" s="212"/>
    </row>
    <row r="52" spans="7:10" ht="15.75" customHeight="1">
      <c r="G52" s="212"/>
      <c r="H52" s="212"/>
      <c r="I52" s="212"/>
      <c r="J52" s="212"/>
    </row>
    <row r="53" spans="7:10" ht="15.75" customHeight="1">
      <c r="G53" s="212"/>
      <c r="H53" s="212"/>
      <c r="I53" s="212"/>
      <c r="J53" s="212"/>
    </row>
    <row r="54" spans="7:10" ht="15.75" customHeight="1">
      <c r="G54" s="212"/>
      <c r="H54" s="212"/>
      <c r="I54" s="212"/>
      <c r="J54" s="212"/>
    </row>
    <row r="55" spans="7:10" ht="15.75" customHeight="1">
      <c r="G55" s="212"/>
      <c r="H55" s="212"/>
      <c r="I55" s="212"/>
      <c r="J55" s="212"/>
    </row>
    <row r="56" spans="7:10" ht="15.75" customHeight="1">
      <c r="G56" s="212"/>
      <c r="H56" s="212"/>
      <c r="I56" s="212"/>
      <c r="J56" s="212"/>
    </row>
    <row r="57" spans="7:10" ht="15.75" customHeight="1">
      <c r="G57" s="212"/>
      <c r="H57" s="212"/>
      <c r="I57" s="212"/>
      <c r="J57" s="212"/>
    </row>
    <row r="58" spans="7:10" ht="15.75" customHeight="1">
      <c r="G58" s="212"/>
      <c r="H58" s="212"/>
      <c r="I58" s="212"/>
      <c r="J58" s="212"/>
    </row>
    <row r="59" spans="7:10" ht="15.75" customHeight="1">
      <c r="G59" s="212"/>
      <c r="H59" s="212"/>
      <c r="I59" s="212"/>
      <c r="J59" s="212"/>
    </row>
    <row r="60" spans="7:10" ht="15.75" customHeight="1">
      <c r="G60" s="212"/>
      <c r="H60" s="212"/>
      <c r="I60" s="212"/>
      <c r="J60" s="212"/>
    </row>
    <row r="61" spans="7:10" ht="15.75" customHeight="1">
      <c r="G61" s="212"/>
      <c r="H61" s="212"/>
      <c r="I61" s="212"/>
      <c r="J61" s="212"/>
    </row>
    <row r="62" spans="7:10" ht="15.75" customHeight="1">
      <c r="G62" s="212"/>
      <c r="H62" s="212"/>
      <c r="I62" s="212"/>
      <c r="J62" s="212"/>
    </row>
    <row r="63" spans="7:10" ht="15.75" customHeight="1">
      <c r="G63" s="212"/>
      <c r="H63" s="212"/>
      <c r="I63" s="212"/>
      <c r="J63" s="212"/>
    </row>
    <row r="64" spans="7:10" ht="15.75" customHeight="1">
      <c r="G64" s="212"/>
      <c r="H64" s="212"/>
      <c r="I64" s="212"/>
      <c r="J64" s="212"/>
    </row>
    <row r="65" spans="7:10" ht="15.75" customHeight="1">
      <c r="G65" s="212"/>
      <c r="H65" s="212"/>
      <c r="I65" s="212"/>
      <c r="J65" s="212"/>
    </row>
    <row r="66" spans="7:10" ht="15.75" customHeight="1">
      <c r="G66" s="212"/>
      <c r="H66" s="212"/>
      <c r="I66" s="212"/>
      <c r="J66" s="212"/>
    </row>
    <row r="67" spans="7:10" ht="15.75" customHeight="1">
      <c r="G67" s="212"/>
      <c r="H67" s="212"/>
      <c r="I67" s="212"/>
      <c r="J67" s="212"/>
    </row>
    <row r="68" spans="7:10" ht="15.75" customHeight="1">
      <c r="G68" s="212"/>
      <c r="H68" s="212"/>
      <c r="I68" s="212"/>
      <c r="J68" s="212"/>
    </row>
    <row r="69" spans="7:10" ht="15.75" customHeight="1">
      <c r="G69" s="212"/>
      <c r="H69" s="212"/>
      <c r="I69" s="212"/>
      <c r="J69" s="212"/>
    </row>
    <row r="70" spans="7:10" ht="15.75" customHeight="1">
      <c r="G70" s="212"/>
      <c r="H70" s="212"/>
      <c r="I70" s="212"/>
      <c r="J70" s="212"/>
    </row>
    <row r="71" spans="7:10" ht="15.75" customHeight="1">
      <c r="G71" s="212"/>
      <c r="H71" s="212"/>
      <c r="I71" s="212"/>
      <c r="J71" s="212"/>
    </row>
    <row r="72" spans="7:10" ht="15.75" customHeight="1">
      <c r="G72" s="212"/>
      <c r="H72" s="212"/>
      <c r="I72" s="212"/>
      <c r="J72" s="212"/>
    </row>
    <row r="73" spans="7:10" ht="15.75" customHeight="1">
      <c r="G73" s="212"/>
      <c r="H73" s="212"/>
      <c r="I73" s="212"/>
      <c r="J73" s="212"/>
    </row>
    <row r="74" spans="7:10" ht="15.75" customHeight="1">
      <c r="G74" s="212"/>
      <c r="H74" s="212"/>
      <c r="I74" s="212"/>
      <c r="J74" s="212"/>
    </row>
    <row r="75" spans="7:10" ht="15.75" customHeight="1">
      <c r="G75" s="212"/>
      <c r="H75" s="212"/>
      <c r="I75" s="212"/>
      <c r="J75" s="212"/>
    </row>
    <row r="76" spans="7:10" ht="15.75" customHeight="1">
      <c r="G76" s="212"/>
      <c r="H76" s="212"/>
      <c r="I76" s="212"/>
      <c r="J76" s="212"/>
    </row>
    <row r="77" spans="7:10" ht="15.75" customHeight="1">
      <c r="G77" s="212"/>
      <c r="H77" s="212"/>
      <c r="I77" s="212"/>
      <c r="J77" s="212"/>
    </row>
    <row r="78" spans="7:10" ht="15.75" customHeight="1">
      <c r="G78" s="212"/>
      <c r="H78" s="212"/>
      <c r="I78" s="212"/>
      <c r="J78" s="212"/>
    </row>
    <row r="79" spans="7:10" ht="15.75" customHeight="1">
      <c r="G79" s="212"/>
      <c r="H79" s="212"/>
      <c r="I79" s="212"/>
      <c r="J79" s="212"/>
    </row>
    <row r="80" spans="7:10" ht="15.75" customHeight="1">
      <c r="G80" s="212"/>
      <c r="H80" s="212"/>
      <c r="I80" s="212"/>
      <c r="J80" s="212"/>
    </row>
    <row r="81" spans="7:10" ht="15.75" customHeight="1">
      <c r="G81" s="212"/>
      <c r="H81" s="212"/>
      <c r="I81" s="212"/>
      <c r="J81" s="212"/>
    </row>
    <row r="82" spans="7:10" ht="15.75" customHeight="1">
      <c r="G82" s="212"/>
      <c r="H82" s="212"/>
      <c r="I82" s="212"/>
      <c r="J82" s="212"/>
    </row>
    <row r="83" spans="7:10" ht="25.5" customHeight="1">
      <c r="G83" s="212"/>
      <c r="H83" s="212"/>
      <c r="I83" s="212"/>
      <c r="J83" s="212"/>
    </row>
    <row r="84" spans="7:10" ht="28.5" customHeight="1">
      <c r="G84" s="212"/>
      <c r="H84" s="212"/>
      <c r="I84" s="212"/>
      <c r="J84" s="212"/>
    </row>
    <row r="85" spans="7:10" ht="15.75" customHeight="1">
      <c r="G85" s="212"/>
      <c r="H85" s="212"/>
      <c r="I85" s="212"/>
      <c r="J85" s="212"/>
    </row>
    <row r="86" spans="1:10" ht="13.5">
      <c r="A86" s="212"/>
      <c r="B86" s="212"/>
      <c r="G86" s="212"/>
      <c r="H86" s="212"/>
      <c r="I86" s="212"/>
      <c r="J86" s="212"/>
    </row>
    <row r="87" spans="1:10" ht="13.5">
      <c r="A87" s="212"/>
      <c r="B87" s="212"/>
      <c r="C87" s="212"/>
      <c r="D87" s="212"/>
      <c r="E87" s="212"/>
      <c r="F87" s="212"/>
      <c r="G87" s="212"/>
      <c r="H87" s="212"/>
      <c r="I87" s="212"/>
      <c r="J87" s="212"/>
    </row>
    <row r="88" spans="1:10" ht="13.5">
      <c r="A88" s="212"/>
      <c r="B88" s="212"/>
      <c r="C88" s="212"/>
      <c r="D88" s="212"/>
      <c r="E88" s="212"/>
      <c r="F88" s="212"/>
      <c r="G88" s="212"/>
      <c r="H88" s="212"/>
      <c r="I88" s="212"/>
      <c r="J88" s="212"/>
    </row>
    <row r="89" spans="1:10" ht="13.5">
      <c r="A89" s="212"/>
      <c r="B89" s="212"/>
      <c r="C89" s="212"/>
      <c r="D89" s="212"/>
      <c r="E89" s="212"/>
      <c r="F89" s="212"/>
      <c r="G89" s="212"/>
      <c r="H89" s="212"/>
      <c r="I89" s="212"/>
      <c r="J89" s="212"/>
    </row>
    <row r="90" spans="1:10" ht="13.5">
      <c r="A90" s="212"/>
      <c r="B90" s="212"/>
      <c r="C90" s="212"/>
      <c r="D90" s="212"/>
      <c r="E90" s="212"/>
      <c r="F90" s="212"/>
      <c r="G90" s="212"/>
      <c r="H90" s="212"/>
      <c r="I90" s="212"/>
      <c r="J90" s="212"/>
    </row>
    <row r="91" spans="1:10" ht="13.5">
      <c r="A91" s="212"/>
      <c r="B91" s="212"/>
      <c r="C91" s="212"/>
      <c r="D91" s="212"/>
      <c r="E91" s="212"/>
      <c r="F91" s="212"/>
      <c r="G91" s="212"/>
      <c r="H91" s="212"/>
      <c r="I91" s="212"/>
      <c r="J91" s="212"/>
    </row>
    <row r="92" spans="1:10" ht="13.5">
      <c r="A92" s="212"/>
      <c r="B92" s="212"/>
      <c r="C92" s="212"/>
      <c r="D92" s="212"/>
      <c r="E92" s="212"/>
      <c r="F92" s="212"/>
      <c r="G92" s="212"/>
      <c r="H92" s="212"/>
      <c r="I92" s="212"/>
      <c r="J92" s="212"/>
    </row>
    <row r="93" spans="1:10" ht="13.5">
      <c r="A93" s="212"/>
      <c r="B93" s="212"/>
      <c r="C93" s="212"/>
      <c r="D93" s="212"/>
      <c r="E93" s="212"/>
      <c r="F93" s="212"/>
      <c r="G93" s="212"/>
      <c r="H93" s="212"/>
      <c r="I93" s="212"/>
      <c r="J93" s="212"/>
    </row>
    <row r="94" spans="1:10" ht="13.5">
      <c r="A94" s="212"/>
      <c r="B94" s="212"/>
      <c r="C94" s="212"/>
      <c r="D94" s="212"/>
      <c r="E94" s="212"/>
      <c r="F94" s="212"/>
      <c r="G94" s="212"/>
      <c r="H94" s="212"/>
      <c r="I94" s="212"/>
      <c r="J94" s="212"/>
    </row>
    <row r="95" spans="1:10" ht="13.5">
      <c r="A95" s="212"/>
      <c r="B95" s="212"/>
      <c r="C95" s="212"/>
      <c r="D95" s="212"/>
      <c r="E95" s="212"/>
      <c r="F95" s="212"/>
      <c r="G95" s="212"/>
      <c r="H95" s="212"/>
      <c r="I95" s="212"/>
      <c r="J95" s="212"/>
    </row>
    <row r="96" spans="1:10" ht="13.5">
      <c r="A96" s="212"/>
      <c r="B96" s="212"/>
      <c r="C96" s="212"/>
      <c r="D96" s="212"/>
      <c r="E96" s="212"/>
      <c r="F96" s="212"/>
      <c r="G96" s="212"/>
      <c r="H96" s="212"/>
      <c r="I96" s="212"/>
      <c r="J96" s="212"/>
    </row>
    <row r="97" spans="1:10" ht="13.5">
      <c r="A97" s="212"/>
      <c r="B97" s="212"/>
      <c r="C97" s="212"/>
      <c r="D97" s="212"/>
      <c r="E97" s="212"/>
      <c r="F97" s="212"/>
      <c r="G97" s="212"/>
      <c r="H97" s="212"/>
      <c r="I97" s="212"/>
      <c r="J97" s="212"/>
    </row>
    <row r="98" spans="1:10" ht="13.5">
      <c r="A98" s="212"/>
      <c r="B98" s="212"/>
      <c r="C98" s="212"/>
      <c r="D98" s="212"/>
      <c r="E98" s="212"/>
      <c r="F98" s="212"/>
      <c r="G98" s="212"/>
      <c r="H98" s="212"/>
      <c r="I98" s="212"/>
      <c r="J98" s="212"/>
    </row>
    <row r="99" spans="1:10" ht="13.5">
      <c r="A99" s="212"/>
      <c r="B99" s="212"/>
      <c r="C99" s="212"/>
      <c r="D99" s="212"/>
      <c r="E99" s="212"/>
      <c r="F99" s="212"/>
      <c r="G99" s="212"/>
      <c r="H99" s="212"/>
      <c r="I99" s="212"/>
      <c r="J99" s="212"/>
    </row>
    <row r="100" spans="1:10" ht="13.5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</row>
    <row r="101" spans="1:10" ht="13.5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</row>
    <row r="102" spans="1:10" ht="13.5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</row>
    <row r="103" spans="1:10" ht="13.5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</row>
    <row r="104" spans="1:10" ht="13.5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</row>
    <row r="105" spans="1:10" ht="13.5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</row>
    <row r="106" spans="1:10" ht="13.5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</row>
    <row r="107" spans="1:10" ht="13.5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</row>
    <row r="108" spans="1:10" ht="13.5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</row>
    <row r="109" spans="1:10" ht="13.5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</row>
    <row r="110" spans="1:10" ht="13.5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</row>
    <row r="111" spans="1:10" ht="13.5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</row>
    <row r="112" spans="1:10" ht="13.5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</row>
    <row r="113" spans="1:10" ht="13.5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</row>
    <row r="114" spans="1:10" ht="13.5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</row>
    <row r="115" spans="1:10" ht="13.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</row>
    <row r="116" spans="1:10" ht="13.5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</row>
    <row r="117" spans="1:10" ht="13.5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</row>
    <row r="118" spans="1:10" ht="13.5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</row>
    <row r="119" spans="1:10" ht="13.5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</row>
    <row r="120" spans="1:10" ht="13.5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</row>
    <row r="121" spans="1:10" ht="13.5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</row>
    <row r="122" spans="1:10" ht="13.5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</row>
    <row r="123" spans="1:10" ht="13.5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</row>
    <row r="124" spans="1:10" ht="13.5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</row>
    <row r="125" spans="1:10" ht="13.5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</row>
    <row r="126" spans="1:10" ht="13.5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</row>
    <row r="127" spans="1:10" ht="13.5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</row>
    <row r="128" spans="1:10" ht="13.5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</row>
    <row r="129" spans="1:10" ht="13.5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</row>
    <row r="130" spans="1:10" ht="13.5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</row>
    <row r="131" spans="1:10" ht="13.5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</row>
    <row r="132" spans="1:10" ht="13.5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</row>
    <row r="133" spans="1:10" ht="13.5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</row>
    <row r="134" spans="1:10" ht="13.5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</row>
    <row r="135" spans="1:10" ht="13.5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</row>
    <row r="136" spans="1:10" ht="13.5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</row>
    <row r="137" spans="1:10" ht="13.5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</row>
    <row r="138" spans="1:10" ht="13.5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</row>
    <row r="139" spans="1:10" ht="13.5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</row>
    <row r="140" spans="1:10" ht="13.5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</row>
    <row r="141" spans="1:10" ht="13.5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</row>
    <row r="142" spans="1:10" ht="13.5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</row>
    <row r="143" spans="1:10" ht="13.5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</row>
    <row r="144" spans="1:10" ht="13.5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</row>
    <row r="145" spans="1:10" ht="13.5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</row>
    <row r="146" spans="1:10" ht="13.5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</row>
    <row r="147" spans="1:10" ht="13.5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</row>
    <row r="148" spans="1:10" ht="13.5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</row>
    <row r="149" spans="1:10" ht="13.5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</row>
    <row r="150" spans="1:10" ht="13.5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</row>
    <row r="151" spans="1:10" ht="13.5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</row>
    <row r="152" spans="1:10" ht="13.5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</row>
    <row r="153" spans="1:10" ht="13.5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</row>
    <row r="154" spans="1:10" ht="13.5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3.5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3:10" ht="13.5">
      <c r="C156" s="212"/>
      <c r="D156" s="212"/>
      <c r="E156" s="212"/>
      <c r="F156" s="212"/>
      <c r="G156" s="212"/>
      <c r="H156" s="212"/>
      <c r="I156" s="212"/>
      <c r="J156" s="212"/>
    </row>
  </sheetData>
  <sheetProtection/>
  <mergeCells count="12">
    <mergeCell ref="G1:L1"/>
    <mergeCell ref="B2:C2"/>
    <mergeCell ref="H2:I2"/>
    <mergeCell ref="H3:H11"/>
    <mergeCell ref="G43:I43"/>
    <mergeCell ref="B3:B14"/>
    <mergeCell ref="G44:I44"/>
    <mergeCell ref="G45:I45"/>
    <mergeCell ref="A3:A43"/>
    <mergeCell ref="B15:B43"/>
    <mergeCell ref="G3:G42"/>
    <mergeCell ref="H12:H4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&amp;C-8-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G88"/>
  <sheetViews>
    <sheetView view="pageBreakPreview" zoomScaleSheetLayoutView="100" workbookViewId="0" topLeftCell="A1">
      <selection activeCell="P19" sqref="P19"/>
    </sheetView>
  </sheetViews>
  <sheetFormatPr defaultColWidth="9.00390625" defaultRowHeight="13.5"/>
  <cols>
    <col min="1" max="105" width="2.25390625" style="0" customWidth="1"/>
  </cols>
  <sheetData>
    <row r="1" ht="27" customHeight="1"/>
    <row r="2" spans="2:15" ht="23.25" customHeight="1">
      <c r="B2" s="410" t="s">
        <v>252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59" ht="22.5" customHeight="1">
      <c r="A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</row>
    <row r="4" spans="1:59" ht="10.5" customHeight="1">
      <c r="A4" s="150"/>
      <c r="B4" s="21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</row>
    <row r="5" spans="1:59" ht="13.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</row>
    <row r="6" spans="1:59" ht="13.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</row>
    <row r="7" spans="1:59" ht="13.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</row>
    <row r="8" spans="1:59" ht="13.5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</row>
    <row r="9" spans="1:59" ht="13.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</row>
    <row r="10" spans="1:59" ht="13.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</row>
    <row r="11" spans="1:59" ht="13.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</row>
    <row r="12" spans="1:59" ht="13.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</row>
    <row r="13" spans="1:59" ht="13.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</row>
    <row r="14" spans="1:59" ht="13.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</row>
    <row r="15" spans="1:59" ht="13.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</row>
    <row r="16" spans="1:59" ht="13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</row>
    <row r="17" spans="1:59" ht="13.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</row>
    <row r="18" spans="1:59" ht="13.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</row>
    <row r="19" spans="1:59" ht="13.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</row>
    <row r="20" spans="1:59" ht="13.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</row>
    <row r="21" spans="1:59" ht="13.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</row>
    <row r="22" spans="1:59" ht="13.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</row>
    <row r="23" spans="1:59" ht="13.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</row>
    <row r="24" spans="1:59" ht="13.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</row>
    <row r="25" spans="1:59" ht="13.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</row>
    <row r="26" spans="1:59" ht="13.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</row>
    <row r="27" spans="1:59" ht="13.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</row>
    <row r="28" spans="1:59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</row>
    <row r="29" spans="1:59" ht="13.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</row>
    <row r="30" spans="1:59" ht="13.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</row>
    <row r="31" spans="1:59" ht="13.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</row>
    <row r="32" spans="1:59" ht="13.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</row>
    <row r="33" spans="1:59" ht="13.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</row>
    <row r="34" spans="1:59" ht="13.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</row>
    <row r="35" spans="1:59" ht="13.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</row>
    <row r="36" spans="1:59" ht="13.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</row>
    <row r="37" spans="1:59" ht="13.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</row>
    <row r="38" spans="1:59" ht="13.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</row>
    <row r="39" spans="1:59" ht="13.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</row>
    <row r="40" spans="1:59" ht="13.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</row>
    <row r="41" spans="1:59" ht="13.5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</row>
    <row r="42" spans="1:59" ht="13.5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</row>
    <row r="43" spans="1:59" ht="13.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</row>
    <row r="44" spans="1:59" ht="13.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</row>
    <row r="45" spans="1:59" ht="13.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</row>
    <row r="46" spans="1:59" ht="13.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</row>
    <row r="47" spans="1:59" ht="13.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</row>
    <row r="48" spans="1:59" ht="13.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</row>
    <row r="49" spans="1:59" ht="13.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</row>
    <row r="50" spans="1:59" ht="13.5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</row>
    <row r="51" spans="1:59" ht="13.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</row>
    <row r="52" spans="1:59" ht="13.5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</row>
    <row r="53" spans="1:59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</row>
    <row r="54" spans="1:59" ht="13.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</row>
    <row r="55" spans="1:59" ht="13.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</row>
    <row r="56" spans="1:59" ht="13.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</row>
    <row r="57" spans="1:59" ht="13.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</row>
    <row r="58" spans="1:59" ht="13.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</row>
    <row r="59" spans="1:59" ht="13.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</row>
    <row r="60" spans="1:59" ht="13.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</row>
    <row r="61" spans="1:59" ht="13.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</row>
    <row r="62" spans="1:59" ht="13.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</row>
    <row r="63" spans="1:59" ht="13.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</row>
    <row r="64" spans="1:59" ht="13.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</row>
    <row r="65" spans="1:59" ht="13.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</row>
    <row r="66" spans="1:59" ht="13.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</row>
    <row r="67" spans="1:59" ht="13.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</row>
    <row r="68" spans="1:59" ht="13.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</row>
    <row r="69" spans="1:59" ht="13.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</row>
    <row r="70" spans="1:59" ht="13.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</row>
    <row r="71" spans="1:59" ht="13.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</row>
    <row r="72" spans="1:59" ht="13.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</row>
    <row r="73" spans="1:59" ht="13.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</row>
    <row r="74" spans="1:59" ht="13.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</row>
    <row r="75" spans="1:59" ht="13.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</row>
    <row r="76" spans="1:59" ht="13.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</row>
    <row r="77" spans="1:59" ht="13.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</row>
    <row r="78" spans="1:59" ht="13.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</row>
    <row r="79" spans="1:59" ht="13.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</row>
    <row r="80" spans="1:59" ht="13.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</row>
    <row r="81" spans="1:59" ht="13.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</row>
    <row r="82" spans="1:59" ht="13.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</row>
    <row r="83" spans="1:59" ht="13.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</row>
    <row r="84" spans="1:59" ht="13.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</row>
    <row r="85" spans="1:59" ht="13.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</row>
    <row r="86" spans="1:59" ht="13.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</row>
    <row r="87" spans="1:59" ht="13.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</row>
    <row r="88" spans="1:59" ht="13.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</row>
  </sheetData>
  <sheetProtection/>
  <printOptions/>
  <pageMargins left="0.7" right="0.7" top="0.75" bottom="0.75" header="0.3" footer="0.3"/>
  <pageSetup horizontalDpi="600" verticalDpi="600" orientation="portrait" paperSize="9" scale="57" r:id="rId2"/>
  <headerFooter alignWithMargins="0">
    <oddFooter>&amp;C&amp;18-9-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2022-10-06T03:01:58Z</dcterms:created>
  <dcterms:modified xsi:type="dcterms:W3CDTF">2022-10-06T03:01:59Z</dcterms:modified>
  <cp:category/>
  <cp:version/>
  <cp:contentType/>
  <cp:contentStatus/>
</cp:coreProperties>
</file>