
<file path=[Content_Types].xml><?xml version="1.0" encoding="utf-8"?>
<Types xmlns="http://schemas.openxmlformats.org/package/2006/content-types">
  <Override PartName="/xl/worksheets/sheet24.xml" ContentType="application/vnd.openxmlformats-officedocument.spreadsheetml.workshee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ml.chartshapes+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drawings/drawing17.xml" ContentType="application/vnd.openxmlformats-officedocument.drawingml.chartshapes+xml"/>
  <Override PartName="/xl/drawings/drawing28.xml" ContentType="application/vnd.openxmlformats-officedocument.drawingml.chartshapes+xml"/>
  <Default Extension="xml" ContentType="application/xml"/>
  <Override PartName="/xl/drawings/drawing2.xml" ContentType="application/vnd.openxmlformats-officedocument.drawing+xml"/>
  <Override PartName="/xl/comments4.xml" ContentType="application/vnd.openxmlformats-officedocument.spreadsheetml.comments+xml"/>
  <Override PartName="/xl/worksheets/sheet3.xml" ContentType="application/vnd.openxmlformats-officedocument.spreadsheetml.worksheet+xml"/>
  <Override PartName="/xl/drawings/drawing13.xml" ContentType="application/vnd.openxmlformats-officedocument.drawingml.chartshapes+xml"/>
  <Override PartName="/xl/charts/chart27.xml" ContentType="application/vnd.openxmlformats-officedocument.drawingml.chart+xml"/>
  <Override PartName="/xl/drawings/drawing24.xml" ContentType="application/vnd.openxmlformats-officedocument.drawingml.chartshapes+xml"/>
  <Override PartName="/xl/charts/chart38.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ml.chartshapes+xml"/>
  <Override PartName="/xl/charts/chart34.xml" ContentType="application/vnd.openxmlformats-officedocument.drawingml.chart+xml"/>
  <Override PartName="/xl/drawings/drawing31.xml" ContentType="application/vnd.openxmlformats-officedocument.drawing+xml"/>
  <Override PartName="/xl/sharedStrings.xml" ContentType="application/vnd.openxmlformats-officedocument.spreadsheetml.sharedStrings+xml"/>
  <Override PartName="/xl/charts/chart14.xml" ContentType="application/vnd.openxmlformats-officedocument.drawingml.chart+xml"/>
  <Override PartName="/xl/charts/chart23.xml" ContentType="application/vnd.openxmlformats-officedocument.drawingml.chart+xml"/>
  <Override PartName="/xl/charts/chart32.xml" ContentType="application/vnd.openxmlformats-officedocument.drawingml.chart+xml"/>
  <Override PartName="/xl/ctrlProps/ctrlProp4.xml" ContentType="application/vnd.ms-excel.controlproperties+xml"/>
  <Override PartName="/xl/worksheets/sheet18.xml" ContentType="application/vnd.openxmlformats-officedocument.spreadsheetml.worksheet+xml"/>
  <Override PartName="/xl/worksheets/sheet27.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hart30.xml" ContentType="application/vnd.openxmlformats-officedocument.drawingml.chart+xml"/>
  <Override PartName="/xl/ctrlProps/ctrlProp2.xml" ContentType="application/vnd.ms-excel.control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ml.chartshapes+xml"/>
  <Override PartName="/xl/worksheets/sheet14.xml" ContentType="application/vnd.openxmlformats-officedocument.spreadsheetml.worksheet+xml"/>
  <Override PartName="/xl/worksheets/sheet23.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ml.chartshapes+xml"/>
  <Override PartName="/xl/drawings/drawing29.xml" ContentType="application/vnd.openxmlformats-officedocument.drawingml.chartshapes+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charts/chart3.xml" ContentType="application/vnd.openxmlformats-officedocument.drawingml.chart+xml"/>
  <Override PartName="/xl/drawings/drawing5.xml" ContentType="application/vnd.openxmlformats-officedocument.drawingml.chartshapes+xml"/>
  <Default Extension="emf" ContentType="image/x-emf"/>
  <Override PartName="/xl/drawings/drawing18.xml" ContentType="application/vnd.openxmlformats-officedocument.drawingml.chartshapes+xml"/>
  <Override PartName="/xl/drawings/drawing27.xml" ContentType="application/vnd.openxmlformats-officedocument.drawingml.chartshapes+xml"/>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ml.chartshapes+xml"/>
  <Override PartName="/xl/drawings/drawing25.xml" ContentType="application/vnd.openxmlformats-officedocument.drawingml.chartshapes+xml"/>
  <Override PartName="/xl/charts/chart39.xml" ContentType="application/vnd.openxmlformats-officedocument.drawingml.chart+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ml.chartshapes+xml"/>
  <Override PartName="/xl/charts/chart19.xml" ContentType="application/vnd.openxmlformats-officedocument.drawingml.chart+xml"/>
  <Override PartName="/xl/charts/chart28.xml" ContentType="application/vnd.openxmlformats-officedocument.drawingml.chart+xml"/>
  <Override PartName="/xl/drawings/drawing23.xml" ContentType="application/vnd.openxmlformats-officedocument.drawingml.chartshapes+xml"/>
  <Override PartName="/xl/charts/chart37.xml" ContentType="application/vnd.openxmlformats-officedocument.drawingml.chart+xml"/>
  <Override PartName="/xl/comments3.xml" ContentType="application/vnd.openxmlformats-officedocument.spreadsheetml.comments+xml"/>
  <Override PartName="/xl/drawings/drawing32.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charts/chart17.xml" ContentType="application/vnd.openxmlformats-officedocument.drawingml.chart+xml"/>
  <Override PartName="/xl/charts/chart26.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xl/ctrlProps/ctrlProp5.xml" ContentType="application/vnd.ms-excel.controlproperties+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ml.chartshapes+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ctrlProps/ctrlProp3.xml" ContentType="application/vnd.ms-excel.controlproperties+xml"/>
  <Override PartName="/xl/worksheets/sheet17.xml" ContentType="application/vnd.openxmlformats-officedocument.spreadsheetml.worksheet+xml"/>
  <Override PartName="/xl/worksheets/sheet26.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xl/charts/chart40.xml" ContentType="application/vnd.openxmlformats-officedocument.drawingml.chart+xml"/>
  <Override PartName="/xl/ctrlProps/ctrlProp1.xml" ContentType="application/vnd.ms-excel.controlproperties+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drawings/drawing19.xml" ContentType="application/vnd.openxmlformats-officedocument.drawingml.chartshapes+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ml.chartshapes+xml"/>
  <Override PartName="/xl/charts/chart29.xml" ContentType="application/vnd.openxmlformats-officedocument.drawingml.chart+xml"/>
  <Override PartName="/xl/drawings/drawing26.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ml.chartshapes+xml"/>
  <Override PartName="/xl/charts/chart36.xml" ContentType="application/vnd.openxmlformats-officedocument.drawingml.chart+xml"/>
  <Override PartName="/xl/comments2.xml" ContentType="application/vnd.openxmlformats-officedocument.spreadsheetml.comments+xml"/>
  <Override PartName="/xl/drawings/drawing33.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ml.chartshapes+xml"/>
  <Override PartName="/xl/charts/chart25.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13860" yWindow="-15" windowWidth="14430" windowHeight="11640" tabRatio="814" activeTab="6"/>
  </bookViews>
  <sheets>
    <sheet name="環境表示結果" sheetId="64" r:id="rId1"/>
    <sheet name="ラベル" sheetId="65" r:id="rId2"/>
    <sheet name="計画概要書(改修後)" sheetId="62" r:id="rId3"/>
    <sheet name="計画概要書(改修前)" sheetId="63" r:id="rId4"/>
    <sheet name="計画概要書（前後の比較）" sheetId="66" r:id="rId5"/>
    <sheet name="概要" sheetId="67" r:id="rId6"/>
    <sheet name="メイン" sheetId="2" r:id="rId7"/>
    <sheet name="配慮事項" sheetId="3" r:id="rId8"/>
    <sheet name="省エネ_後" sheetId="54" r:id="rId9"/>
    <sheet name="省エネ_前" sheetId="59" r:id="rId10"/>
    <sheet name="省エネ_対象外" sheetId="56" r:id="rId11"/>
    <sheet name="スコア表示" sheetId="8" r:id="rId12"/>
    <sheet name="スコア入力" sheetId="4" r:id="rId13"/>
    <sheet name="外観入力" sheetId="61" r:id="rId14"/>
    <sheet name="排出係数" sheetId="53" r:id="rId15"/>
    <sheet name="境界値" sheetId="57" r:id="rId16"/>
    <sheet name="条件(標準)_後" sheetId="12" r:id="rId17"/>
    <sheet name="条件(個別)_後" sheetId="13" r:id="rId18"/>
    <sheet name="条件(標準)_前" sheetId="15" r:id="rId19"/>
    <sheet name="条件(個別)_前" sheetId="16" r:id="rId20"/>
    <sheet name="CO2計算_後" sheetId="55" r:id="rId21"/>
    <sheet name="CO2計算_前" sheetId="60" r:id="rId22"/>
    <sheet name="CO2計算_対象外" sheetId="58" r:id="rId23"/>
    <sheet name="CO2データ" sheetId="33" r:id="rId24"/>
    <sheet name="重み_前" sheetId="47" r:id="rId25"/>
    <sheet name="重み_対象外" sheetId="21" r:id="rId26"/>
    <sheet name="重み_後" sheetId="22" r:id="rId27"/>
    <sheet name="クレジット" sheetId="23" r:id="rId28"/>
  </sheets>
  <definedNames>
    <definedName name="_xlnm.Print_Area" localSheetId="23">CO2データ!$A$1:$R$278</definedName>
    <definedName name="_xlnm.Print_Area" localSheetId="20">CO2計算_後!$B$1:$Z$179</definedName>
    <definedName name="_xlnm.Print_Area" localSheetId="21">CO2計算_前!$B$1:$Z$179</definedName>
    <definedName name="_xlnm.Print_Area" localSheetId="22">CO2計算_対象外!$B$1:$Z$178</definedName>
    <definedName name="_xlnm.Print_Area" localSheetId="27">クレジット!$A$1:$S$37</definedName>
    <definedName name="_xlnm.Print_Area" localSheetId="12">スコア入力!$A$2:$Z$181</definedName>
    <definedName name="_xlnm.Print_Area" localSheetId="11">スコア表示!$A$2:$V$181</definedName>
    <definedName name="_xlnm.Print_Area" localSheetId="6">メイン!$A$1:$K$76</definedName>
    <definedName name="_xlnm.Print_Area" localSheetId="1">ラベル!$A$1:$A$17</definedName>
    <definedName name="_xlnm.Print_Area" localSheetId="0">環境表示結果!$B$1:$O$35</definedName>
    <definedName name="_xlnm.Print_Area" localSheetId="2">'計画概要書(改修後)'!$A$1:$P$97</definedName>
    <definedName name="_xlnm.Print_Area" localSheetId="3">'計画概要書(改修前)'!$A$1:$P$97</definedName>
    <definedName name="_xlnm.Print_Area" localSheetId="4">'計画概要書（前後の比較）'!$B$1:$O$89</definedName>
    <definedName name="_xlnm.Print_Area" localSheetId="26">重み_後!$A$1:$AQ$181</definedName>
    <definedName name="_xlnm.Print_Area" localSheetId="24">重み_前!$A$1:$AF$181</definedName>
    <definedName name="_xlnm.Print_Area" localSheetId="25">重み_対象外!$A$1:$Z$181</definedName>
    <definedName name="_xlnm.Print_Area" localSheetId="10">省エネ_対象外!$A$1:$Q$144</definedName>
    <definedName name="_xlnm.Print_Area" localSheetId="14">排出係数!$A$1:$L$48</definedName>
    <definedName name="_xlnm.Print_Titles" localSheetId="26">重み_後!$5:$6</definedName>
    <definedName name="_xlnm.Print_Titles" localSheetId="24">重み_前!$5:$6</definedName>
    <definedName name="_xlnm.Print_Titles" localSheetId="25">重み_対象外!$5:$6</definedName>
    <definedName name="Z_047384A4_E844_4BB4_B522_1CE13C4699E4_.wvu.Cols" localSheetId="23" hidden="1">CO2データ!$G:$H,CO2データ!$S:$IV</definedName>
    <definedName name="Z_047384A4_E844_4BB4_B522_1CE13C4699E4_.wvu.Cols" localSheetId="20" hidden="1">CO2計算_後!$Q:$IV</definedName>
    <definedName name="Z_047384A4_E844_4BB4_B522_1CE13C4699E4_.wvu.Cols" localSheetId="21" hidden="1">CO2計算_前!$Q:$IV</definedName>
    <definedName name="Z_047384A4_E844_4BB4_B522_1CE13C4699E4_.wvu.Cols" localSheetId="22" hidden="1">CO2計算_対象外!$Q:$IV</definedName>
    <definedName name="Z_047384A4_E844_4BB4_B522_1CE13C4699E4_.wvu.Cols" localSheetId="24" hidden="1">重み_前!$Q:$Q,重み_前!$AY:$AY,重み_前!$BP:$BP,重み_前!$CF:$IV</definedName>
    <definedName name="Z_047384A4_E844_4BB4_B522_1CE13C4699E4_.wvu.PrintArea" localSheetId="23" hidden="1">CO2データ!$A$1:$R$278</definedName>
    <definedName name="Z_047384A4_E844_4BB4_B522_1CE13C4699E4_.wvu.PrintArea" localSheetId="20" hidden="1">CO2計算_後!$B$1:$Z$179</definedName>
    <definedName name="Z_047384A4_E844_4BB4_B522_1CE13C4699E4_.wvu.PrintArea" localSheetId="21" hidden="1">CO2計算_前!$B$1:$Z$179</definedName>
    <definedName name="Z_047384A4_E844_4BB4_B522_1CE13C4699E4_.wvu.PrintArea" localSheetId="22" hidden="1">CO2計算_対象外!$B$1:$Z$178</definedName>
    <definedName name="Z_047384A4_E844_4BB4_B522_1CE13C4699E4_.wvu.PrintArea" localSheetId="24" hidden="1">重み_前!$A$1:$CD$180</definedName>
    <definedName name="Z_047384A4_E844_4BB4_B522_1CE13C4699E4_.wvu.PrintTitles" localSheetId="24" hidden="1">重み_前!$5:$6</definedName>
    <definedName name="Z_047384A4_E844_4BB4_B522_1CE13C4699E4_.wvu.Rows" localSheetId="23" hidden="1">CO2データ!$280:$65552,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$167:$167,CO2データ!$173:$173,CO2データ!$180:$180,CO2データ!#REF!,CO2データ!$270:$270,CO2データ!$279:$279</definedName>
    <definedName name="Z_047384A4_E844_4BB4_B522_1CE13C4699E4_.wvu.Rows" localSheetId="20" hidden="1">CO2計算_後!$175:$65539,CO2計算_後!$26:$99,CO2計算_後!$139:$174</definedName>
    <definedName name="Z_047384A4_E844_4BB4_B522_1CE13C4699E4_.wvu.Rows" localSheetId="21" hidden="1">CO2計算_前!$175:$65539,CO2計算_前!$26:$99,CO2計算_前!$139:$174</definedName>
    <definedName name="Z_047384A4_E844_4BB4_B522_1CE13C4699E4_.wvu.Rows" localSheetId="22" hidden="1">CO2計算_対象外!$174:$65538,CO2計算_対象外!$26:$99,CO2計算_対象外!$138:$173</definedName>
    <definedName name="Z_047384A4_E844_4BB4_B522_1CE13C4699E4_.wvu.Rows" localSheetId="24" hidden="1">重み_前!$219:$65540,重み_前!$32:$33,重み_前!$96:$96,重み_前!$115:$115,重み_前!$132:$132,重み_前!$182:$218</definedName>
  </definedNames>
  <calcPr calcId="125725"/>
</workbook>
</file>

<file path=xl/calcChain.xml><?xml version="1.0" encoding="utf-8"?>
<calcChain xmlns="http://schemas.openxmlformats.org/spreadsheetml/2006/main">
  <c r="D19" i="62"/>
  <c r="I65" i="56" l="1"/>
  <c r="N65" i="59"/>
  <c r="M65"/>
  <c r="I65"/>
  <c r="N65" i="54"/>
  <c r="M65"/>
  <c r="I65"/>
  <c r="I68" i="56" l="1"/>
  <c r="I67"/>
  <c r="N48"/>
  <c r="N66"/>
  <c r="M66"/>
  <c r="N64"/>
  <c r="N65" s="1"/>
  <c r="M64"/>
  <c r="M67" s="1"/>
  <c r="N63"/>
  <c r="N62"/>
  <c r="M62"/>
  <c r="I66"/>
  <c r="I64"/>
  <c r="I62"/>
  <c r="M68" i="59"/>
  <c r="M67"/>
  <c r="N48"/>
  <c r="N66"/>
  <c r="M66"/>
  <c r="N64"/>
  <c r="M64"/>
  <c r="N63"/>
  <c r="N62"/>
  <c r="M62"/>
  <c r="I68"/>
  <c r="I67"/>
  <c r="I66"/>
  <c r="I64"/>
  <c r="I62"/>
  <c r="M68" i="54"/>
  <c r="M67"/>
  <c r="N66"/>
  <c r="M66"/>
  <c r="N64"/>
  <c r="M64"/>
  <c r="N63"/>
  <c r="N62"/>
  <c r="N48" s="1"/>
  <c r="M62"/>
  <c r="I66"/>
  <c r="I64"/>
  <c r="I67" s="1"/>
  <c r="I62"/>
  <c r="M65" i="56" l="1"/>
  <c r="M68" s="1"/>
  <c r="I68" i="54"/>
  <c r="I49" i="56"/>
  <c r="I48"/>
  <c r="E47"/>
  <c r="M29"/>
  <c r="I29"/>
  <c r="E29"/>
  <c r="H29" s="1"/>
  <c r="I49" i="59" l="1"/>
  <c r="I48"/>
  <c r="E47"/>
  <c r="M29"/>
  <c r="I29"/>
  <c r="E29"/>
  <c r="H29" s="1"/>
  <c r="I49" i="54"/>
  <c r="I48"/>
  <c r="E47"/>
  <c r="M29"/>
  <c r="I29"/>
  <c r="E29"/>
  <c r="H29" s="1"/>
  <c r="L65" i="66" l="1"/>
  <c r="L65" i="63"/>
  <c r="L65" i="62"/>
  <c r="D12" i="65" l="1"/>
  <c r="N3" i="8" l="1"/>
  <c r="E26" i="67" l="1"/>
  <c r="E13"/>
  <c r="E12"/>
  <c r="E11"/>
  <c r="E9"/>
  <c r="E8"/>
  <c r="E7"/>
  <c r="E6"/>
  <c r="E2"/>
  <c r="E4"/>
  <c r="E3"/>
  <c r="AE52" i="66"/>
  <c r="AE51"/>
  <c r="V36" l="1"/>
  <c r="L69" l="1"/>
  <c r="H69"/>
  <c r="B69"/>
  <c r="L68"/>
  <c r="H68"/>
  <c r="B68"/>
  <c r="L67"/>
  <c r="H67"/>
  <c r="B67"/>
  <c r="L66"/>
  <c r="H66"/>
  <c r="B66"/>
  <c r="B65"/>
  <c r="L52"/>
  <c r="H52"/>
  <c r="C52"/>
  <c r="L41"/>
  <c r="H41"/>
  <c r="C41"/>
  <c r="L52" i="62"/>
  <c r="H52"/>
  <c r="L52" i="63"/>
  <c r="H52"/>
  <c r="N38" i="66"/>
  <c r="N19"/>
  <c r="N16"/>
  <c r="N17"/>
  <c r="N18"/>
  <c r="N15"/>
  <c r="N13"/>
  <c r="N9"/>
  <c r="I17"/>
  <c r="I16"/>
  <c r="I15"/>
  <c r="J13"/>
  <c r="J12"/>
  <c r="I11"/>
  <c r="I9"/>
  <c r="I10"/>
  <c r="D19"/>
  <c r="D18"/>
  <c r="D16"/>
  <c r="D15"/>
  <c r="E12" i="63"/>
  <c r="E13" i="66"/>
  <c r="E12"/>
  <c r="D11"/>
  <c r="D10"/>
  <c r="D9"/>
  <c r="D17"/>
  <c r="F5" l="1"/>
  <c r="AF52"/>
  <c r="AF51"/>
  <c r="H37"/>
  <c r="Z33"/>
  <c r="U33"/>
  <c r="Z32"/>
  <c r="U32"/>
  <c r="U31"/>
  <c r="U30"/>
  <c r="X28"/>
  <c r="X33" s="1"/>
  <c r="V28"/>
  <c r="V32" s="1"/>
  <c r="U28"/>
  <c r="Y28" s="1"/>
  <c r="H27"/>
  <c r="Y32" l="1"/>
  <c r="Y33"/>
  <c r="W37"/>
  <c r="W28"/>
  <c r="V30"/>
  <c r="X31"/>
  <c r="X32"/>
  <c r="V33"/>
  <c r="V31"/>
  <c r="F16" i="65"/>
  <c r="B14"/>
  <c r="W33" i="66" l="1"/>
  <c r="W32"/>
  <c r="W31"/>
  <c r="C13" i="65"/>
  <c r="C12"/>
  <c r="X19" i="64" l="1"/>
  <c r="T19"/>
  <c r="F14" i="65"/>
  <c r="I15" s="1"/>
  <c r="G15" l="1"/>
  <c r="F13" s="1"/>
  <c r="C52" i="63"/>
  <c r="L41"/>
  <c r="H41"/>
  <c r="C41"/>
  <c r="U35"/>
  <c r="L69"/>
  <c r="H69"/>
  <c r="B69"/>
  <c r="L68"/>
  <c r="H68"/>
  <c r="B68"/>
  <c r="L67"/>
  <c r="H67"/>
  <c r="B67"/>
  <c r="L66"/>
  <c r="H66"/>
  <c r="B66"/>
  <c r="B65"/>
  <c r="J8"/>
  <c r="D15"/>
  <c r="D14"/>
  <c r="E11"/>
  <c r="D10"/>
  <c r="D9"/>
  <c r="D8"/>
  <c r="F5"/>
  <c r="Y49" i="62"/>
  <c r="Y48"/>
  <c r="Z48" s="1"/>
  <c r="U35"/>
  <c r="L69"/>
  <c r="H69"/>
  <c r="B69"/>
  <c r="L68"/>
  <c r="H68"/>
  <c r="B68"/>
  <c r="L67"/>
  <c r="H67"/>
  <c r="B67"/>
  <c r="L66"/>
  <c r="H66"/>
  <c r="B66"/>
  <c r="B65"/>
  <c r="C52"/>
  <c r="L41"/>
  <c r="H41"/>
  <c r="C41"/>
  <c r="N38"/>
  <c r="J19"/>
  <c r="J18"/>
  <c r="J17"/>
  <c r="J16"/>
  <c r="J13"/>
  <c r="J10"/>
  <c r="J9"/>
  <c r="J8"/>
  <c r="D18"/>
  <c r="D17"/>
  <c r="D16"/>
  <c r="D12"/>
  <c r="D11"/>
  <c r="D10"/>
  <c r="E14"/>
  <c r="E13"/>
  <c r="D9"/>
  <c r="D8"/>
  <c r="F5"/>
  <c r="H36" i="63"/>
  <c r="Z33"/>
  <c r="Z32"/>
  <c r="X32"/>
  <c r="U32"/>
  <c r="X31"/>
  <c r="U31"/>
  <c r="X28"/>
  <c r="X33" s="1"/>
  <c r="W28"/>
  <c r="W32" s="1"/>
  <c r="U28"/>
  <c r="U33" s="1"/>
  <c r="Z49" i="62"/>
  <c r="V36"/>
  <c r="Z33"/>
  <c r="Z32"/>
  <c r="U28"/>
  <c r="U32" s="1"/>
  <c r="H27" i="63" l="1"/>
  <c r="V36"/>
  <c r="Y28" i="62"/>
  <c r="U33"/>
  <c r="W28"/>
  <c r="H36"/>
  <c r="Y28" i="63"/>
  <c r="V28" i="62"/>
  <c r="U30"/>
  <c r="W33" i="63"/>
  <c r="H27" i="62"/>
  <c r="X28"/>
  <c r="U31"/>
  <c r="V28" i="63"/>
  <c r="U30"/>
  <c r="W31"/>
  <c r="N24" i="2"/>
  <c r="V32" i="63" l="1"/>
  <c r="V31"/>
  <c r="V33"/>
  <c r="V30"/>
  <c r="X32" i="62"/>
  <c r="X31"/>
  <c r="X33"/>
  <c r="Y33" i="63"/>
  <c r="Y32"/>
  <c r="W33" i="62"/>
  <c r="W32"/>
  <c r="W31"/>
  <c r="V33"/>
  <c r="V30"/>
  <c r="V32"/>
  <c r="V31"/>
  <c r="Y32"/>
  <c r="Y33"/>
  <c r="V27" i="56"/>
  <c r="V26"/>
  <c r="Z27"/>
  <c r="Z26"/>
  <c r="Z27" i="59"/>
  <c r="Z26"/>
  <c r="V27"/>
  <c r="V26"/>
  <c r="Z27" i="54"/>
  <c r="Z26"/>
  <c r="V27"/>
  <c r="V26"/>
  <c r="S116" i="56" l="1"/>
  <c r="S101" i="59"/>
  <c r="E76" i="16"/>
  <c r="E75"/>
  <c r="H76"/>
  <c r="H75"/>
  <c r="H74"/>
  <c r="H76" i="13"/>
  <c r="E76"/>
  <c r="H75"/>
  <c r="E75"/>
  <c r="E77" i="16" l="1"/>
  <c r="H74" i="13" l="1"/>
  <c r="F58" i="16"/>
  <c r="F58" i="13"/>
  <c r="E77" l="1"/>
  <c r="S112" i="4" l="1"/>
  <c r="L134"/>
  <c r="C15" i="47"/>
  <c r="P10"/>
  <c r="B10" s="1"/>
  <c r="Q10"/>
  <c r="R10"/>
  <c r="C10" s="1"/>
  <c r="S10"/>
  <c r="T10"/>
  <c r="U10"/>
  <c r="V10"/>
  <c r="W10"/>
  <c r="X10"/>
  <c r="Y10"/>
  <c r="Z10"/>
  <c r="AA10"/>
  <c r="AB10"/>
  <c r="AC10"/>
  <c r="AD10"/>
  <c r="AE10"/>
  <c r="K11"/>
  <c r="L11"/>
  <c r="P11"/>
  <c r="B11" s="1"/>
  <c r="Q11"/>
  <c r="R11"/>
  <c r="C11" s="1"/>
  <c r="S11"/>
  <c r="T11"/>
  <c r="U11"/>
  <c r="V11"/>
  <c r="W11"/>
  <c r="X11"/>
  <c r="Y11"/>
  <c r="Z11"/>
  <c r="AA11"/>
  <c r="AB11"/>
  <c r="AC11"/>
  <c r="AD11"/>
  <c r="AE11"/>
  <c r="C12" l="1"/>
  <c r="B14"/>
  <c r="C14"/>
  <c r="B15"/>
  <c r="B16"/>
  <c r="C16"/>
  <c r="B17"/>
  <c r="C17"/>
  <c r="B18"/>
  <c r="C18"/>
  <c r="B19"/>
  <c r="C19"/>
  <c r="B20"/>
  <c r="C20"/>
  <c r="B21"/>
  <c r="C21"/>
  <c r="B22"/>
  <c r="C22"/>
  <c r="B24"/>
  <c r="C24"/>
  <c r="B25"/>
  <c r="C25"/>
  <c r="B30"/>
  <c r="C30"/>
  <c r="B31"/>
  <c r="C31"/>
  <c r="B32"/>
  <c r="C32"/>
  <c r="B33"/>
  <c r="C33"/>
  <c r="B34"/>
  <c r="C34"/>
  <c r="B35"/>
  <c r="C35"/>
  <c r="B36"/>
  <c r="C36"/>
  <c r="B37"/>
  <c r="C37"/>
  <c r="B38"/>
  <c r="C38"/>
  <c r="B39"/>
  <c r="C39"/>
  <c r="B40"/>
  <c r="C40"/>
  <c r="B41"/>
  <c r="C41"/>
  <c r="C42"/>
  <c r="B43"/>
  <c r="C43"/>
  <c r="B46"/>
  <c r="C46"/>
  <c r="B47"/>
  <c r="C47"/>
  <c r="B48"/>
  <c r="C48"/>
  <c r="B49"/>
  <c r="C49"/>
  <c r="B50"/>
  <c r="C50"/>
  <c r="B53"/>
  <c r="C53"/>
  <c r="B54"/>
  <c r="C54"/>
  <c r="B55"/>
  <c r="C55"/>
  <c r="B56"/>
  <c r="C56"/>
  <c r="B58"/>
  <c r="C58"/>
  <c r="B59"/>
  <c r="C59"/>
  <c r="B60"/>
  <c r="C60"/>
  <c r="D12"/>
  <c r="E12"/>
  <c r="P12"/>
  <c r="B12" s="1"/>
  <c r="Q12"/>
  <c r="R12"/>
  <c r="S12"/>
  <c r="T12"/>
  <c r="U12"/>
  <c r="V12"/>
  <c r="W12"/>
  <c r="X12"/>
  <c r="Y12"/>
  <c r="Z12"/>
  <c r="AA12"/>
  <c r="AB12"/>
  <c r="AC12"/>
  <c r="AD12"/>
  <c r="AE12"/>
  <c r="D13"/>
  <c r="E13"/>
  <c r="P13"/>
  <c r="B13" s="1"/>
  <c r="Q13"/>
  <c r="R13"/>
  <c r="C13" s="1"/>
  <c r="S13"/>
  <c r="T13"/>
  <c r="U13"/>
  <c r="V13"/>
  <c r="W13"/>
  <c r="X13"/>
  <c r="Y13"/>
  <c r="Z13"/>
  <c r="AA13"/>
  <c r="AB13"/>
  <c r="AC13"/>
  <c r="AD13"/>
  <c r="AE13"/>
  <c r="B11" i="21"/>
  <c r="C11"/>
  <c r="B12"/>
  <c r="C12"/>
  <c r="B10"/>
  <c r="C10"/>
  <c r="B9"/>
  <c r="C9"/>
  <c r="B13"/>
  <c r="C13"/>
  <c r="B14"/>
  <c r="C14"/>
  <c r="B15"/>
  <c r="C15"/>
  <c r="B16"/>
  <c r="C16"/>
  <c r="B17"/>
  <c r="C17"/>
  <c r="B18"/>
  <c r="C18"/>
  <c r="B19"/>
  <c r="C19"/>
  <c r="B20"/>
  <c r="C20"/>
  <c r="B21"/>
  <c r="C21"/>
  <c r="B22"/>
  <c r="C22"/>
  <c r="B23"/>
  <c r="C23"/>
  <c r="B24"/>
  <c r="C24"/>
  <c r="B25"/>
  <c r="C25"/>
  <c r="B26"/>
  <c r="C26"/>
  <c r="B27"/>
  <c r="C27"/>
  <c r="B28"/>
  <c r="C28"/>
  <c r="B29"/>
  <c r="C29"/>
  <c r="B30"/>
  <c r="C30"/>
  <c r="B31"/>
  <c r="C31"/>
  <c r="B32"/>
  <c r="C32"/>
  <c r="B33"/>
  <c r="C33"/>
  <c r="B34"/>
  <c r="C34"/>
  <c r="B35"/>
  <c r="C35"/>
  <c r="B36"/>
  <c r="C36"/>
  <c r="B37"/>
  <c r="C37"/>
  <c r="B38"/>
  <c r="C38"/>
  <c r="B39"/>
  <c r="C39"/>
  <c r="B40"/>
  <c r="C40"/>
  <c r="B41"/>
  <c r="C41"/>
  <c r="B42"/>
  <c r="C42"/>
  <c r="B43"/>
  <c r="C43"/>
  <c r="B44"/>
  <c r="C44"/>
  <c r="B45"/>
  <c r="C45"/>
  <c r="B46"/>
  <c r="C46"/>
  <c r="B47"/>
  <c r="C47"/>
  <c r="B48"/>
  <c r="C48"/>
  <c r="B49"/>
  <c r="C49"/>
  <c r="B50"/>
  <c r="C50"/>
  <c r="B51"/>
  <c r="C51"/>
  <c r="B52"/>
  <c r="C52"/>
  <c r="B53"/>
  <c r="C53"/>
  <c r="B54"/>
  <c r="C54"/>
  <c r="B55"/>
  <c r="C55"/>
  <c r="B56"/>
  <c r="C56"/>
  <c r="B57"/>
  <c r="C57"/>
  <c r="L121" i="4" l="1"/>
  <c r="L120"/>
  <c r="L132"/>
  <c r="L126"/>
  <c r="L125"/>
  <c r="L14"/>
  <c r="L137"/>
  <c r="L169"/>
  <c r="L161"/>
  <c r="L146"/>
  <c r="L143"/>
  <c r="L141" s="1"/>
  <c r="W11" i="8"/>
  <c r="AF12"/>
  <c r="AK11"/>
  <c r="AJ11"/>
  <c r="AG11"/>
  <c r="AF11"/>
  <c r="F88" i="53" l="1"/>
  <c r="D88"/>
  <c r="F87"/>
  <c r="D87"/>
  <c r="F86"/>
  <c r="D86"/>
  <c r="F85"/>
  <c r="D85"/>
  <c r="F84"/>
  <c r="D84"/>
  <c r="F83"/>
  <c r="D83"/>
  <c r="F82"/>
  <c r="D82"/>
  <c r="F81"/>
  <c r="D81"/>
  <c r="F80"/>
  <c r="D80"/>
  <c r="F79"/>
  <c r="D79"/>
  <c r="F78"/>
  <c r="D78"/>
  <c r="F77"/>
  <c r="D77"/>
  <c r="F76"/>
  <c r="D76"/>
  <c r="F75"/>
  <c r="D75"/>
  <c r="F74"/>
  <c r="D74"/>
  <c r="F73"/>
  <c r="D73"/>
  <c r="F72"/>
  <c r="D72"/>
  <c r="F71"/>
  <c r="D71"/>
  <c r="F70"/>
  <c r="D70"/>
  <c r="F69"/>
  <c r="D69"/>
  <c r="F68"/>
  <c r="D68"/>
  <c r="F67"/>
  <c r="D67"/>
  <c r="F66"/>
  <c r="D66"/>
  <c r="F65"/>
  <c r="D65"/>
  <c r="F64"/>
  <c r="D64"/>
  <c r="F63"/>
  <c r="D63"/>
  <c r="F62"/>
  <c r="D62"/>
  <c r="F61"/>
  <c r="D61"/>
  <c r="F60"/>
  <c r="D60"/>
  <c r="F59"/>
  <c r="D59"/>
  <c r="F58"/>
  <c r="D58"/>
  <c r="F57"/>
  <c r="D57"/>
  <c r="F56"/>
  <c r="D56"/>
  <c r="F55"/>
  <c r="D55"/>
  <c r="F54"/>
  <c r="D54"/>
  <c r="F53"/>
  <c r="D53"/>
  <c r="F52"/>
  <c r="D52"/>
  <c r="F51"/>
  <c r="D51"/>
  <c r="F50"/>
  <c r="D50"/>
  <c r="F49"/>
  <c r="D49"/>
  <c r="J46"/>
  <c r="I46"/>
  <c r="J44"/>
  <c r="I44"/>
  <c r="J43"/>
  <c r="I43"/>
  <c r="J42"/>
  <c r="I42"/>
  <c r="J41"/>
  <c r="I41"/>
  <c r="J40"/>
  <c r="I40"/>
  <c r="J39"/>
  <c r="I39"/>
  <c r="J38"/>
  <c r="I38"/>
  <c r="J37"/>
  <c r="I37"/>
  <c r="J36"/>
  <c r="I36"/>
  <c r="J35"/>
  <c r="I35"/>
  <c r="J34"/>
  <c r="I34"/>
  <c r="J33"/>
  <c r="I33"/>
  <c r="J32"/>
  <c r="I32"/>
  <c r="J31"/>
  <c r="I31"/>
  <c r="J30"/>
  <c r="I30"/>
  <c r="J29"/>
  <c r="I29"/>
  <c r="J28"/>
  <c r="I28"/>
  <c r="J27"/>
  <c r="I27"/>
  <c r="J26"/>
  <c r="I26"/>
  <c r="J25"/>
  <c r="I25"/>
  <c r="J24"/>
  <c r="I24"/>
  <c r="J23"/>
  <c r="I23"/>
  <c r="J22"/>
  <c r="I22"/>
  <c r="J21"/>
  <c r="I21"/>
  <c r="J20"/>
  <c r="I20"/>
  <c r="J19"/>
  <c r="I19"/>
  <c r="J18"/>
  <c r="I18"/>
  <c r="J17"/>
  <c r="I17"/>
  <c r="J16"/>
  <c r="I16"/>
  <c r="J15"/>
  <c r="I15"/>
  <c r="J14"/>
  <c r="I14"/>
  <c r="J13"/>
  <c r="I13"/>
  <c r="J12"/>
  <c r="I12"/>
  <c r="J11"/>
  <c r="I11"/>
  <c r="J10"/>
  <c r="I10"/>
  <c r="J9"/>
  <c r="I9"/>
  <c r="J8"/>
  <c r="I8"/>
  <c r="J7"/>
  <c r="I7"/>
  <c r="J6"/>
  <c r="I6"/>
  <c r="H14" i="57"/>
  <c r="N52" i="59"/>
  <c r="I76" s="1"/>
  <c r="M52"/>
  <c r="N52" i="56"/>
  <c r="I76" s="1"/>
  <c r="M52"/>
  <c r="G35" i="54"/>
  <c r="G35" i="56"/>
  <c r="G35" i="59"/>
  <c r="I79" l="1"/>
  <c r="I75" i="56"/>
  <c r="M37"/>
  <c r="I77"/>
  <c r="I79"/>
  <c r="I78" i="59"/>
  <c r="I78" i="56"/>
  <c r="M37" i="59"/>
  <c r="I77"/>
  <c r="I75"/>
  <c r="F20" i="58" l="1"/>
  <c r="O111" s="1"/>
  <c r="F20" i="60"/>
  <c r="J109" s="1"/>
  <c r="P24" i="2"/>
  <c r="F20" i="55"/>
  <c r="O111" s="1"/>
  <c r="O104" i="58" l="1"/>
  <c r="H108"/>
  <c r="H104"/>
  <c r="H111"/>
  <c r="O10" i="55"/>
  <c r="I106"/>
  <c r="J111"/>
  <c r="O14"/>
  <c r="J107"/>
  <c r="H105"/>
  <c r="I110"/>
  <c r="O108"/>
  <c r="O18"/>
  <c r="J103"/>
  <c r="H109"/>
  <c r="O104"/>
  <c r="O11" i="58"/>
  <c r="I105"/>
  <c r="I108"/>
  <c r="O105"/>
  <c r="O12"/>
  <c r="J105"/>
  <c r="I109"/>
  <c r="O109"/>
  <c r="O15"/>
  <c r="H103"/>
  <c r="J106"/>
  <c r="J110"/>
  <c r="O12" i="55"/>
  <c r="I104"/>
  <c r="H107"/>
  <c r="J109"/>
  <c r="O106"/>
  <c r="O16"/>
  <c r="H103"/>
  <c r="J105"/>
  <c r="I108"/>
  <c r="H111"/>
  <c r="O110"/>
  <c r="J104" i="60"/>
  <c r="I111"/>
  <c r="O11"/>
  <c r="J107"/>
  <c r="O15"/>
  <c r="J110"/>
  <c r="O16" i="58"/>
  <c r="I104"/>
  <c r="H107"/>
  <c r="J109"/>
  <c r="O10" i="60"/>
  <c r="O17"/>
  <c r="J106"/>
  <c r="J111"/>
  <c r="O13" i="55"/>
  <c r="O17"/>
  <c r="I103"/>
  <c r="J104"/>
  <c r="H106"/>
  <c r="I107"/>
  <c r="J108"/>
  <c r="H110"/>
  <c r="I111"/>
  <c r="O108" i="58"/>
  <c r="O105" i="55"/>
  <c r="O109"/>
  <c r="O13" i="60"/>
  <c r="J103"/>
  <c r="J108"/>
  <c r="O11" i="55"/>
  <c r="O15"/>
  <c r="H104"/>
  <c r="I105"/>
  <c r="J106"/>
  <c r="H108"/>
  <c r="I109"/>
  <c r="J110"/>
  <c r="O103"/>
  <c r="O107"/>
  <c r="O13" i="58"/>
  <c r="O17"/>
  <c r="I103"/>
  <c r="J104"/>
  <c r="H106"/>
  <c r="I107"/>
  <c r="J108"/>
  <c r="H110"/>
  <c r="I111"/>
  <c r="O106"/>
  <c r="O110"/>
  <c r="O10"/>
  <c r="O14"/>
  <c r="O18"/>
  <c r="J103"/>
  <c r="H105"/>
  <c r="I106"/>
  <c r="J107"/>
  <c r="H109"/>
  <c r="I110"/>
  <c r="J111"/>
  <c r="O103"/>
  <c r="O107"/>
  <c r="O12" i="60"/>
  <c r="O14"/>
  <c r="O16"/>
  <c r="O18"/>
  <c r="J105"/>
  <c r="O103"/>
  <c r="O104"/>
  <c r="O105"/>
  <c r="O106"/>
  <c r="O107"/>
  <c r="O108"/>
  <c r="O109"/>
  <c r="O110"/>
  <c r="O111"/>
  <c r="H103"/>
  <c r="H104"/>
  <c r="H105"/>
  <c r="H106"/>
  <c r="H107"/>
  <c r="H108"/>
  <c r="H109"/>
  <c r="H110"/>
  <c r="H111"/>
  <c r="I103"/>
  <c r="I104"/>
  <c r="I105"/>
  <c r="I106"/>
  <c r="I107"/>
  <c r="I108"/>
  <c r="I109"/>
  <c r="I110"/>
  <c r="Q135" i="56" l="1"/>
  <c r="N135"/>
  <c r="I121" i="58" s="1"/>
  <c r="N131" i="56"/>
  <c r="I120" i="58" s="1"/>
  <c r="Q135" i="59"/>
  <c r="N135"/>
  <c r="I121" i="60" s="1"/>
  <c r="N131" i="59"/>
  <c r="J91" i="60"/>
  <c r="I91"/>
  <c r="H91"/>
  <c r="J90"/>
  <c r="I90"/>
  <c r="H90"/>
  <c r="J89"/>
  <c r="I89"/>
  <c r="H89"/>
  <c r="J88"/>
  <c r="I88"/>
  <c r="H88"/>
  <c r="J87"/>
  <c r="I87"/>
  <c r="H87"/>
  <c r="J86"/>
  <c r="I86"/>
  <c r="H86"/>
  <c r="J85"/>
  <c r="I85"/>
  <c r="H85"/>
  <c r="J84"/>
  <c r="I84"/>
  <c r="H84"/>
  <c r="J83"/>
  <c r="I83"/>
  <c r="H83"/>
  <c r="J82"/>
  <c r="I82"/>
  <c r="H82"/>
  <c r="J81"/>
  <c r="I81"/>
  <c r="H81"/>
  <c r="J80"/>
  <c r="I80"/>
  <c r="H80"/>
  <c r="J79"/>
  <c r="I79"/>
  <c r="H79"/>
  <c r="J78"/>
  <c r="I78"/>
  <c r="H78"/>
  <c r="J77"/>
  <c r="I77"/>
  <c r="H77"/>
  <c r="J76"/>
  <c r="I76"/>
  <c r="H76"/>
  <c r="J75"/>
  <c r="I75"/>
  <c r="H75"/>
  <c r="J74"/>
  <c r="I74"/>
  <c r="H74"/>
  <c r="J73"/>
  <c r="I73"/>
  <c r="H73"/>
  <c r="J72"/>
  <c r="I72"/>
  <c r="H72"/>
  <c r="J71"/>
  <c r="I71"/>
  <c r="H71"/>
  <c r="J70"/>
  <c r="I70"/>
  <c r="H70"/>
  <c r="J69"/>
  <c r="I69"/>
  <c r="H69"/>
  <c r="J68"/>
  <c r="I68"/>
  <c r="H68"/>
  <c r="J67"/>
  <c r="I67"/>
  <c r="H67"/>
  <c r="J66"/>
  <c r="I66"/>
  <c r="H66"/>
  <c r="J65"/>
  <c r="I65"/>
  <c r="H65"/>
  <c r="J64"/>
  <c r="I64"/>
  <c r="H64"/>
  <c r="J63"/>
  <c r="I63"/>
  <c r="H63"/>
  <c r="J62"/>
  <c r="I62"/>
  <c r="H62"/>
  <c r="J61"/>
  <c r="I61"/>
  <c r="H61"/>
  <c r="J60"/>
  <c r="I60"/>
  <c r="H60"/>
  <c r="J59"/>
  <c r="I59"/>
  <c r="H59"/>
  <c r="J58"/>
  <c r="I58"/>
  <c r="H58"/>
  <c r="J57"/>
  <c r="I57"/>
  <c r="H57"/>
  <c r="J56"/>
  <c r="I56"/>
  <c r="H56"/>
  <c r="J55"/>
  <c r="I55"/>
  <c r="H55"/>
  <c r="J54"/>
  <c r="I54"/>
  <c r="H54"/>
  <c r="J53"/>
  <c r="I53"/>
  <c r="H53"/>
  <c r="J52"/>
  <c r="I52"/>
  <c r="H52"/>
  <c r="J51"/>
  <c r="I51"/>
  <c r="H51"/>
  <c r="J50"/>
  <c r="I50"/>
  <c r="H50"/>
  <c r="J49"/>
  <c r="I49"/>
  <c r="H49"/>
  <c r="J48"/>
  <c r="I48"/>
  <c r="H48"/>
  <c r="J47"/>
  <c r="I47"/>
  <c r="H47"/>
  <c r="J46"/>
  <c r="I46"/>
  <c r="H46"/>
  <c r="J45"/>
  <c r="I45"/>
  <c r="H45"/>
  <c r="J44"/>
  <c r="I44"/>
  <c r="H44"/>
  <c r="J43"/>
  <c r="I43"/>
  <c r="H43"/>
  <c r="J42"/>
  <c r="I42"/>
  <c r="H42"/>
  <c r="J41"/>
  <c r="I41"/>
  <c r="H41"/>
  <c r="J40"/>
  <c r="I40"/>
  <c r="H40"/>
  <c r="J39"/>
  <c r="I39"/>
  <c r="H39"/>
  <c r="J38"/>
  <c r="I38"/>
  <c r="H38"/>
  <c r="J34"/>
  <c r="I34"/>
  <c r="H34"/>
  <c r="J33"/>
  <c r="I33"/>
  <c r="H33"/>
  <c r="J32"/>
  <c r="I32"/>
  <c r="H32"/>
  <c r="J31"/>
  <c r="I31"/>
  <c r="H31"/>
  <c r="J30"/>
  <c r="I30"/>
  <c r="H30"/>
  <c r="J29"/>
  <c r="I29"/>
  <c r="H29"/>
  <c r="J28"/>
  <c r="I28"/>
  <c r="H28"/>
  <c r="J27"/>
  <c r="I27"/>
  <c r="H27"/>
  <c r="J26"/>
  <c r="I26"/>
  <c r="H26"/>
  <c r="J91" i="58"/>
  <c r="I91"/>
  <c r="H91"/>
  <c r="J90"/>
  <c r="I90"/>
  <c r="H90"/>
  <c r="J89"/>
  <c r="I89"/>
  <c r="H89"/>
  <c r="J88"/>
  <c r="I88"/>
  <c r="H88"/>
  <c r="J87"/>
  <c r="I87"/>
  <c r="H87"/>
  <c r="J86"/>
  <c r="I86"/>
  <c r="H86"/>
  <c r="J85"/>
  <c r="I85"/>
  <c r="H85"/>
  <c r="J84"/>
  <c r="I84"/>
  <c r="H84"/>
  <c r="J83"/>
  <c r="I83"/>
  <c r="H83"/>
  <c r="J82"/>
  <c r="I82"/>
  <c r="H82"/>
  <c r="J81"/>
  <c r="I81"/>
  <c r="H81"/>
  <c r="J80"/>
  <c r="I80"/>
  <c r="H80"/>
  <c r="J79"/>
  <c r="I79"/>
  <c r="H79"/>
  <c r="J78"/>
  <c r="I78"/>
  <c r="H78"/>
  <c r="J77"/>
  <c r="I77"/>
  <c r="H77"/>
  <c r="J76"/>
  <c r="I76"/>
  <c r="H76"/>
  <c r="J75"/>
  <c r="I75"/>
  <c r="H75"/>
  <c r="J74"/>
  <c r="I74"/>
  <c r="H74"/>
  <c r="J73"/>
  <c r="I73"/>
  <c r="H73"/>
  <c r="J72"/>
  <c r="I72"/>
  <c r="H72"/>
  <c r="J71"/>
  <c r="I71"/>
  <c r="H71"/>
  <c r="J70"/>
  <c r="I70"/>
  <c r="H70"/>
  <c r="J69"/>
  <c r="I69"/>
  <c r="H69"/>
  <c r="J68"/>
  <c r="I68"/>
  <c r="H68"/>
  <c r="J67"/>
  <c r="I67"/>
  <c r="H67"/>
  <c r="J66"/>
  <c r="I66"/>
  <c r="H66"/>
  <c r="J65"/>
  <c r="I65"/>
  <c r="H65"/>
  <c r="J64"/>
  <c r="I64"/>
  <c r="H64"/>
  <c r="J63"/>
  <c r="I63"/>
  <c r="H63"/>
  <c r="J62"/>
  <c r="I62"/>
  <c r="H62"/>
  <c r="J61"/>
  <c r="I61"/>
  <c r="H61"/>
  <c r="J60"/>
  <c r="I60"/>
  <c r="H60"/>
  <c r="J59"/>
  <c r="I59"/>
  <c r="H59"/>
  <c r="J58"/>
  <c r="I58"/>
  <c r="H58"/>
  <c r="J57"/>
  <c r="I57"/>
  <c r="H57"/>
  <c r="J56"/>
  <c r="I56"/>
  <c r="H56"/>
  <c r="J55"/>
  <c r="I55"/>
  <c r="H55"/>
  <c r="J54"/>
  <c r="I54"/>
  <c r="H54"/>
  <c r="J53"/>
  <c r="I53"/>
  <c r="H53"/>
  <c r="J52"/>
  <c r="I52"/>
  <c r="H52"/>
  <c r="J51"/>
  <c r="I51"/>
  <c r="H51"/>
  <c r="J50"/>
  <c r="I50"/>
  <c r="H50"/>
  <c r="J49"/>
  <c r="I49"/>
  <c r="H49"/>
  <c r="J48"/>
  <c r="I48"/>
  <c r="H48"/>
  <c r="J47"/>
  <c r="I47"/>
  <c r="H47"/>
  <c r="J46"/>
  <c r="I46"/>
  <c r="H46"/>
  <c r="J45"/>
  <c r="I45"/>
  <c r="H45"/>
  <c r="J44"/>
  <c r="I44"/>
  <c r="H44"/>
  <c r="J43"/>
  <c r="I43"/>
  <c r="H43"/>
  <c r="J42"/>
  <c r="I42"/>
  <c r="H42"/>
  <c r="J41"/>
  <c r="I41"/>
  <c r="H41"/>
  <c r="J40"/>
  <c r="I40"/>
  <c r="H40"/>
  <c r="J39"/>
  <c r="I39"/>
  <c r="H39"/>
  <c r="J38"/>
  <c r="I38"/>
  <c r="H38"/>
  <c r="J34"/>
  <c r="I34"/>
  <c r="H34"/>
  <c r="J33"/>
  <c r="I33"/>
  <c r="H33"/>
  <c r="J32"/>
  <c r="I32"/>
  <c r="H32"/>
  <c r="J31"/>
  <c r="I31"/>
  <c r="H31"/>
  <c r="J30"/>
  <c r="I30"/>
  <c r="H30"/>
  <c r="J29"/>
  <c r="I29"/>
  <c r="H29"/>
  <c r="J28"/>
  <c r="I28"/>
  <c r="H28"/>
  <c r="J27"/>
  <c r="I27"/>
  <c r="H27"/>
  <c r="J26"/>
  <c r="I26"/>
  <c r="H26"/>
  <c r="H43" i="55"/>
  <c r="I43"/>
  <c r="J43"/>
  <c r="H44"/>
  <c r="I44"/>
  <c r="J44"/>
  <c r="H45"/>
  <c r="I45"/>
  <c r="J45"/>
  <c r="H46"/>
  <c r="I46"/>
  <c r="J46"/>
  <c r="H47"/>
  <c r="I47"/>
  <c r="J47"/>
  <c r="H48"/>
  <c r="I48"/>
  <c r="J48"/>
  <c r="H49"/>
  <c r="I49"/>
  <c r="J49"/>
  <c r="H50"/>
  <c r="I50"/>
  <c r="J50"/>
  <c r="H51"/>
  <c r="I51"/>
  <c r="J51"/>
  <c r="H52"/>
  <c r="I52"/>
  <c r="J52"/>
  <c r="H53"/>
  <c r="I53"/>
  <c r="J53"/>
  <c r="H54"/>
  <c r="I54"/>
  <c r="J54"/>
  <c r="H55"/>
  <c r="I55"/>
  <c r="J55"/>
  <c r="H56"/>
  <c r="I56"/>
  <c r="J56"/>
  <c r="H57"/>
  <c r="I57"/>
  <c r="J57"/>
  <c r="H58"/>
  <c r="I58"/>
  <c r="J58"/>
  <c r="H59"/>
  <c r="I59"/>
  <c r="J59"/>
  <c r="H60"/>
  <c r="I60"/>
  <c r="J60"/>
  <c r="H61"/>
  <c r="I61"/>
  <c r="J61"/>
  <c r="H62"/>
  <c r="I62"/>
  <c r="J62"/>
  <c r="H63"/>
  <c r="I63"/>
  <c r="J63"/>
  <c r="H64"/>
  <c r="I64"/>
  <c r="J64"/>
  <c r="H65"/>
  <c r="I65"/>
  <c r="J65"/>
  <c r="H66"/>
  <c r="I66"/>
  <c r="J66"/>
  <c r="H67"/>
  <c r="I67"/>
  <c r="J67"/>
  <c r="H68"/>
  <c r="I68"/>
  <c r="J68"/>
  <c r="H69"/>
  <c r="I69"/>
  <c r="J69"/>
  <c r="H70"/>
  <c r="I70"/>
  <c r="J70"/>
  <c r="H71"/>
  <c r="I71"/>
  <c r="J71"/>
  <c r="H72"/>
  <c r="I72"/>
  <c r="J72"/>
  <c r="H73"/>
  <c r="I73"/>
  <c r="J73"/>
  <c r="H74"/>
  <c r="I74"/>
  <c r="J74"/>
  <c r="H75"/>
  <c r="I75"/>
  <c r="J75"/>
  <c r="H76"/>
  <c r="I76"/>
  <c r="J76"/>
  <c r="H77"/>
  <c r="I77"/>
  <c r="J77"/>
  <c r="H78"/>
  <c r="I78"/>
  <c r="J78"/>
  <c r="H79"/>
  <c r="I79"/>
  <c r="J79"/>
  <c r="H80"/>
  <c r="I80"/>
  <c r="J80"/>
  <c r="H81"/>
  <c r="I81"/>
  <c r="J81"/>
  <c r="H82"/>
  <c r="I82"/>
  <c r="J82"/>
  <c r="H83"/>
  <c r="I83"/>
  <c r="J83"/>
  <c r="H84"/>
  <c r="I84"/>
  <c r="J84"/>
  <c r="H85"/>
  <c r="I85"/>
  <c r="J85"/>
  <c r="H86"/>
  <c r="I86"/>
  <c r="J86"/>
  <c r="H87"/>
  <c r="I87"/>
  <c r="J87"/>
  <c r="H88"/>
  <c r="I88"/>
  <c r="J88"/>
  <c r="H89"/>
  <c r="I89"/>
  <c r="J89"/>
  <c r="H90"/>
  <c r="I90"/>
  <c r="J90"/>
  <c r="H91"/>
  <c r="I91"/>
  <c r="J91"/>
  <c r="H41"/>
  <c r="I41"/>
  <c r="J41"/>
  <c r="H42"/>
  <c r="I42"/>
  <c r="J42"/>
  <c r="H40"/>
  <c r="I40"/>
  <c r="J40"/>
  <c r="H39"/>
  <c r="I39"/>
  <c r="J39"/>
  <c r="I38"/>
  <c r="J38"/>
  <c r="H38"/>
  <c r="H27"/>
  <c r="I27"/>
  <c r="J27"/>
  <c r="H28"/>
  <c r="I28"/>
  <c r="J28"/>
  <c r="H29"/>
  <c r="I29"/>
  <c r="J29"/>
  <c r="H30"/>
  <c r="I30"/>
  <c r="J30"/>
  <c r="H31"/>
  <c r="I31"/>
  <c r="J31"/>
  <c r="H32"/>
  <c r="I32"/>
  <c r="J32"/>
  <c r="H33"/>
  <c r="I33"/>
  <c r="J33"/>
  <c r="H34"/>
  <c r="I34"/>
  <c r="J34"/>
  <c r="I26"/>
  <c r="J26"/>
  <c r="H26"/>
  <c r="M124" i="54" l="1"/>
  <c r="M123"/>
  <c r="M124" i="56"/>
  <c r="M123"/>
  <c r="M124" i="59"/>
  <c r="M123"/>
  <c r="AK121" i="8"/>
  <c r="AJ121"/>
  <c r="AG121"/>
  <c r="AF121"/>
  <c r="AK120"/>
  <c r="AJ120"/>
  <c r="AG120"/>
  <c r="AF120"/>
  <c r="V121" i="4"/>
  <c r="T121"/>
  <c r="R121"/>
  <c r="Q121"/>
  <c r="O121"/>
  <c r="M121"/>
  <c r="K135" i="47"/>
  <c r="L135"/>
  <c r="K136"/>
  <c r="L136"/>
  <c r="K138"/>
  <c r="L138"/>
  <c r="K139"/>
  <c r="L139"/>
  <c r="P135"/>
  <c r="B135" s="1"/>
  <c r="Q135"/>
  <c r="R135"/>
  <c r="S135"/>
  <c r="T135"/>
  <c r="U135"/>
  <c r="V135"/>
  <c r="W135"/>
  <c r="X135"/>
  <c r="Y135"/>
  <c r="Z135"/>
  <c r="AA135"/>
  <c r="AB135"/>
  <c r="P136"/>
  <c r="Q136"/>
  <c r="R136"/>
  <c r="S136"/>
  <c r="T136"/>
  <c r="U136"/>
  <c r="V136"/>
  <c r="W136"/>
  <c r="X136"/>
  <c r="Y136"/>
  <c r="Z136"/>
  <c r="AA136"/>
  <c r="AB136"/>
  <c r="P137"/>
  <c r="B137" s="1"/>
  <c r="Q137"/>
  <c r="R137"/>
  <c r="C137" s="1"/>
  <c r="S137"/>
  <c r="T137"/>
  <c r="U137"/>
  <c r="V137"/>
  <c r="W137"/>
  <c r="X137"/>
  <c r="Y137"/>
  <c r="Z137"/>
  <c r="AA137"/>
  <c r="AB137"/>
  <c r="P138"/>
  <c r="Q138"/>
  <c r="R138"/>
  <c r="S138"/>
  <c r="T138"/>
  <c r="U138"/>
  <c r="V138"/>
  <c r="W138"/>
  <c r="X138"/>
  <c r="Y138"/>
  <c r="Z138"/>
  <c r="AA138"/>
  <c r="AB138"/>
  <c r="P139"/>
  <c r="B139" s="1"/>
  <c r="Q139"/>
  <c r="R139"/>
  <c r="S139"/>
  <c r="T139"/>
  <c r="U139"/>
  <c r="V139"/>
  <c r="W139"/>
  <c r="X139"/>
  <c r="Y139"/>
  <c r="Z139"/>
  <c r="AA139"/>
  <c r="AB139"/>
  <c r="C135"/>
  <c r="B136"/>
  <c r="C136"/>
  <c r="B138"/>
  <c r="C138"/>
  <c r="C139"/>
  <c r="B135" i="21"/>
  <c r="C135"/>
  <c r="B136"/>
  <c r="C136"/>
  <c r="B137"/>
  <c r="C137"/>
  <c r="B138"/>
  <c r="C138"/>
  <c r="B139"/>
  <c r="C139"/>
  <c r="E7" i="22"/>
  <c r="D7" s="1"/>
  <c r="B135"/>
  <c r="C135"/>
  <c r="B136"/>
  <c r="C136"/>
  <c r="B137"/>
  <c r="C137"/>
  <c r="B138"/>
  <c r="C138"/>
  <c r="B139"/>
  <c r="C139"/>
  <c r="K135"/>
  <c r="L135"/>
  <c r="K136"/>
  <c r="L136"/>
  <c r="K138"/>
  <c r="L138"/>
  <c r="K139"/>
  <c r="L139"/>
  <c r="S137"/>
  <c r="AD135"/>
  <c r="AE135"/>
  <c r="AF135"/>
  <c r="AG135"/>
  <c r="AH135"/>
  <c r="AI135"/>
  <c r="AJ135"/>
  <c r="AK135"/>
  <c r="AL135"/>
  <c r="AM135"/>
  <c r="AD136"/>
  <c r="AE136"/>
  <c r="AF136"/>
  <c r="AG136"/>
  <c r="AH136"/>
  <c r="AI136"/>
  <c r="AJ136"/>
  <c r="AK136"/>
  <c r="AL136"/>
  <c r="AM136"/>
  <c r="AD137"/>
  <c r="AE137"/>
  <c r="AF137"/>
  <c r="AG137"/>
  <c r="AH137"/>
  <c r="AI137"/>
  <c r="AJ137"/>
  <c r="AK137"/>
  <c r="AL137"/>
  <c r="AM137"/>
  <c r="AD138"/>
  <c r="AE138"/>
  <c r="AF138"/>
  <c r="AG138"/>
  <c r="AH138"/>
  <c r="AI138"/>
  <c r="AJ138"/>
  <c r="AK138"/>
  <c r="AL138"/>
  <c r="AM138"/>
  <c r="AD139"/>
  <c r="AE139"/>
  <c r="AF139"/>
  <c r="AG139"/>
  <c r="AH139"/>
  <c r="AI139"/>
  <c r="AJ139"/>
  <c r="AK139"/>
  <c r="AL139"/>
  <c r="AM139"/>
  <c r="V161" i="4" l="1"/>
  <c r="T161"/>
  <c r="V160"/>
  <c r="T160"/>
  <c r="V142"/>
  <c r="T142"/>
  <c r="V141"/>
  <c r="T141"/>
  <c r="T162"/>
  <c r="V162"/>
  <c r="T163"/>
  <c r="V163"/>
  <c r="T164"/>
  <c r="V164"/>
  <c r="T165"/>
  <c r="V165"/>
  <c r="T166"/>
  <c r="V166"/>
  <c r="T167"/>
  <c r="V167"/>
  <c r="T168"/>
  <c r="V168"/>
  <c r="T169"/>
  <c r="V169"/>
  <c r="T170"/>
  <c r="V170"/>
  <c r="T171"/>
  <c r="V171"/>
  <c r="T172"/>
  <c r="V172"/>
  <c r="T173"/>
  <c r="V173"/>
  <c r="T174"/>
  <c r="V174"/>
  <c r="T175"/>
  <c r="V175"/>
  <c r="T176"/>
  <c r="V176"/>
  <c r="T177"/>
  <c r="V177"/>
  <c r="T178"/>
  <c r="V178"/>
  <c r="T179"/>
  <c r="V179"/>
  <c r="T180"/>
  <c r="V180"/>
  <c r="T143"/>
  <c r="V143"/>
  <c r="T144"/>
  <c r="V144"/>
  <c r="T145"/>
  <c r="V145"/>
  <c r="T146"/>
  <c r="V146"/>
  <c r="T147"/>
  <c r="V147"/>
  <c r="T148"/>
  <c r="V148"/>
  <c r="T149"/>
  <c r="V149"/>
  <c r="T150"/>
  <c r="V150"/>
  <c r="T151"/>
  <c r="V151"/>
  <c r="T152"/>
  <c r="V152"/>
  <c r="T153"/>
  <c r="V153"/>
  <c r="T154"/>
  <c r="V154"/>
  <c r="T155"/>
  <c r="V155"/>
  <c r="T156"/>
  <c r="V156"/>
  <c r="T157"/>
  <c r="V157"/>
  <c r="T158"/>
  <c r="V158"/>
  <c r="T139"/>
  <c r="T138"/>
  <c r="T137"/>
  <c r="T136"/>
  <c r="T135"/>
  <c r="T134"/>
  <c r="T133"/>
  <c r="T132"/>
  <c r="T131"/>
  <c r="T130"/>
  <c r="T129"/>
  <c r="T128"/>
  <c r="T127"/>
  <c r="T126"/>
  <c r="T125"/>
  <c r="T123"/>
  <c r="T122"/>
  <c r="T120"/>
  <c r="T119"/>
  <c r="T118"/>
  <c r="V139"/>
  <c r="V138"/>
  <c r="V137"/>
  <c r="V136"/>
  <c r="V135"/>
  <c r="V134"/>
  <c r="V133"/>
  <c r="V131"/>
  <c r="V130"/>
  <c r="V129"/>
  <c r="V128"/>
  <c r="V127"/>
  <c r="V126"/>
  <c r="V125"/>
  <c r="V124"/>
  <c r="V123"/>
  <c r="V122"/>
  <c r="V120"/>
  <c r="V119"/>
  <c r="V118"/>
  <c r="V132"/>
  <c r="T124"/>
  <c r="M126"/>
  <c r="AK139" i="8"/>
  <c r="AJ139"/>
  <c r="AG139"/>
  <c r="AF139"/>
  <c r="AK138"/>
  <c r="AJ138"/>
  <c r="AG138"/>
  <c r="AF138"/>
  <c r="AK136"/>
  <c r="AJ136"/>
  <c r="AG136"/>
  <c r="AF136"/>
  <c r="AK135"/>
  <c r="AJ135"/>
  <c r="AG135"/>
  <c r="AF135"/>
  <c r="AB139"/>
  <c r="AA139"/>
  <c r="X139"/>
  <c r="W139"/>
  <c r="AB138"/>
  <c r="AA138"/>
  <c r="X138"/>
  <c r="W138"/>
  <c r="AB136"/>
  <c r="AA136"/>
  <c r="X136"/>
  <c r="W136"/>
  <c r="AB135"/>
  <c r="AA135"/>
  <c r="X135"/>
  <c r="W135"/>
  <c r="M132" i="4"/>
  <c r="O87"/>
  <c r="O132"/>
  <c r="Y139"/>
  <c r="X139"/>
  <c r="R139"/>
  <c r="Q139"/>
  <c r="O139"/>
  <c r="M139"/>
  <c r="Y138"/>
  <c r="X138"/>
  <c r="R138"/>
  <c r="Q138"/>
  <c r="O138"/>
  <c r="M138"/>
  <c r="Y136"/>
  <c r="X136"/>
  <c r="R136"/>
  <c r="Q136"/>
  <c r="O136"/>
  <c r="M136"/>
  <c r="Y135"/>
  <c r="X135"/>
  <c r="R135"/>
  <c r="Q135"/>
  <c r="O135"/>
  <c r="M135"/>
  <c r="X137"/>
  <c r="Y119"/>
  <c r="X119"/>
  <c r="R119"/>
  <c r="Q119"/>
  <c r="O119"/>
  <c r="M119"/>
  <c r="Y11"/>
  <c r="X11"/>
  <c r="V11"/>
  <c r="T11"/>
  <c r="R11"/>
  <c r="Q11"/>
  <c r="O11"/>
  <c r="M11"/>
  <c r="Q137" l="1"/>
  <c r="Y137"/>
  <c r="R137" l="1"/>
  <c r="R137" i="22" s="1"/>
  <c r="R134" i="4"/>
  <c r="R134" i="22" s="1"/>
  <c r="Q134" i="4" l="1"/>
  <c r="X134" l="1"/>
  <c r="Y134"/>
  <c r="Y53" i="2" l="1"/>
  <c r="Z53" s="1"/>
  <c r="Y55"/>
  <c r="Z55" s="1"/>
  <c r="Y56"/>
  <c r="Z56" s="1"/>
  <c r="Y57"/>
  <c r="Z57" s="1"/>
  <c r="Y58"/>
  <c r="Z58" s="1"/>
  <c r="Y60"/>
  <c r="Z60" s="1"/>
  <c r="Y63"/>
  <c r="Z63" s="1"/>
  <c r="Y64"/>
  <c r="Z64" s="1"/>
  <c r="R53"/>
  <c r="S53" s="1"/>
  <c r="R55"/>
  <c r="S55" s="1"/>
  <c r="R56"/>
  <c r="S56" s="1"/>
  <c r="R57"/>
  <c r="S57" s="1"/>
  <c r="R58"/>
  <c r="S58" s="1"/>
  <c r="R60"/>
  <c r="S60" s="1"/>
  <c r="R63"/>
  <c r="S63" s="1"/>
  <c r="R64"/>
  <c r="S64" s="1"/>
  <c r="N25" i="54"/>
  <c r="N3" i="55"/>
  <c r="B3"/>
  <c r="N2"/>
  <c r="B2"/>
  <c r="N3" i="58"/>
  <c r="N2"/>
  <c r="B3"/>
  <c r="B2"/>
  <c r="M1" i="57"/>
  <c r="N25" i="56"/>
  <c r="N3" i="60"/>
  <c r="N2"/>
  <c r="B3"/>
  <c r="B2"/>
  <c r="N25" i="59"/>
  <c r="D65" i="15" l="1"/>
  <c r="D64"/>
  <c r="D43"/>
  <c r="E43" s="1"/>
  <c r="D42"/>
  <c r="E42" s="1"/>
  <c r="D41"/>
  <c r="E41" s="1"/>
  <c r="D39"/>
  <c r="E39" s="1"/>
  <c r="D38"/>
  <c r="E38" s="1"/>
  <c r="D37"/>
  <c r="D36"/>
  <c r="E36" s="1"/>
  <c r="F58" i="12"/>
  <c r="F58" i="15" s="1"/>
  <c r="E58" i="12" l="1"/>
  <c r="E58" i="15" s="1"/>
  <c r="D58" i="12"/>
  <c r="D58" i="15" s="1"/>
  <c r="F22" i="60"/>
  <c r="F21"/>
  <c r="F22" i="58"/>
  <c r="F21"/>
  <c r="F22" i="55"/>
  <c r="H11" i="33" s="1"/>
  <c r="H53" s="1"/>
  <c r="F21" i="55"/>
  <c r="H10" i="33" s="1"/>
  <c r="H52" s="1"/>
  <c r="F31" i="15"/>
  <c r="F30"/>
  <c r="E31"/>
  <c r="E30"/>
  <c r="H22" i="33" l="1"/>
  <c r="H34"/>
  <c r="H46"/>
  <c r="H58"/>
  <c r="H23"/>
  <c r="H35"/>
  <c r="H47"/>
  <c r="H59"/>
  <c r="H16"/>
  <c r="H28"/>
  <c r="H40"/>
  <c r="H17"/>
  <c r="H29"/>
  <c r="H41"/>
  <c r="M196"/>
  <c r="L196"/>
  <c r="K196"/>
  <c r="T196"/>
  <c r="H127" i="60"/>
  <c r="I127" s="1"/>
  <c r="H126"/>
  <c r="H125"/>
  <c r="N18"/>
  <c r="N17"/>
  <c r="N16"/>
  <c r="N15"/>
  <c r="N14"/>
  <c r="N13"/>
  <c r="N12"/>
  <c r="N11"/>
  <c r="H121"/>
  <c r="N124" i="59"/>
  <c r="N123"/>
  <c r="H121"/>
  <c r="S116"/>
  <c r="S115"/>
  <c r="S114"/>
  <c r="S113"/>
  <c r="S112"/>
  <c r="S111"/>
  <c r="S110"/>
  <c r="S109"/>
  <c r="S108"/>
  <c r="S107"/>
  <c r="S106"/>
  <c r="S105"/>
  <c r="S104"/>
  <c r="S103"/>
  <c r="S102"/>
  <c r="F97"/>
  <c r="H80"/>
  <c r="M79"/>
  <c r="M78"/>
  <c r="M77"/>
  <c r="M76"/>
  <c r="M75"/>
  <c r="AB72"/>
  <c r="AC72" s="1"/>
  <c r="X72"/>
  <c r="Y72" s="1"/>
  <c r="AB71"/>
  <c r="AC71" s="1"/>
  <c r="X71"/>
  <c r="Y71" s="1"/>
  <c r="AC70"/>
  <c r="AB70"/>
  <c r="X70"/>
  <c r="Y70" s="1"/>
  <c r="AB69"/>
  <c r="AC69" s="1"/>
  <c r="X69"/>
  <c r="Y69" s="1"/>
  <c r="M48"/>
  <c r="V50"/>
  <c r="AB62"/>
  <c r="AC62" s="1"/>
  <c r="X62"/>
  <c r="Y62" s="1"/>
  <c r="AB61"/>
  <c r="AC61" s="1"/>
  <c r="X61"/>
  <c r="Y61" s="1"/>
  <c r="AB60"/>
  <c r="AC60" s="1"/>
  <c r="X60"/>
  <c r="Y60" s="1"/>
  <c r="AB59"/>
  <c r="AC59" s="1"/>
  <c r="X59"/>
  <c r="Y59" s="1"/>
  <c r="I59"/>
  <c r="V67" s="1"/>
  <c r="F120" i="60"/>
  <c r="F126" s="1"/>
  <c r="I50" i="59"/>
  <c r="Z50"/>
  <c r="AB47"/>
  <c r="AC47" s="1"/>
  <c r="AB46"/>
  <c r="AC46" s="1"/>
  <c r="AB45"/>
  <c r="AC45" s="1"/>
  <c r="AB44"/>
  <c r="AC44" s="1"/>
  <c r="V42"/>
  <c r="V47" s="1"/>
  <c r="M35"/>
  <c r="AC33"/>
  <c r="AB33"/>
  <c r="Y33"/>
  <c r="X33"/>
  <c r="AB32"/>
  <c r="AC32" s="1"/>
  <c r="X32"/>
  <c r="Y32" s="1"/>
  <c r="AB31"/>
  <c r="AC31" s="1"/>
  <c r="AC26" s="1"/>
  <c r="X31"/>
  <c r="Y31" s="1"/>
  <c r="I31"/>
  <c r="AB30"/>
  <c r="AC30" s="1"/>
  <c r="Y30"/>
  <c r="X30"/>
  <c r="J31"/>
  <c r="J33"/>
  <c r="I33"/>
  <c r="W44" l="1"/>
  <c r="W48" s="1"/>
  <c r="I54"/>
  <c r="I56" s="1"/>
  <c r="V45"/>
  <c r="W46"/>
  <c r="V44"/>
  <c r="V48" s="1"/>
  <c r="I42" s="1"/>
  <c r="Z42" s="1"/>
  <c r="W45"/>
  <c r="V46"/>
  <c r="W47"/>
  <c r="N50"/>
  <c r="N196" i="33"/>
  <c r="O196" s="1"/>
  <c r="J133" i="59"/>
  <c r="N75"/>
  <c r="Q131" s="1"/>
  <c r="O45" i="60"/>
  <c r="O72"/>
  <c r="O41"/>
  <c r="O46"/>
  <c r="O53"/>
  <c r="O64"/>
  <c r="O80"/>
  <c r="O54"/>
  <c r="O74"/>
  <c r="O68"/>
  <c r="O60"/>
  <c r="O56"/>
  <c r="O52"/>
  <c r="O49"/>
  <c r="O44"/>
  <c r="O43"/>
  <c r="O84"/>
  <c r="O48"/>
  <c r="O47"/>
  <c r="O42"/>
  <c r="O38"/>
  <c r="O76"/>
  <c r="O58"/>
  <c r="O39"/>
  <c r="O40"/>
  <c r="O51"/>
  <c r="O66"/>
  <c r="O82"/>
  <c r="O90"/>
  <c r="Y50" i="59"/>
  <c r="X50"/>
  <c r="N197" i="33"/>
  <c r="F121" i="60"/>
  <c r="O50"/>
  <c r="M59" i="59"/>
  <c r="Z67" s="1"/>
  <c r="AB26"/>
  <c r="J32" s="1"/>
  <c r="X67"/>
  <c r="Y67"/>
  <c r="M50"/>
  <c r="AB50"/>
  <c r="AC50"/>
  <c r="V65"/>
  <c r="Y26"/>
  <c r="O88" i="60"/>
  <c r="X26" i="59"/>
  <c r="L80" i="60"/>
  <c r="L38"/>
  <c r="L44"/>
  <c r="L54"/>
  <c r="M54" i="59" l="1"/>
  <c r="AF126" i="8" s="1"/>
  <c r="AF125"/>
  <c r="AF132"/>
  <c r="I60" i="59"/>
  <c r="L66" i="60"/>
  <c r="L45"/>
  <c r="L51"/>
  <c r="L46"/>
  <c r="L72"/>
  <c r="L49"/>
  <c r="L74"/>
  <c r="L43"/>
  <c r="L53"/>
  <c r="L76"/>
  <c r="L50"/>
  <c r="L42"/>
  <c r="L47"/>
  <c r="L41"/>
  <c r="L64"/>
  <c r="L84"/>
  <c r="L52"/>
  <c r="L56"/>
  <c r="L88"/>
  <c r="L39"/>
  <c r="L48"/>
  <c r="L40"/>
  <c r="L58"/>
  <c r="L82"/>
  <c r="L90"/>
  <c r="O197" i="33"/>
  <c r="O70" i="60"/>
  <c r="L70"/>
  <c r="O55"/>
  <c r="L55"/>
  <c r="O71"/>
  <c r="L71"/>
  <c r="O83"/>
  <c r="L83"/>
  <c r="F127"/>
  <c r="AC67" i="59"/>
  <c r="AB42"/>
  <c r="AB67"/>
  <c r="AC42"/>
  <c r="L60" i="60"/>
  <c r="O65"/>
  <c r="L65"/>
  <c r="O77"/>
  <c r="L77"/>
  <c r="Y65" i="59"/>
  <c r="X65"/>
  <c r="M60"/>
  <c r="O78" i="60"/>
  <c r="L78"/>
  <c r="L62"/>
  <c r="O62"/>
  <c r="O59"/>
  <c r="L59"/>
  <c r="O63"/>
  <c r="L63"/>
  <c r="O67"/>
  <c r="L67"/>
  <c r="O75"/>
  <c r="L75"/>
  <c r="O79"/>
  <c r="L79"/>
  <c r="O87"/>
  <c r="L87"/>
  <c r="O91"/>
  <c r="L91"/>
  <c r="L68"/>
  <c r="O57"/>
  <c r="L57"/>
  <c r="O61"/>
  <c r="L61"/>
  <c r="O69"/>
  <c r="L69"/>
  <c r="O73"/>
  <c r="L73"/>
  <c r="O81"/>
  <c r="L81"/>
  <c r="O85"/>
  <c r="L85"/>
  <c r="O89"/>
  <c r="L89"/>
  <c r="O86"/>
  <c r="L86"/>
  <c r="I32" i="59"/>
  <c r="I35" s="1"/>
  <c r="I44" l="1"/>
  <c r="N52" i="54" l="1"/>
  <c r="M52"/>
  <c r="V196" i="33"/>
  <c r="U196"/>
  <c r="W197" s="1"/>
  <c r="X197" s="1"/>
  <c r="D196"/>
  <c r="E196"/>
  <c r="F196"/>
  <c r="S102" i="54"/>
  <c r="S103"/>
  <c r="S104"/>
  <c r="S105"/>
  <c r="S106"/>
  <c r="S107"/>
  <c r="S108"/>
  <c r="S109"/>
  <c r="S110"/>
  <c r="S111"/>
  <c r="S112"/>
  <c r="S113"/>
  <c r="S114"/>
  <c r="S115"/>
  <c r="S116"/>
  <c r="S101"/>
  <c r="O170" i="33"/>
  <c r="N170"/>
  <c r="T98" i="56" s="1"/>
  <c r="P170" i="33"/>
  <c r="S108" i="56"/>
  <c r="S109"/>
  <c r="S110"/>
  <c r="S111"/>
  <c r="S112"/>
  <c r="S113"/>
  <c r="S114"/>
  <c r="S115"/>
  <c r="S102"/>
  <c r="S103"/>
  <c r="S104"/>
  <c r="S105"/>
  <c r="S106"/>
  <c r="S107"/>
  <c r="S101"/>
  <c r="H127" i="58"/>
  <c r="I127" s="1"/>
  <c r="H126"/>
  <c r="H125"/>
  <c r="N18"/>
  <c r="N17"/>
  <c r="N16"/>
  <c r="N15"/>
  <c r="N14"/>
  <c r="N13"/>
  <c r="N12"/>
  <c r="N11"/>
  <c r="H41" i="57"/>
  <c r="H33"/>
  <c r="K25"/>
  <c r="M42" s="1"/>
  <c r="J20"/>
  <c r="I18"/>
  <c r="I17"/>
  <c r="I16"/>
  <c r="I15"/>
  <c r="H121" i="58"/>
  <c r="N124" i="56"/>
  <c r="N123"/>
  <c r="H121"/>
  <c r="F97"/>
  <c r="H80"/>
  <c r="M79"/>
  <c r="M78"/>
  <c r="M77"/>
  <c r="M76"/>
  <c r="M75"/>
  <c r="AB72"/>
  <c r="AC72" s="1"/>
  <c r="X72"/>
  <c r="Y72" s="1"/>
  <c r="AB71"/>
  <c r="AC71" s="1"/>
  <c r="X71"/>
  <c r="Y71" s="1"/>
  <c r="AB70"/>
  <c r="AC70" s="1"/>
  <c r="X70"/>
  <c r="Y70" s="1"/>
  <c r="AB69"/>
  <c r="AC69" s="1"/>
  <c r="X69"/>
  <c r="Y69" s="1"/>
  <c r="M48"/>
  <c r="AB62"/>
  <c r="AC62" s="1"/>
  <c r="X62"/>
  <c r="Y62" s="1"/>
  <c r="AB61"/>
  <c r="AC61" s="1"/>
  <c r="X61"/>
  <c r="Y61" s="1"/>
  <c r="AB60"/>
  <c r="AC60" s="1"/>
  <c r="X60"/>
  <c r="Y60" s="1"/>
  <c r="AB59"/>
  <c r="AC59" s="1"/>
  <c r="X59"/>
  <c r="Y59" s="1"/>
  <c r="I59"/>
  <c r="V67" s="1"/>
  <c r="V50"/>
  <c r="I50"/>
  <c r="I54" s="1"/>
  <c r="I55" s="1"/>
  <c r="AC47"/>
  <c r="AB47"/>
  <c r="AC46"/>
  <c r="AB46"/>
  <c r="AC45"/>
  <c r="AB45"/>
  <c r="AC44"/>
  <c r="AB44"/>
  <c r="V42"/>
  <c r="M35"/>
  <c r="AB33"/>
  <c r="X33"/>
  <c r="Y33" s="1"/>
  <c r="AB32"/>
  <c r="AC32" s="1"/>
  <c r="X32"/>
  <c r="Y32" s="1"/>
  <c r="AB31"/>
  <c r="AC31" s="1"/>
  <c r="X31"/>
  <c r="Y31" s="1"/>
  <c r="I31"/>
  <c r="AB30"/>
  <c r="AC30" s="1"/>
  <c r="X30"/>
  <c r="Y30" s="1"/>
  <c r="J31"/>
  <c r="J33"/>
  <c r="I33"/>
  <c r="X26"/>
  <c r="BJ169" i="47"/>
  <c r="BI169"/>
  <c r="BH169"/>
  <c r="BG169"/>
  <c r="BF169"/>
  <c r="BE169"/>
  <c r="BD169"/>
  <c r="BC169"/>
  <c r="BB169"/>
  <c r="BA169"/>
  <c r="BJ161"/>
  <c r="BI161"/>
  <c r="BH161"/>
  <c r="BG161"/>
  <c r="BF161"/>
  <c r="BE161"/>
  <c r="BD161"/>
  <c r="BC161"/>
  <c r="BB161"/>
  <c r="BA161"/>
  <c r="BJ160"/>
  <c r="BI160"/>
  <c r="BH160"/>
  <c r="BG160"/>
  <c r="BF160"/>
  <c r="BE160"/>
  <c r="BD160"/>
  <c r="BC160"/>
  <c r="BB160"/>
  <c r="BA160"/>
  <c r="BD169" i="22"/>
  <c r="BC169"/>
  <c r="BB169"/>
  <c r="BA169"/>
  <c r="AZ169"/>
  <c r="AY169"/>
  <c r="AX169"/>
  <c r="AW169"/>
  <c r="AV169"/>
  <c r="AU169"/>
  <c r="BD161"/>
  <c r="BC161"/>
  <c r="BB161"/>
  <c r="BA161"/>
  <c r="AZ161"/>
  <c r="AY161"/>
  <c r="AX161"/>
  <c r="AW161"/>
  <c r="AV161"/>
  <c r="AU161"/>
  <c r="BD160"/>
  <c r="BC160"/>
  <c r="BB160"/>
  <c r="BA160"/>
  <c r="AZ160"/>
  <c r="AY160"/>
  <c r="AX160"/>
  <c r="AW160"/>
  <c r="AV160"/>
  <c r="AU160"/>
  <c r="L29" i="57" l="1"/>
  <c r="M36"/>
  <c r="M40"/>
  <c r="L27"/>
  <c r="L31"/>
  <c r="M34"/>
  <c r="M38"/>
  <c r="M41"/>
  <c r="L28"/>
  <c r="L32"/>
  <c r="M35"/>
  <c r="M39"/>
  <c r="L26"/>
  <c r="L30"/>
  <c r="M33"/>
  <c r="M37"/>
  <c r="M37" i="54"/>
  <c r="Q135"/>
  <c r="N135"/>
  <c r="I79"/>
  <c r="I75"/>
  <c r="I78"/>
  <c r="I76"/>
  <c r="I77"/>
  <c r="N131"/>
  <c r="Q131"/>
  <c r="J133"/>
  <c r="AB26" i="56"/>
  <c r="Y26"/>
  <c r="I32" s="1"/>
  <c r="I35" s="1"/>
  <c r="G196" i="33"/>
  <c r="H196" s="1"/>
  <c r="N75" i="56"/>
  <c r="Y50"/>
  <c r="O59" i="58"/>
  <c r="O67"/>
  <c r="O75"/>
  <c r="O83"/>
  <c r="O91"/>
  <c r="O63"/>
  <c r="O71"/>
  <c r="O79"/>
  <c r="W196" i="33"/>
  <c r="X196" s="1"/>
  <c r="G197"/>
  <c r="Y67" i="56"/>
  <c r="V65"/>
  <c r="M59"/>
  <c r="Z67" s="1"/>
  <c r="AC33"/>
  <c r="AC26" s="1"/>
  <c r="V44"/>
  <c r="V45"/>
  <c r="V46"/>
  <c r="V47"/>
  <c r="V48" s="1"/>
  <c r="I42" s="1"/>
  <c r="X50"/>
  <c r="X67"/>
  <c r="N97"/>
  <c r="M27" i="57"/>
  <c r="M28"/>
  <c r="M29"/>
  <c r="M30"/>
  <c r="M31"/>
  <c r="M32"/>
  <c r="L63" i="58"/>
  <c r="W44" i="56"/>
  <c r="W45"/>
  <c r="W46"/>
  <c r="W47"/>
  <c r="L42" i="57"/>
  <c r="L41"/>
  <c r="M26"/>
  <c r="L33"/>
  <c r="L34"/>
  <c r="L35"/>
  <c r="L36"/>
  <c r="L37"/>
  <c r="L38"/>
  <c r="L39"/>
  <c r="L40"/>
  <c r="Q131" i="56" l="1"/>
  <c r="J32"/>
  <c r="W48"/>
  <c r="L71" i="58"/>
  <c r="L87"/>
  <c r="L55"/>
  <c r="O87"/>
  <c r="O55"/>
  <c r="L79"/>
  <c r="L75"/>
  <c r="L59"/>
  <c r="L91"/>
  <c r="L67"/>
  <c r="L83"/>
  <c r="Z42" i="56"/>
  <c r="L73" i="58"/>
  <c r="O73"/>
  <c r="O38"/>
  <c r="L38"/>
  <c r="O42"/>
  <c r="L42"/>
  <c r="O46"/>
  <c r="L46"/>
  <c r="O50"/>
  <c r="L50"/>
  <c r="O54"/>
  <c r="L54"/>
  <c r="O41"/>
  <c r="L41"/>
  <c r="O45"/>
  <c r="L45"/>
  <c r="O49"/>
  <c r="L49"/>
  <c r="O53"/>
  <c r="L53"/>
  <c r="I125"/>
  <c r="L77"/>
  <c r="O77"/>
  <c r="L81"/>
  <c r="O81"/>
  <c r="O56"/>
  <c r="L56"/>
  <c r="O60"/>
  <c r="L60"/>
  <c r="O64"/>
  <c r="L64"/>
  <c r="O68"/>
  <c r="L68"/>
  <c r="O72"/>
  <c r="L72"/>
  <c r="O76"/>
  <c r="L76"/>
  <c r="O80"/>
  <c r="L80"/>
  <c r="O84"/>
  <c r="L84"/>
  <c r="O88"/>
  <c r="L88"/>
  <c r="I60" i="56"/>
  <c r="L69" i="58"/>
  <c r="O69"/>
  <c r="L85"/>
  <c r="O85"/>
  <c r="L89"/>
  <c r="O89"/>
  <c r="L57"/>
  <c r="O57"/>
  <c r="O40"/>
  <c r="L40"/>
  <c r="O44"/>
  <c r="L44"/>
  <c r="O48"/>
  <c r="L48"/>
  <c r="O52"/>
  <c r="L52"/>
  <c r="O39"/>
  <c r="L39"/>
  <c r="O43"/>
  <c r="L43"/>
  <c r="O47"/>
  <c r="L47"/>
  <c r="O51"/>
  <c r="L51"/>
  <c r="L61"/>
  <c r="O61"/>
  <c r="L65"/>
  <c r="O65"/>
  <c r="O58"/>
  <c r="L58"/>
  <c r="O62"/>
  <c r="L62"/>
  <c r="O66"/>
  <c r="L66"/>
  <c r="O70"/>
  <c r="L70"/>
  <c r="O74"/>
  <c r="L74"/>
  <c r="O78"/>
  <c r="L78"/>
  <c r="O82"/>
  <c r="L82"/>
  <c r="O86"/>
  <c r="L86"/>
  <c r="O90"/>
  <c r="L90"/>
  <c r="Z50" i="56"/>
  <c r="Y65"/>
  <c r="X65"/>
  <c r="M50" s="1"/>
  <c r="I119" i="58" l="1"/>
  <c r="F121"/>
  <c r="AB50" i="56"/>
  <c r="AC50"/>
  <c r="AC42"/>
  <c r="AB42"/>
  <c r="AC67"/>
  <c r="AB67"/>
  <c r="N50" l="1"/>
  <c r="M54" s="1"/>
  <c r="M60"/>
  <c r="F120" i="58"/>
  <c r="J133" i="56"/>
  <c r="F127" i="58"/>
  <c r="I44" i="56"/>
  <c r="I126" i="58" l="1"/>
  <c r="H120"/>
  <c r="F126"/>
  <c r="H85" i="16" l="1"/>
  <c r="H85" i="13"/>
  <c r="CA169" i="47"/>
  <c r="BZ169"/>
  <c r="BY169"/>
  <c r="BX169"/>
  <c r="BW169"/>
  <c r="BV169"/>
  <c r="BU169"/>
  <c r="BT169"/>
  <c r="BS169"/>
  <c r="BR169"/>
  <c r="CA161"/>
  <c r="BZ161"/>
  <c r="BY161"/>
  <c r="BX161"/>
  <c r="BW161"/>
  <c r="BV161"/>
  <c r="BU161"/>
  <c r="BT161"/>
  <c r="BS161"/>
  <c r="BR161"/>
  <c r="CA160"/>
  <c r="BZ160"/>
  <c r="BY160"/>
  <c r="BX160"/>
  <c r="BW160"/>
  <c r="BV160"/>
  <c r="BU160"/>
  <c r="BT160"/>
  <c r="BS160"/>
  <c r="BR160"/>
  <c r="BU169" i="22"/>
  <c r="BT169"/>
  <c r="BS169"/>
  <c r="BR169"/>
  <c r="BQ169"/>
  <c r="BP169"/>
  <c r="BO169"/>
  <c r="BN169"/>
  <c r="BM169"/>
  <c r="BL169"/>
  <c r="BU161"/>
  <c r="BT161"/>
  <c r="BS161"/>
  <c r="BR161"/>
  <c r="BQ161"/>
  <c r="BP161"/>
  <c r="BO161"/>
  <c r="BN161"/>
  <c r="BM161"/>
  <c r="BL161"/>
  <c r="BU160"/>
  <c r="BT160"/>
  <c r="BS160"/>
  <c r="BR160"/>
  <c r="BQ160"/>
  <c r="BP160"/>
  <c r="BO160"/>
  <c r="BN160"/>
  <c r="BM160"/>
  <c r="BL160"/>
  <c r="H127" i="55"/>
  <c r="H126"/>
  <c r="H125"/>
  <c r="N18"/>
  <c r="N17"/>
  <c r="N16"/>
  <c r="N15"/>
  <c r="N14"/>
  <c r="N13"/>
  <c r="N12"/>
  <c r="N11"/>
  <c r="H121"/>
  <c r="I121"/>
  <c r="I127" s="1"/>
  <c r="N124" i="54"/>
  <c r="N123"/>
  <c r="H121"/>
  <c r="F97"/>
  <c r="H80"/>
  <c r="M79"/>
  <c r="M78"/>
  <c r="M77"/>
  <c r="M76"/>
  <c r="M75"/>
  <c r="AC72"/>
  <c r="AB72"/>
  <c r="Y72"/>
  <c r="X72"/>
  <c r="AC71"/>
  <c r="AB71"/>
  <c r="Y71"/>
  <c r="X71"/>
  <c r="AC70"/>
  <c r="AB70"/>
  <c r="Y70"/>
  <c r="X70"/>
  <c r="AC69"/>
  <c r="AB69"/>
  <c r="Y69"/>
  <c r="X69"/>
  <c r="M48"/>
  <c r="AB62"/>
  <c r="AC62" s="1"/>
  <c r="X62"/>
  <c r="Y62" s="1"/>
  <c r="AB61"/>
  <c r="AC61" s="1"/>
  <c r="X61"/>
  <c r="Y61" s="1"/>
  <c r="AB60"/>
  <c r="AC60" s="1"/>
  <c r="X60"/>
  <c r="Y60" s="1"/>
  <c r="AB59"/>
  <c r="AC59" s="1"/>
  <c r="X59"/>
  <c r="Y59" s="1"/>
  <c r="I59"/>
  <c r="V67" s="1"/>
  <c r="V50"/>
  <c r="I50"/>
  <c r="I54" s="1"/>
  <c r="Z50"/>
  <c r="AC47"/>
  <c r="AB47"/>
  <c r="AC46"/>
  <c r="AB46"/>
  <c r="AC45"/>
  <c r="AB45"/>
  <c r="AB44"/>
  <c r="AC44" s="1"/>
  <c r="V42"/>
  <c r="W47" s="1"/>
  <c r="M35"/>
  <c r="AB33"/>
  <c r="AC33" s="1"/>
  <c r="X33"/>
  <c r="Y33" s="1"/>
  <c r="AB32"/>
  <c r="AC32" s="1"/>
  <c r="X32"/>
  <c r="Y32" s="1"/>
  <c r="AB31"/>
  <c r="AC31" s="1"/>
  <c r="X31"/>
  <c r="Y31" s="1"/>
  <c r="I31"/>
  <c r="AB30"/>
  <c r="AC30" s="1"/>
  <c r="X30"/>
  <c r="Y30" s="1"/>
  <c r="J31"/>
  <c r="J33"/>
  <c r="I33"/>
  <c r="AB26"/>
  <c r="X26"/>
  <c r="AC26" l="1"/>
  <c r="J32" s="1"/>
  <c r="W46"/>
  <c r="W45"/>
  <c r="W44"/>
  <c r="I56"/>
  <c r="AG132" i="8" s="1"/>
  <c r="AG125"/>
  <c r="O49" i="55"/>
  <c r="O41"/>
  <c r="O56"/>
  <c r="X50" i="54"/>
  <c r="Y50"/>
  <c r="O43" i="55"/>
  <c r="O51"/>
  <c r="O47"/>
  <c r="O53"/>
  <c r="O57"/>
  <c r="O39"/>
  <c r="AC50" i="54"/>
  <c r="AB50"/>
  <c r="M50"/>
  <c r="V65"/>
  <c r="M59"/>
  <c r="Z67" s="1"/>
  <c r="N75"/>
  <c r="Y67"/>
  <c r="X67"/>
  <c r="Y26"/>
  <c r="I32" s="1"/>
  <c r="W48"/>
  <c r="V44"/>
  <c r="V45"/>
  <c r="V46"/>
  <c r="V47"/>
  <c r="O45" i="55"/>
  <c r="I35" i="54"/>
  <c r="N50"/>
  <c r="L49" i="55"/>
  <c r="I60" i="54" l="1"/>
  <c r="V48"/>
  <c r="I42" s="1"/>
  <c r="Z42" s="1"/>
  <c r="L41" i="55"/>
  <c r="L53"/>
  <c r="L47"/>
  <c r="L39"/>
  <c r="L51"/>
  <c r="L56"/>
  <c r="L43"/>
  <c r="L57"/>
  <c r="L45"/>
  <c r="L91"/>
  <c r="O91"/>
  <c r="L75"/>
  <c r="O75"/>
  <c r="L59"/>
  <c r="O59"/>
  <c r="L85"/>
  <c r="O85"/>
  <c r="L77"/>
  <c r="O77"/>
  <c r="L69"/>
  <c r="O69"/>
  <c r="L61"/>
  <c r="O61"/>
  <c r="L52"/>
  <c r="O52"/>
  <c r="L48"/>
  <c r="O48"/>
  <c r="L44"/>
  <c r="O44"/>
  <c r="L40"/>
  <c r="O40"/>
  <c r="F121"/>
  <c r="M54" i="54"/>
  <c r="AG126" i="8" s="1"/>
  <c r="L58" i="55"/>
  <c r="O58"/>
  <c r="O60"/>
  <c r="L60"/>
  <c r="O64"/>
  <c r="L64"/>
  <c r="O68"/>
  <c r="L68"/>
  <c r="O72"/>
  <c r="L72"/>
  <c r="O76"/>
  <c r="L76"/>
  <c r="O80"/>
  <c r="L80"/>
  <c r="O84"/>
  <c r="L84"/>
  <c r="O88"/>
  <c r="L88"/>
  <c r="M60" i="54"/>
  <c r="L83" i="55"/>
  <c r="O83"/>
  <c r="L67"/>
  <c r="O67"/>
  <c r="L87"/>
  <c r="O87"/>
  <c r="L79"/>
  <c r="O79"/>
  <c r="L71"/>
  <c r="O71"/>
  <c r="L63"/>
  <c r="O63"/>
  <c r="L89"/>
  <c r="O89"/>
  <c r="L81"/>
  <c r="O81"/>
  <c r="L73"/>
  <c r="O73"/>
  <c r="L65"/>
  <c r="O65"/>
  <c r="L55"/>
  <c r="O55"/>
  <c r="L54"/>
  <c r="O54"/>
  <c r="L50"/>
  <c r="O50"/>
  <c r="L46"/>
  <c r="O46"/>
  <c r="L42"/>
  <c r="O42"/>
  <c r="L38"/>
  <c r="O38"/>
  <c r="O62"/>
  <c r="L62"/>
  <c r="O66"/>
  <c r="L66"/>
  <c r="O70"/>
  <c r="L70"/>
  <c r="O74"/>
  <c r="L74"/>
  <c r="O78"/>
  <c r="L78"/>
  <c r="O82"/>
  <c r="L82"/>
  <c r="O86"/>
  <c r="L86"/>
  <c r="O90"/>
  <c r="L90"/>
  <c r="F120"/>
  <c r="X65" i="54"/>
  <c r="Y65"/>
  <c r="F127" i="55" l="1"/>
  <c r="F126"/>
  <c r="AB67" i="54"/>
  <c r="AC42"/>
  <c r="AB42"/>
  <c r="AC67"/>
  <c r="I44" l="1"/>
  <c r="O68" i="2" l="1"/>
  <c r="R68" s="1"/>
  <c r="F31" i="60" l="1"/>
  <c r="S68" i="2"/>
  <c r="W89"/>
  <c r="W91"/>
  <c r="W90"/>
  <c r="E40" i="57" s="1"/>
  <c r="W85" i="2"/>
  <c r="W93"/>
  <c r="G168" i="33" s="1"/>
  <c r="H168" s="1"/>
  <c r="W77" i="2"/>
  <c r="W78"/>
  <c r="W79"/>
  <c r="W80"/>
  <c r="W81"/>
  <c r="E31" i="57" s="1"/>
  <c r="W82" i="2"/>
  <c r="E32" i="57" s="1"/>
  <c r="W83" i="2"/>
  <c r="W84"/>
  <c r="W86"/>
  <c r="W87"/>
  <c r="W88"/>
  <c r="W92"/>
  <c r="G167" i="33" s="1"/>
  <c r="H167" s="1"/>
  <c r="W94" i="2"/>
  <c r="G169" i="33" s="1"/>
  <c r="H169" s="1"/>
  <c r="W76" i="2"/>
  <c r="P89"/>
  <c r="P91"/>
  <c r="P90"/>
  <c r="P85"/>
  <c r="H110" i="59" s="1"/>
  <c r="P77" i="2"/>
  <c r="P78"/>
  <c r="P79"/>
  <c r="P80"/>
  <c r="P81"/>
  <c r="P82"/>
  <c r="P83"/>
  <c r="P84"/>
  <c r="P86"/>
  <c r="P87"/>
  <c r="P88"/>
  <c r="P93"/>
  <c r="U168" i="33" s="1"/>
  <c r="V168" s="1"/>
  <c r="P94" i="2"/>
  <c r="U169" i="33" s="1"/>
  <c r="V169" s="1"/>
  <c r="P76" i="2"/>
  <c r="O65"/>
  <c r="R65" s="1"/>
  <c r="O66"/>
  <c r="P16"/>
  <c r="I177" i="33" s="1"/>
  <c r="P196" s="1"/>
  <c r="D16" i="53"/>
  <c r="P7" s="1"/>
  <c r="D5" s="1"/>
  <c r="D24"/>
  <c r="O7"/>
  <c r="C5" s="1"/>
  <c r="AA179" i="33"/>
  <c r="Z179"/>
  <c r="Y179"/>
  <c r="X179"/>
  <c r="W179"/>
  <c r="V179"/>
  <c r="U179"/>
  <c r="T179"/>
  <c r="AA178"/>
  <c r="Z178"/>
  <c r="Y178"/>
  <c r="X178"/>
  <c r="W178"/>
  <c r="V178"/>
  <c r="U178"/>
  <c r="T178"/>
  <c r="Q167"/>
  <c r="P167"/>
  <c r="O167"/>
  <c r="P149"/>
  <c r="O149"/>
  <c r="I101"/>
  <c r="Q91"/>
  <c r="P91"/>
  <c r="O91"/>
  <c r="N91"/>
  <c r="M91"/>
  <c r="L91"/>
  <c r="K91"/>
  <c r="J91"/>
  <c r="I91"/>
  <c r="Q88"/>
  <c r="P88"/>
  <c r="O88"/>
  <c r="N88"/>
  <c r="M88"/>
  <c r="L88"/>
  <c r="K88"/>
  <c r="J88"/>
  <c r="I88"/>
  <c r="Q85"/>
  <c r="P85"/>
  <c r="O85"/>
  <c r="N85"/>
  <c r="M85"/>
  <c r="L85"/>
  <c r="K85"/>
  <c r="J85"/>
  <c r="I85"/>
  <c r="Q82"/>
  <c r="P82"/>
  <c r="O82"/>
  <c r="N82"/>
  <c r="M82"/>
  <c r="L82"/>
  <c r="K82"/>
  <c r="J82"/>
  <c r="I82"/>
  <c r="Q79"/>
  <c r="P79"/>
  <c r="O79"/>
  <c r="N79"/>
  <c r="M79"/>
  <c r="L79"/>
  <c r="K79"/>
  <c r="J79"/>
  <c r="I79"/>
  <c r="Q76"/>
  <c r="P76"/>
  <c r="O76"/>
  <c r="N76"/>
  <c r="M76"/>
  <c r="L76"/>
  <c r="K76"/>
  <c r="J76"/>
  <c r="I76"/>
  <c r="Q73"/>
  <c r="P73"/>
  <c r="O73"/>
  <c r="K73"/>
  <c r="J73"/>
  <c r="I73"/>
  <c r="Q70"/>
  <c r="P70"/>
  <c r="O70"/>
  <c r="N70"/>
  <c r="M70"/>
  <c r="L70"/>
  <c r="K70"/>
  <c r="J70"/>
  <c r="I70"/>
  <c r="Q67"/>
  <c r="P67"/>
  <c r="O67"/>
  <c r="N67"/>
  <c r="M67"/>
  <c r="L67"/>
  <c r="K67"/>
  <c r="J67"/>
  <c r="I67"/>
  <c r="Q59"/>
  <c r="P58"/>
  <c r="P53"/>
  <c r="O52"/>
  <c r="O47"/>
  <c r="N46"/>
  <c r="N41"/>
  <c r="Q40"/>
  <c r="Q35"/>
  <c r="K34"/>
  <c r="P34"/>
  <c r="P29"/>
  <c r="O28"/>
  <c r="P23"/>
  <c r="N22"/>
  <c r="G18"/>
  <c r="G24" s="1"/>
  <c r="G30" s="1"/>
  <c r="G36" s="1"/>
  <c r="G42" s="1"/>
  <c r="G48" s="1"/>
  <c r="G54" s="1"/>
  <c r="G60" s="1"/>
  <c r="N17"/>
  <c r="G17"/>
  <c r="G23" s="1"/>
  <c r="G29" s="1"/>
  <c r="G35" s="1"/>
  <c r="G41" s="1"/>
  <c r="G47" s="1"/>
  <c r="G53" s="1"/>
  <c r="G59" s="1"/>
  <c r="Q16"/>
  <c r="G16"/>
  <c r="G22" s="1"/>
  <c r="G28" s="1"/>
  <c r="G34" s="1"/>
  <c r="G40" s="1"/>
  <c r="G46" s="1"/>
  <c r="G52" s="1"/>
  <c r="G58" s="1"/>
  <c r="G15"/>
  <c r="G21" s="1"/>
  <c r="G27" s="1"/>
  <c r="G33" s="1"/>
  <c r="G39" s="1"/>
  <c r="G45" s="1"/>
  <c r="G51" s="1"/>
  <c r="G57" s="1"/>
  <c r="G14"/>
  <c r="G20" s="1"/>
  <c r="G26" s="1"/>
  <c r="G32" s="1"/>
  <c r="G38" s="1"/>
  <c r="G44" s="1"/>
  <c r="G50" s="1"/>
  <c r="G56" s="1"/>
  <c r="G13"/>
  <c r="G19" s="1"/>
  <c r="G25" s="1"/>
  <c r="G31" s="1"/>
  <c r="G37" s="1"/>
  <c r="G43" s="1"/>
  <c r="G49" s="1"/>
  <c r="G55" s="1"/>
  <c r="P11"/>
  <c r="N10"/>
  <c r="H69" i="2"/>
  <c r="V67" s="1"/>
  <c r="Y67" s="1"/>
  <c r="C69"/>
  <c r="O67" s="1"/>
  <c r="H62"/>
  <c r="H59"/>
  <c r="H54"/>
  <c r="H52"/>
  <c r="C62"/>
  <c r="C59"/>
  <c r="C54"/>
  <c r="C52"/>
  <c r="W41" i="66" l="1"/>
  <c r="I95" i="33"/>
  <c r="E86" i="13"/>
  <c r="E86" i="16"/>
  <c r="H107" i="59"/>
  <c r="U157" i="33"/>
  <c r="V157" s="1"/>
  <c r="J107" i="59" s="1"/>
  <c r="H103"/>
  <c r="U153" i="33"/>
  <c r="V153" s="1"/>
  <c r="J103" i="59" s="1"/>
  <c r="Z67" i="2"/>
  <c r="F34" i="58"/>
  <c r="F34" i="55"/>
  <c r="H109" i="59"/>
  <c r="U159" i="33"/>
  <c r="V159" s="1"/>
  <c r="J109" i="59" s="1"/>
  <c r="H105"/>
  <c r="U155" i="33"/>
  <c r="V155" s="1"/>
  <c r="J105" i="59" s="1"/>
  <c r="P92" i="2"/>
  <c r="U167" i="33" s="1"/>
  <c r="V167" s="1"/>
  <c r="J75" i="2"/>
  <c r="S65"/>
  <c r="F32" i="60"/>
  <c r="H113" i="59"/>
  <c r="U163" i="33"/>
  <c r="V163" s="1"/>
  <c r="J113" i="59" s="1"/>
  <c r="H108"/>
  <c r="U158" i="33"/>
  <c r="V158" s="1"/>
  <c r="J108" i="59" s="1"/>
  <c r="H104"/>
  <c r="U154" i="33"/>
  <c r="V154" s="1"/>
  <c r="J104" i="59" s="1"/>
  <c r="H115"/>
  <c r="U165" i="33"/>
  <c r="V165" s="1"/>
  <c r="J115" i="59" s="1"/>
  <c r="E75" i="2"/>
  <c r="Q67" s="1"/>
  <c r="R67"/>
  <c r="H106" i="59"/>
  <c r="U156" i="33"/>
  <c r="V156" s="1"/>
  <c r="J106" i="59" s="1"/>
  <c r="H102"/>
  <c r="U152" i="33"/>
  <c r="V152" s="1"/>
  <c r="J102" i="59" s="1"/>
  <c r="H114"/>
  <c r="U164" i="33"/>
  <c r="V164" s="1"/>
  <c r="J114" i="59" s="1"/>
  <c r="O31" i="60"/>
  <c r="L31"/>
  <c r="R31"/>
  <c r="U31"/>
  <c r="I188" i="33"/>
  <c r="I180"/>
  <c r="I195"/>
  <c r="H112" i="59"/>
  <c r="U162" i="33"/>
  <c r="V162" s="1"/>
  <c r="J112" i="59" s="1"/>
  <c r="H111"/>
  <c r="U161" i="33"/>
  <c r="V161" s="1"/>
  <c r="J111" i="59" s="1"/>
  <c r="U160" i="33"/>
  <c r="V160" s="1"/>
  <c r="J110" i="59" s="1"/>
  <c r="H116"/>
  <c r="U166" i="33"/>
  <c r="V166" s="1"/>
  <c r="J116" i="59" s="1"/>
  <c r="Y197" i="33"/>
  <c r="L133" i="56" s="1"/>
  <c r="Y196" i="33"/>
  <c r="K133" i="56" s="1"/>
  <c r="H101" i="59"/>
  <c r="U151" i="33"/>
  <c r="V151" s="1"/>
  <c r="J101" i="59" s="1"/>
  <c r="E30" i="57"/>
  <c r="E26"/>
  <c r="H101" i="56"/>
  <c r="H101" i="54"/>
  <c r="G151" i="33"/>
  <c r="H151" s="1"/>
  <c r="E42" i="57"/>
  <c r="H116" i="56"/>
  <c r="G166" i="33"/>
  <c r="H166" s="1"/>
  <c r="J116" i="56" s="1"/>
  <c r="H116" i="54"/>
  <c r="H115" i="56"/>
  <c r="G165" i="33"/>
  <c r="H165" s="1"/>
  <c r="J115" i="56" s="1"/>
  <c r="H115" i="54"/>
  <c r="H114" i="56"/>
  <c r="H114" i="54"/>
  <c r="G164" i="33"/>
  <c r="H164" s="1"/>
  <c r="J114" i="56" s="1"/>
  <c r="E39" i="57"/>
  <c r="H113" i="56"/>
  <c r="H113" i="54"/>
  <c r="G163" i="33"/>
  <c r="H163" s="1"/>
  <c r="J113" i="56" s="1"/>
  <c r="E38" i="57"/>
  <c r="H112" i="56"/>
  <c r="G162" i="33"/>
  <c r="H162" s="1"/>
  <c r="J112" i="56" s="1"/>
  <c r="H112" i="54"/>
  <c r="E37" i="57"/>
  <c r="H111" i="56"/>
  <c r="G161" i="33"/>
  <c r="H161" s="1"/>
  <c r="J111" i="56" s="1"/>
  <c r="H111" i="54"/>
  <c r="E36" i="57"/>
  <c r="H110" i="56"/>
  <c r="H110" i="54"/>
  <c r="G160" i="33"/>
  <c r="H160" s="1"/>
  <c r="J110" i="56" s="1"/>
  <c r="E35" i="57"/>
  <c r="H109" i="56"/>
  <c r="H109" i="54"/>
  <c r="G159" i="33"/>
  <c r="H159" s="1"/>
  <c r="J109" i="56" s="1"/>
  <c r="E34" i="57"/>
  <c r="H108" i="56"/>
  <c r="G158" i="33"/>
  <c r="H158" s="1"/>
  <c r="J108" i="56" s="1"/>
  <c r="H108" i="54"/>
  <c r="H107" i="56"/>
  <c r="G157" i="33"/>
  <c r="H157" s="1"/>
  <c r="J107" i="56" s="1"/>
  <c r="H107" i="54"/>
  <c r="H106" i="56"/>
  <c r="H106" i="54"/>
  <c r="G156" i="33"/>
  <c r="H156" s="1"/>
  <c r="J106" i="56" s="1"/>
  <c r="H105"/>
  <c r="H105" i="54"/>
  <c r="G155" i="33"/>
  <c r="H155" s="1"/>
  <c r="J105" i="56" s="1"/>
  <c r="H104"/>
  <c r="G154" i="33"/>
  <c r="H154" s="1"/>
  <c r="J104" i="56" s="1"/>
  <c r="H104" i="54"/>
  <c r="H123" s="1"/>
  <c r="E29" i="57"/>
  <c r="H103" i="56"/>
  <c r="G153" i="33"/>
  <c r="H153" s="1"/>
  <c r="J103" i="56" s="1"/>
  <c r="H103" i="54"/>
  <c r="E28" i="57"/>
  <c r="H102" i="56"/>
  <c r="H102" i="54"/>
  <c r="G152" i="33"/>
  <c r="H152" s="1"/>
  <c r="J102" i="56" s="1"/>
  <c r="D63" i="15"/>
  <c r="J50" i="53"/>
  <c r="J110" i="54"/>
  <c r="J95" i="33"/>
  <c r="I182"/>
  <c r="K29"/>
  <c r="K17"/>
  <c r="J29"/>
  <c r="I190"/>
  <c r="X67" i="2"/>
  <c r="N59" i="33"/>
  <c r="I178"/>
  <c r="I186"/>
  <c r="I194"/>
  <c r="Q29"/>
  <c r="N35"/>
  <c r="I184"/>
  <c r="I192"/>
  <c r="C68" i="2"/>
  <c r="AF23" i="64" s="1"/>
  <c r="H68" i="2"/>
  <c r="L14" i="57" s="1"/>
  <c r="I14" s="1"/>
  <c r="I181" i="33"/>
  <c r="P197" s="1"/>
  <c r="L133" i="59" s="1"/>
  <c r="H120" i="60" s="1"/>
  <c r="I185" i="33"/>
  <c r="I189"/>
  <c r="I193"/>
  <c r="H197"/>
  <c r="I197" s="1"/>
  <c r="I179"/>
  <c r="I183"/>
  <c r="I187"/>
  <c r="I191"/>
  <c r="O34"/>
  <c r="K53"/>
  <c r="N29"/>
  <c r="I34"/>
  <c r="Q34"/>
  <c r="Q36" s="1"/>
  <c r="J40"/>
  <c r="N16"/>
  <c r="N18" s="1"/>
  <c r="K46"/>
  <c r="J11"/>
  <c r="O11"/>
  <c r="K22"/>
  <c r="I29"/>
  <c r="O29"/>
  <c r="O30" s="1"/>
  <c r="J34"/>
  <c r="O41"/>
  <c r="O58"/>
  <c r="I10"/>
  <c r="Q10"/>
  <c r="K11"/>
  <c r="Q11"/>
  <c r="M17"/>
  <c r="M22"/>
  <c r="I41"/>
  <c r="Q41"/>
  <c r="Q42" s="1"/>
  <c r="M46"/>
  <c r="M53"/>
  <c r="I58"/>
  <c r="Q58"/>
  <c r="Q60" s="1"/>
  <c r="O10"/>
  <c r="K10"/>
  <c r="M11"/>
  <c r="O17"/>
  <c r="O22"/>
  <c r="K41"/>
  <c r="O46"/>
  <c r="O48" s="1"/>
  <c r="O53"/>
  <c r="O54" s="1"/>
  <c r="K58"/>
  <c r="M10"/>
  <c r="I11"/>
  <c r="N11"/>
  <c r="N12" s="1"/>
  <c r="J16"/>
  <c r="I17"/>
  <c r="Q17"/>
  <c r="Q18" s="1"/>
  <c r="I22"/>
  <c r="Q22"/>
  <c r="M29"/>
  <c r="M34"/>
  <c r="J35"/>
  <c r="N40"/>
  <c r="N42" s="1"/>
  <c r="M41"/>
  <c r="I46"/>
  <c r="Q46"/>
  <c r="I53"/>
  <c r="Q53"/>
  <c r="M58"/>
  <c r="J59"/>
  <c r="O23"/>
  <c r="K23"/>
  <c r="N23"/>
  <c r="N24" s="1"/>
  <c r="J23"/>
  <c r="Q23"/>
  <c r="M23"/>
  <c r="M24" s="1"/>
  <c r="I23"/>
  <c r="L23"/>
  <c r="P28"/>
  <c r="P30" s="1"/>
  <c r="L10"/>
  <c r="P10"/>
  <c r="P12" s="1"/>
  <c r="K16"/>
  <c r="O16"/>
  <c r="L17"/>
  <c r="P17"/>
  <c r="L22"/>
  <c r="P22"/>
  <c r="P24" s="1"/>
  <c r="I28"/>
  <c r="M28"/>
  <c r="Q28"/>
  <c r="N34"/>
  <c r="K35"/>
  <c r="K36" s="1"/>
  <c r="O35"/>
  <c r="K40"/>
  <c r="O40"/>
  <c r="L41"/>
  <c r="P41"/>
  <c r="L46"/>
  <c r="P46"/>
  <c r="I47"/>
  <c r="M47"/>
  <c r="Q47"/>
  <c r="I52"/>
  <c r="M52"/>
  <c r="M54" s="1"/>
  <c r="Q52"/>
  <c r="J53"/>
  <c r="N53"/>
  <c r="J58"/>
  <c r="N58"/>
  <c r="K59"/>
  <c r="O59"/>
  <c r="L47"/>
  <c r="L16"/>
  <c r="P16"/>
  <c r="J28"/>
  <c r="N28"/>
  <c r="L35"/>
  <c r="P35"/>
  <c r="P36" s="1"/>
  <c r="L40"/>
  <c r="P40"/>
  <c r="J47"/>
  <c r="N47"/>
  <c r="N48" s="1"/>
  <c r="J52"/>
  <c r="N52"/>
  <c r="L59"/>
  <c r="P59"/>
  <c r="P60" s="1"/>
  <c r="L28"/>
  <c r="P47"/>
  <c r="L52"/>
  <c r="P52"/>
  <c r="P54" s="1"/>
  <c r="J10"/>
  <c r="J12" s="1"/>
  <c r="L11"/>
  <c r="I16"/>
  <c r="M16"/>
  <c r="J17"/>
  <c r="J22"/>
  <c r="K28"/>
  <c r="L29"/>
  <c r="L34"/>
  <c r="I35"/>
  <c r="M35"/>
  <c r="I40"/>
  <c r="M40"/>
  <c r="J41"/>
  <c r="J46"/>
  <c r="J48" s="1"/>
  <c r="K47"/>
  <c r="K48" s="1"/>
  <c r="K52"/>
  <c r="L53"/>
  <c r="L58"/>
  <c r="L60" s="1"/>
  <c r="I59"/>
  <c r="M59"/>
  <c r="E81" i="16" l="1"/>
  <c r="E82"/>
  <c r="E81" i="13"/>
  <c r="I96" i="33"/>
  <c r="E82" i="13"/>
  <c r="D63" i="12"/>
  <c r="E87" i="13"/>
  <c r="E87" i="16"/>
  <c r="O95" i="33"/>
  <c r="H123" i="59"/>
  <c r="L32" i="60"/>
  <c r="O32"/>
  <c r="R32"/>
  <c r="U32"/>
  <c r="U34" i="55"/>
  <c r="L34"/>
  <c r="R34"/>
  <c r="O34"/>
  <c r="U34" i="58"/>
  <c r="L34"/>
  <c r="O34"/>
  <c r="R34"/>
  <c r="F34" i="60"/>
  <c r="S67" i="2"/>
  <c r="J112" i="54"/>
  <c r="J104"/>
  <c r="T117" i="59"/>
  <c r="J115" i="54"/>
  <c r="J103"/>
  <c r="J108"/>
  <c r="I10" i="55"/>
  <c r="I10" i="58"/>
  <c r="I10" i="60"/>
  <c r="M12" i="33"/>
  <c r="J14" i="55"/>
  <c r="J14" i="58"/>
  <c r="J14" i="60"/>
  <c r="J16" i="58"/>
  <c r="J16" i="55"/>
  <c r="J16" i="60"/>
  <c r="I16" i="55"/>
  <c r="I16" i="58"/>
  <c r="I16" i="60"/>
  <c r="H117" i="59"/>
  <c r="J117"/>
  <c r="Q97" s="1"/>
  <c r="J111" i="54"/>
  <c r="H123" i="56"/>
  <c r="J101"/>
  <c r="T117" s="1"/>
  <c r="J101" i="54"/>
  <c r="I196" i="33"/>
  <c r="K133" i="54" s="1"/>
  <c r="I120" i="55" s="1"/>
  <c r="K133" i="59"/>
  <c r="I120" i="60" s="1"/>
  <c r="J116" i="54"/>
  <c r="J106"/>
  <c r="J114"/>
  <c r="J113"/>
  <c r="J109"/>
  <c r="H117" i="56"/>
  <c r="I52" s="1"/>
  <c r="F118" i="58" s="1"/>
  <c r="F125" s="1"/>
  <c r="J107" i="54"/>
  <c r="J105"/>
  <c r="H117"/>
  <c r="I52" s="1"/>
  <c r="J102"/>
  <c r="E44" i="57"/>
  <c r="H29" s="1"/>
  <c r="K18" i="33"/>
  <c r="N30"/>
  <c r="K54"/>
  <c r="J30"/>
  <c r="N36"/>
  <c r="Q30"/>
  <c r="M18"/>
  <c r="J42"/>
  <c r="I36"/>
  <c r="J24"/>
  <c r="J51" i="53"/>
  <c r="L133" i="54"/>
  <c r="H120" i="55" s="1"/>
  <c r="J117" i="56"/>
  <c r="I60" i="33"/>
  <c r="I42"/>
  <c r="O12"/>
  <c r="K30"/>
  <c r="I18"/>
  <c r="Q54"/>
  <c r="M30"/>
  <c r="I48"/>
  <c r="I30"/>
  <c r="M36"/>
  <c r="N60"/>
  <c r="O36"/>
  <c r="J36"/>
  <c r="K42"/>
  <c r="K60"/>
  <c r="Q48"/>
  <c r="K24"/>
  <c r="I12"/>
  <c r="J18"/>
  <c r="I54"/>
  <c r="L54"/>
  <c r="L18"/>
  <c r="M48"/>
  <c r="Q24"/>
  <c r="O24"/>
  <c r="K12"/>
  <c r="J60"/>
  <c r="I24"/>
  <c r="M60"/>
  <c r="M42"/>
  <c r="L30"/>
  <c r="J54"/>
  <c r="L42"/>
  <c r="O60"/>
  <c r="P48"/>
  <c r="O42"/>
  <c r="O18"/>
  <c r="Q12"/>
  <c r="N54"/>
  <c r="P42"/>
  <c r="L12"/>
  <c r="L36"/>
  <c r="P18"/>
  <c r="L48"/>
  <c r="L24"/>
  <c r="I37" i="56" l="1"/>
  <c r="M38" s="1"/>
  <c r="I126" i="55"/>
  <c r="I126" i="60"/>
  <c r="U34"/>
  <c r="O34"/>
  <c r="L34"/>
  <c r="R34"/>
  <c r="J10" i="55"/>
  <c r="J10" i="60"/>
  <c r="J10" i="58"/>
  <c r="H10" i="55"/>
  <c r="H10" i="58"/>
  <c r="H10" i="60"/>
  <c r="H11" i="55"/>
  <c r="H11" i="58"/>
  <c r="H11" i="60"/>
  <c r="J11" i="55"/>
  <c r="J11" i="58"/>
  <c r="J11" i="60"/>
  <c r="I11" i="55"/>
  <c r="I11" i="58"/>
  <c r="I11" i="60"/>
  <c r="I12" i="55"/>
  <c r="I12" i="58"/>
  <c r="I12" i="60"/>
  <c r="J12" i="58"/>
  <c r="J12" i="55"/>
  <c r="J12" i="60"/>
  <c r="H12" i="55"/>
  <c r="H12" i="60"/>
  <c r="H12" i="58"/>
  <c r="H13" i="55"/>
  <c r="H13" i="60"/>
  <c r="H13" i="58"/>
  <c r="J13" i="55"/>
  <c r="J13" i="58"/>
  <c r="J13" i="60"/>
  <c r="I13" i="55"/>
  <c r="I13" i="60"/>
  <c r="I13" i="58"/>
  <c r="I14" i="55"/>
  <c r="I14" i="60"/>
  <c r="I14" i="58"/>
  <c r="H14" i="60"/>
  <c r="H14" i="55"/>
  <c r="H14" i="58"/>
  <c r="I15" i="55"/>
  <c r="I15" i="58"/>
  <c r="I15" i="60"/>
  <c r="J15" i="55"/>
  <c r="J15" i="58"/>
  <c r="J15" i="60"/>
  <c r="H15"/>
  <c r="H15" i="55"/>
  <c r="H15" i="58"/>
  <c r="H16" i="60"/>
  <c r="H16" i="55"/>
  <c r="H16" i="58"/>
  <c r="I17" i="55"/>
  <c r="I17" i="58"/>
  <c r="I17" i="60"/>
  <c r="H17" i="55"/>
  <c r="H17" i="60"/>
  <c r="H17" i="58"/>
  <c r="J17" i="55"/>
  <c r="J17" i="58"/>
  <c r="J17" i="60"/>
  <c r="H18"/>
  <c r="H18" i="55"/>
  <c r="H18" i="58"/>
  <c r="I18" i="55"/>
  <c r="I18" i="58"/>
  <c r="I18" i="60"/>
  <c r="J18" i="55"/>
  <c r="J18" i="58"/>
  <c r="J18" i="60"/>
  <c r="H124" i="59"/>
  <c r="I37"/>
  <c r="I52"/>
  <c r="T117" i="54"/>
  <c r="J117"/>
  <c r="Q97" s="1"/>
  <c r="H118" i="55" s="1"/>
  <c r="H40" i="57"/>
  <c r="H42"/>
  <c r="H39"/>
  <c r="H38"/>
  <c r="H37"/>
  <c r="H35"/>
  <c r="H124" i="56"/>
  <c r="J97" s="1"/>
  <c r="H36" i="57"/>
  <c r="H34"/>
  <c r="H31"/>
  <c r="H124" i="54"/>
  <c r="J97" s="1"/>
  <c r="H32" i="57"/>
  <c r="I37" i="54"/>
  <c r="I38" s="1"/>
  <c r="H30" i="57"/>
  <c r="I48"/>
  <c r="I49" s="1"/>
  <c r="H26"/>
  <c r="H28"/>
  <c r="I38" i="56"/>
  <c r="F118" i="55"/>
  <c r="F125" s="1"/>
  <c r="I57" i="54"/>
  <c r="V52" i="2"/>
  <c r="O52"/>
  <c r="AK101" i="8"/>
  <c r="AB101" s="1"/>
  <c r="L101" i="22" s="1"/>
  <c r="AK36" i="8"/>
  <c r="AB36" s="1"/>
  <c r="L36" i="22" s="1"/>
  <c r="V65" i="2"/>
  <c r="AK37" i="8"/>
  <c r="AB37" s="1"/>
  <c r="L37" i="22" s="1"/>
  <c r="AK38" i="8"/>
  <c r="AB38" s="1"/>
  <c r="L38" i="22" s="1"/>
  <c r="O44"/>
  <c r="AI44" i="4" s="1"/>
  <c r="AD44" i="8" s="1"/>
  <c r="Q44" s="1"/>
  <c r="O45" i="22"/>
  <c r="AI45" i="4" s="1"/>
  <c r="AD45" i="8" s="1"/>
  <c r="Q45" s="1"/>
  <c r="AK15"/>
  <c r="AB15" s="1"/>
  <c r="L15" i="22" s="1"/>
  <c r="AK16" i="8"/>
  <c r="AB16" s="1"/>
  <c r="L16" i="22" s="1"/>
  <c r="AK17" i="8"/>
  <c r="AB17" s="1"/>
  <c r="L17" i="22" s="1"/>
  <c r="AK18" i="8"/>
  <c r="AB18" s="1"/>
  <c r="L18" i="22" s="1"/>
  <c r="AK19" i="8"/>
  <c r="AB19" s="1"/>
  <c r="L19" i="22" s="1"/>
  <c r="Q65" i="2"/>
  <c r="R125" i="4"/>
  <c r="R126"/>
  <c r="V68" i="2"/>
  <c r="O42"/>
  <c r="AM102" i="22" s="1"/>
  <c r="B176" i="21"/>
  <c r="C176"/>
  <c r="B177"/>
  <c r="C177"/>
  <c r="V54" i="2"/>
  <c r="O54"/>
  <c r="R54" s="1"/>
  <c r="V23" i="4"/>
  <c r="T23"/>
  <c r="R23"/>
  <c r="Q23"/>
  <c r="O23"/>
  <c r="M23"/>
  <c r="V29"/>
  <c r="T29"/>
  <c r="R29"/>
  <c r="Q29"/>
  <c r="O29"/>
  <c r="M29"/>
  <c r="V28"/>
  <c r="T28"/>
  <c r="R28"/>
  <c r="Q28"/>
  <c r="O28"/>
  <c r="M28"/>
  <c r="V27"/>
  <c r="T27"/>
  <c r="R27"/>
  <c r="Q27"/>
  <c r="O27"/>
  <c r="M27"/>
  <c r="V26"/>
  <c r="T26"/>
  <c r="R26"/>
  <c r="Q26"/>
  <c r="O26"/>
  <c r="M26"/>
  <c r="V40"/>
  <c r="T40"/>
  <c r="R40"/>
  <c r="Q40"/>
  <c r="O40"/>
  <c r="M40"/>
  <c r="R122"/>
  <c r="S128" i="47"/>
  <c r="T128"/>
  <c r="U128"/>
  <c r="V128"/>
  <c r="X128"/>
  <c r="Y128"/>
  <c r="Z128"/>
  <c r="AA128"/>
  <c r="AB128"/>
  <c r="AC128"/>
  <c r="AD128"/>
  <c r="AE128"/>
  <c r="S129"/>
  <c r="T129"/>
  <c r="U129"/>
  <c r="V129"/>
  <c r="W129"/>
  <c r="X129"/>
  <c r="Y129"/>
  <c r="Z129"/>
  <c r="AB129"/>
  <c r="AC129"/>
  <c r="AE129"/>
  <c r="S130"/>
  <c r="T130"/>
  <c r="V130"/>
  <c r="W130"/>
  <c r="X130"/>
  <c r="Y130"/>
  <c r="AA130"/>
  <c r="AB130"/>
  <c r="AC130"/>
  <c r="AD130"/>
  <c r="AE130"/>
  <c r="S131"/>
  <c r="U131"/>
  <c r="V131"/>
  <c r="W131"/>
  <c r="Z131"/>
  <c r="AA131"/>
  <c r="AD131"/>
  <c r="AE131"/>
  <c r="T127"/>
  <c r="U127"/>
  <c r="V127"/>
  <c r="W127"/>
  <c r="Y127"/>
  <c r="Z127"/>
  <c r="AB127"/>
  <c r="AC127"/>
  <c r="AD127"/>
  <c r="S127"/>
  <c r="T131"/>
  <c r="U130"/>
  <c r="Z130"/>
  <c r="AA127"/>
  <c r="AA129"/>
  <c r="W128"/>
  <c r="X131"/>
  <c r="Y131"/>
  <c r="X127"/>
  <c r="AG87" i="8"/>
  <c r="X87" s="1"/>
  <c r="K87" i="22" s="1"/>
  <c r="AJ87" i="8"/>
  <c r="AA87" s="1"/>
  <c r="L87" i="47" s="1"/>
  <c r="AJ88" i="8"/>
  <c r="AA88" s="1"/>
  <c r="L88" i="47" s="1"/>
  <c r="AJ89" i="8"/>
  <c r="AA89" s="1"/>
  <c r="L89" i="47" s="1"/>
  <c r="AF87" i="8"/>
  <c r="W87" s="1"/>
  <c r="K87" i="47" s="1"/>
  <c r="AF88" i="8"/>
  <c r="W88" s="1"/>
  <c r="K88" i="47" s="1"/>
  <c r="AF89" i="8"/>
  <c r="W89"/>
  <c r="K89" i="47" s="1"/>
  <c r="R118" i="4"/>
  <c r="X120" i="8"/>
  <c r="K120" i="22" s="1"/>
  <c r="AF122" i="8"/>
  <c r="W122" s="1"/>
  <c r="K122" i="47" s="1"/>
  <c r="S9"/>
  <c r="U96" i="33"/>
  <c r="AF46" i="8"/>
  <c r="W46" s="1"/>
  <c r="K46" i="47" s="1"/>
  <c r="AK44" i="8"/>
  <c r="AB44" s="1"/>
  <c r="L44" i="22" s="1"/>
  <c r="Y44" i="4"/>
  <c r="Y45"/>
  <c r="AK45" i="8"/>
  <c r="AB45" s="1"/>
  <c r="L45" i="22" s="1"/>
  <c r="AK40" i="8"/>
  <c r="AB40" s="1"/>
  <c r="L40" i="22" s="1"/>
  <c r="Y40" i="4"/>
  <c r="AK41" i="8"/>
  <c r="AB41" s="1"/>
  <c r="L41" i="22" s="1"/>
  <c r="AK42" i="8"/>
  <c r="AB42" s="1"/>
  <c r="L42" i="22" s="1"/>
  <c r="AJ43" i="8"/>
  <c r="AA43" s="1"/>
  <c r="L43" i="47" s="1"/>
  <c r="AK43" i="8"/>
  <c r="AB43" s="1"/>
  <c r="L43" i="22" s="1"/>
  <c r="AG43" i="8"/>
  <c r="X43" s="1"/>
  <c r="K43" i="22" s="1"/>
  <c r="R44" i="4"/>
  <c r="R45"/>
  <c r="AG46" i="8"/>
  <c r="X46" s="1"/>
  <c r="K46" i="22" s="1"/>
  <c r="AF43" i="8"/>
  <c r="W43" s="1"/>
  <c r="K43" i="47" s="1"/>
  <c r="S39" i="4"/>
  <c r="Y39" s="1"/>
  <c r="S39" i="22" s="1"/>
  <c r="V43" i="4"/>
  <c r="T43"/>
  <c r="R43"/>
  <c r="Q43"/>
  <c r="O43"/>
  <c r="M43"/>
  <c r="C44" i="2"/>
  <c r="R174" i="47"/>
  <c r="AJ180" i="8"/>
  <c r="AA180" s="1"/>
  <c r="L180" i="47" s="1"/>
  <c r="AF180" i="8"/>
  <c r="W180" s="1"/>
  <c r="K180" i="47" s="1"/>
  <c r="AJ179" i="8"/>
  <c r="AA179" s="1"/>
  <c r="L179" i="47" s="1"/>
  <c r="AF179" i="8"/>
  <c r="W179" s="1"/>
  <c r="K179" i="47" s="1"/>
  <c r="AJ177" i="8"/>
  <c r="AA177" s="1"/>
  <c r="L177" i="47" s="1"/>
  <c r="AF177" i="8"/>
  <c r="W177" s="1"/>
  <c r="K177" i="47" s="1"/>
  <c r="AJ176" i="8"/>
  <c r="AA176" s="1"/>
  <c r="L176" i="47" s="1"/>
  <c r="AF176" i="8"/>
  <c r="W176" s="1"/>
  <c r="K176" i="47" s="1"/>
  <c r="AJ175" i="8"/>
  <c r="AA175" s="1"/>
  <c r="L175" i="47" s="1"/>
  <c r="AF175" i="8"/>
  <c r="W175" s="1"/>
  <c r="K175" i="47" s="1"/>
  <c r="AJ173" i="8"/>
  <c r="AA173" s="1"/>
  <c r="L173" i="47" s="1"/>
  <c r="AF173" i="8"/>
  <c r="W173" s="1"/>
  <c r="K173" i="47" s="1"/>
  <c r="AJ172" i="8"/>
  <c r="AA172" s="1"/>
  <c r="L172" i="47" s="1"/>
  <c r="AF172" i="8"/>
  <c r="W172" s="1"/>
  <c r="K172" i="47" s="1"/>
  <c r="AJ171" i="8"/>
  <c r="AA171" s="1"/>
  <c r="L171" i="47" s="1"/>
  <c r="AF171" i="8"/>
  <c r="W171" s="1"/>
  <c r="K171" i="47" s="1"/>
  <c r="AJ168" i="8"/>
  <c r="AA168" s="1"/>
  <c r="L168" i="47" s="1"/>
  <c r="AF168" i="8"/>
  <c r="W168" s="1"/>
  <c r="K168" i="47" s="1"/>
  <c r="AJ167" i="8"/>
  <c r="AA167" s="1"/>
  <c r="L167" i="47" s="1"/>
  <c r="AF167" i="8"/>
  <c r="W167" s="1"/>
  <c r="K167" i="47" s="1"/>
  <c r="AJ166" i="8"/>
  <c r="AA166" s="1"/>
  <c r="L166" i="47" s="1"/>
  <c r="AF166" i="8"/>
  <c r="W166" s="1"/>
  <c r="K166" i="47" s="1"/>
  <c r="AJ165" i="8"/>
  <c r="AA165" s="1"/>
  <c r="L165" i="47" s="1"/>
  <c r="AF165" i="8"/>
  <c r="W165" s="1"/>
  <c r="K165" i="47" s="1"/>
  <c r="AJ163" i="8"/>
  <c r="AA163" s="1"/>
  <c r="L163" i="47" s="1"/>
  <c r="AF163" i="8"/>
  <c r="W163" s="1"/>
  <c r="K163" i="47" s="1"/>
  <c r="AJ162" i="8"/>
  <c r="AA162" s="1"/>
  <c r="L162" i="47" s="1"/>
  <c r="AF162" i="8"/>
  <c r="W162" s="1"/>
  <c r="K162" i="47" s="1"/>
  <c r="AJ160" i="8"/>
  <c r="AA160" s="1"/>
  <c r="L160" i="47" s="1"/>
  <c r="AF123" i="8"/>
  <c r="W123" s="1"/>
  <c r="K123" i="47" s="1"/>
  <c r="AB123"/>
  <c r="AB121"/>
  <c r="AJ158" i="8"/>
  <c r="AA158" s="1"/>
  <c r="L158" i="47" s="1"/>
  <c r="AF158" i="8"/>
  <c r="W158" s="1"/>
  <c r="K158" i="47" s="1"/>
  <c r="AJ157" i="8"/>
  <c r="AA157" s="1"/>
  <c r="L157" i="47" s="1"/>
  <c r="AF157" i="8"/>
  <c r="W157" s="1"/>
  <c r="K157" i="47" s="1"/>
  <c r="AJ156" i="8"/>
  <c r="AA156" s="1"/>
  <c r="L156" i="47" s="1"/>
  <c r="AF156" i="8"/>
  <c r="W156" s="1"/>
  <c r="K156" i="47" s="1"/>
  <c r="AJ154" i="8"/>
  <c r="AA154" s="1"/>
  <c r="L154" i="47" s="1"/>
  <c r="AF154" i="8"/>
  <c r="W154" s="1"/>
  <c r="K154" i="47" s="1"/>
  <c r="AJ152" i="8"/>
  <c r="AA152" s="1"/>
  <c r="L152" i="47" s="1"/>
  <c r="AF152" i="8"/>
  <c r="W152" s="1"/>
  <c r="K152" i="47" s="1"/>
  <c r="AJ151" i="8"/>
  <c r="AA151" s="1"/>
  <c r="L151" i="47" s="1"/>
  <c r="AF151" i="8"/>
  <c r="W151" s="1"/>
  <c r="K151" i="47" s="1"/>
  <c r="AJ150" i="8"/>
  <c r="AA150" s="1"/>
  <c r="L150" i="47" s="1"/>
  <c r="AF150" i="8"/>
  <c r="W150" s="1"/>
  <c r="K150" i="47" s="1"/>
  <c r="AJ149" i="8"/>
  <c r="AA149" s="1"/>
  <c r="L149" i="47" s="1"/>
  <c r="AF149" i="8"/>
  <c r="W149" s="1"/>
  <c r="K149" i="47" s="1"/>
  <c r="AJ148" i="8"/>
  <c r="AA148" s="1"/>
  <c r="L148" i="47" s="1"/>
  <c r="AF148" i="8"/>
  <c r="W148" s="1"/>
  <c r="K148" i="47" s="1"/>
  <c r="AJ147" i="8"/>
  <c r="AA147" s="1"/>
  <c r="L147" i="47" s="1"/>
  <c r="AF147" i="8"/>
  <c r="W147" s="1"/>
  <c r="K147" i="47" s="1"/>
  <c r="AJ145" i="8"/>
  <c r="AA145" s="1"/>
  <c r="L145" i="47" s="1"/>
  <c r="AF145" i="8"/>
  <c r="W145" s="1"/>
  <c r="K145" i="47" s="1"/>
  <c r="AJ144" i="8"/>
  <c r="AA144" s="1"/>
  <c r="L144" i="47" s="1"/>
  <c r="AF144" i="8"/>
  <c r="W144" s="1"/>
  <c r="K144" i="47" s="1"/>
  <c r="AJ142" i="8"/>
  <c r="AA142" s="1"/>
  <c r="L142" i="47" s="1"/>
  <c r="AF142" i="8"/>
  <c r="W142" s="1"/>
  <c r="K142" i="47" s="1"/>
  <c r="AK144" i="8"/>
  <c r="AB144" s="1"/>
  <c r="L144" i="22" s="1"/>
  <c r="AK145" i="8"/>
  <c r="AB145" s="1"/>
  <c r="L145" i="22" s="1"/>
  <c r="AJ132" i="8"/>
  <c r="AA132" s="1"/>
  <c r="L132" i="47" s="1"/>
  <c r="AJ131" i="8"/>
  <c r="AA131" s="1"/>
  <c r="L131" i="47" s="1"/>
  <c r="AF131" i="8"/>
  <c r="W131" s="1"/>
  <c r="K131" i="47" s="1"/>
  <c r="AJ130" i="8"/>
  <c r="AA130" s="1"/>
  <c r="L130" i="47" s="1"/>
  <c r="AF130" i="8"/>
  <c r="W130" s="1"/>
  <c r="K130" i="47" s="1"/>
  <c r="AJ129" i="8"/>
  <c r="AA129" s="1"/>
  <c r="L129" i="47" s="1"/>
  <c r="AF129" i="8"/>
  <c r="W129" s="1"/>
  <c r="K129" i="47" s="1"/>
  <c r="AJ128" i="8"/>
  <c r="AA128" s="1"/>
  <c r="L128" i="47" s="1"/>
  <c r="AF128" i="8"/>
  <c r="W128" s="1"/>
  <c r="K128" i="47" s="1"/>
  <c r="AJ127" i="8"/>
  <c r="AF127"/>
  <c r="W127" s="1"/>
  <c r="K127" i="47" s="1"/>
  <c r="AE127"/>
  <c r="AD129"/>
  <c r="AC131"/>
  <c r="AJ125" i="8"/>
  <c r="AA125" s="1"/>
  <c r="L125" i="47" s="1"/>
  <c r="AJ123" i="8"/>
  <c r="AA123" s="1"/>
  <c r="L123" i="47" s="1"/>
  <c r="AJ122" i="8"/>
  <c r="AA122" s="1"/>
  <c r="L122" i="47" s="1"/>
  <c r="W120" i="8"/>
  <c r="K120" i="47" s="1"/>
  <c r="AB120"/>
  <c r="AJ118" i="8"/>
  <c r="AA118" s="1"/>
  <c r="L118" i="47" s="1"/>
  <c r="AK118" i="8"/>
  <c r="AB118" s="1"/>
  <c r="L118" i="22" s="1"/>
  <c r="Y125" i="4"/>
  <c r="Y127"/>
  <c r="Y128"/>
  <c r="Y129"/>
  <c r="Y130"/>
  <c r="Y131"/>
  <c r="Y132"/>
  <c r="Y126"/>
  <c r="AK125" i="8"/>
  <c r="AK127"/>
  <c r="AB127" s="1"/>
  <c r="L127" i="22" s="1"/>
  <c r="AK128" i="8"/>
  <c r="AB128" s="1"/>
  <c r="L128" i="22" s="1"/>
  <c r="AK129" i="8"/>
  <c r="AB129" s="1"/>
  <c r="L129" i="22" s="1"/>
  <c r="AK130" i="8"/>
  <c r="AB130" s="1"/>
  <c r="L130" i="22" s="1"/>
  <c r="AK131" i="8"/>
  <c r="AB131" s="1"/>
  <c r="L131" i="22" s="1"/>
  <c r="AK132" i="8"/>
  <c r="AB132" s="1"/>
  <c r="L132" i="22" s="1"/>
  <c r="L115" i="47"/>
  <c r="H115" s="1"/>
  <c r="K115"/>
  <c r="AJ114" i="8"/>
  <c r="AA114" s="1"/>
  <c r="L114" i="47" s="1"/>
  <c r="AF114" i="8"/>
  <c r="W114" s="1"/>
  <c r="K114" i="47" s="1"/>
  <c r="AJ113" i="8"/>
  <c r="AA113" s="1"/>
  <c r="L113" i="47" s="1"/>
  <c r="AF113" i="8"/>
  <c r="W113" s="1"/>
  <c r="K113" i="47" s="1"/>
  <c r="AJ111" i="8"/>
  <c r="AA111" s="1"/>
  <c r="L111" i="47" s="1"/>
  <c r="AF111" i="8"/>
  <c r="W111" s="1"/>
  <c r="K111" i="47" s="1"/>
  <c r="AJ110" i="8"/>
  <c r="AA110" s="1"/>
  <c r="L110" i="47" s="1"/>
  <c r="AF110" i="8"/>
  <c r="W110" s="1"/>
  <c r="K110" i="47" s="1"/>
  <c r="R110" i="4"/>
  <c r="AJ108" i="8"/>
  <c r="AA108" s="1"/>
  <c r="L108" i="47" s="1"/>
  <c r="AF108" i="8"/>
  <c r="W108" s="1"/>
  <c r="K108" i="47" s="1"/>
  <c r="AJ107" i="8"/>
  <c r="AA107" s="1"/>
  <c r="L107" i="47" s="1"/>
  <c r="AF107" i="8"/>
  <c r="W107" s="1"/>
  <c r="K107" i="47" s="1"/>
  <c r="AJ106" i="8"/>
  <c r="AA106" s="1"/>
  <c r="L106" i="47" s="1"/>
  <c r="AF106" i="8"/>
  <c r="W106" s="1"/>
  <c r="K106" i="47" s="1"/>
  <c r="AJ105" i="8"/>
  <c r="AA105" s="1"/>
  <c r="L105" i="47" s="1"/>
  <c r="AF105" i="8"/>
  <c r="W105" s="1"/>
  <c r="K105" i="47" s="1"/>
  <c r="AJ104" i="8"/>
  <c r="AA104" s="1"/>
  <c r="L104" i="47" s="1"/>
  <c r="AF104" i="8"/>
  <c r="W104" s="1"/>
  <c r="K104" i="47" s="1"/>
  <c r="AJ103" i="8"/>
  <c r="AA103" s="1"/>
  <c r="L103" i="47" s="1"/>
  <c r="AF103" i="8"/>
  <c r="W103" s="1"/>
  <c r="K103" i="47" s="1"/>
  <c r="AJ101" i="8"/>
  <c r="AA101" s="1"/>
  <c r="L101" i="47" s="1"/>
  <c r="AF101" i="8"/>
  <c r="W101" s="1"/>
  <c r="K101" i="47" s="1"/>
  <c r="AJ100" i="8"/>
  <c r="AA100" s="1"/>
  <c r="L100" i="47" s="1"/>
  <c r="AF100" i="8"/>
  <c r="W100" s="1"/>
  <c r="K100" i="47" s="1"/>
  <c r="AJ99" i="8"/>
  <c r="AA99" s="1"/>
  <c r="L99" i="47" s="1"/>
  <c r="AF99" i="8"/>
  <c r="W99" s="1"/>
  <c r="K99" i="47" s="1"/>
  <c r="AJ95" i="8"/>
  <c r="AA95" s="1"/>
  <c r="L95" i="47" s="1"/>
  <c r="AF95" i="8"/>
  <c r="W95" s="1"/>
  <c r="K95" i="47" s="1"/>
  <c r="AJ94" i="8"/>
  <c r="AA94" s="1"/>
  <c r="L94" i="47" s="1"/>
  <c r="AF94" i="8"/>
  <c r="W94" s="1"/>
  <c r="K94" i="47" s="1"/>
  <c r="AJ93" i="8"/>
  <c r="AA93" s="1"/>
  <c r="L93" i="47" s="1"/>
  <c r="AF93" i="8"/>
  <c r="W93" s="1"/>
  <c r="K93" i="47" s="1"/>
  <c r="AJ92" i="8"/>
  <c r="AA92" s="1"/>
  <c r="L92" i="47" s="1"/>
  <c r="AF92" i="8"/>
  <c r="W92" s="1"/>
  <c r="K92" i="47" s="1"/>
  <c r="AJ91" i="8"/>
  <c r="AA91" s="1"/>
  <c r="L91" i="47" s="1"/>
  <c r="AF91" i="8"/>
  <c r="W91" s="1"/>
  <c r="K91" i="47" s="1"/>
  <c r="AJ85" i="8"/>
  <c r="AA85" s="1"/>
  <c r="L85" i="47" s="1"/>
  <c r="AF85" i="8"/>
  <c r="W85" s="1"/>
  <c r="K85" i="47" s="1"/>
  <c r="AJ84" i="8"/>
  <c r="AA84" s="1"/>
  <c r="L84" i="47" s="1"/>
  <c r="AF84" i="8"/>
  <c r="W84" s="1"/>
  <c r="K84" i="47" s="1"/>
  <c r="AJ83" i="8"/>
  <c r="AA83" s="1"/>
  <c r="L83" i="47" s="1"/>
  <c r="AF83" i="8"/>
  <c r="W83" s="1"/>
  <c r="K83" i="47" s="1"/>
  <c r="AJ82" i="8"/>
  <c r="AA82" s="1"/>
  <c r="L82" i="47" s="1"/>
  <c r="AF82" i="8"/>
  <c r="W82" s="1"/>
  <c r="K82" i="47" s="1"/>
  <c r="AJ81" i="8"/>
  <c r="AA81" s="1"/>
  <c r="L81" i="47" s="1"/>
  <c r="AF81" i="8"/>
  <c r="W81" s="1"/>
  <c r="K81" i="47" s="1"/>
  <c r="AJ80" i="8"/>
  <c r="AA80" s="1"/>
  <c r="L80" i="47" s="1"/>
  <c r="AF80" i="8"/>
  <c r="W80" s="1"/>
  <c r="K80" i="47" s="1"/>
  <c r="AJ78" i="8"/>
  <c r="AA78" s="1"/>
  <c r="L78" i="47" s="1"/>
  <c r="AF78" i="8"/>
  <c r="W78" s="1"/>
  <c r="K78" i="47" s="1"/>
  <c r="AJ77" i="8"/>
  <c r="AA77" s="1"/>
  <c r="L77" i="47" s="1"/>
  <c r="AF77" i="8"/>
  <c r="W77" s="1"/>
  <c r="K77" i="47" s="1"/>
  <c r="AJ74" i="8"/>
  <c r="AA74" s="1"/>
  <c r="L74" i="47" s="1"/>
  <c r="AF74" i="8"/>
  <c r="W74" s="1"/>
  <c r="K74" i="47" s="1"/>
  <c r="AJ73" i="8"/>
  <c r="AA73" s="1"/>
  <c r="L73" i="47" s="1"/>
  <c r="AF73" i="8"/>
  <c r="W73" s="1"/>
  <c r="K73" i="47" s="1"/>
  <c r="AJ72" i="8"/>
  <c r="AA72" s="1"/>
  <c r="L72" i="47" s="1"/>
  <c r="AF72" i="8"/>
  <c r="W72" s="1"/>
  <c r="K72" i="47" s="1"/>
  <c r="AJ70" i="8"/>
  <c r="AA70" s="1"/>
  <c r="L70" i="47" s="1"/>
  <c r="AF70" i="8"/>
  <c r="W70" s="1"/>
  <c r="K70" i="47" s="1"/>
  <c r="AJ69" i="8"/>
  <c r="AA69" s="1"/>
  <c r="L69" i="47" s="1"/>
  <c r="AF69" i="8"/>
  <c r="W69" s="1"/>
  <c r="K69" i="47" s="1"/>
  <c r="AJ68" i="8"/>
  <c r="AA68" s="1"/>
  <c r="L68" i="47" s="1"/>
  <c r="AF68" i="8"/>
  <c r="W68" s="1"/>
  <c r="K68" i="47" s="1"/>
  <c r="AJ66" i="8"/>
  <c r="AA66" s="1"/>
  <c r="L66" i="47" s="1"/>
  <c r="AF66" i="8"/>
  <c r="W66" s="1"/>
  <c r="K66" i="47" s="1"/>
  <c r="AJ65" i="8"/>
  <c r="AA65" s="1"/>
  <c r="L65" i="47" s="1"/>
  <c r="AF65" i="8"/>
  <c r="W65" s="1"/>
  <c r="K65" i="47" s="1"/>
  <c r="AJ64" i="8"/>
  <c r="AA64" s="1"/>
  <c r="L64" i="47" s="1"/>
  <c r="AF64" i="8"/>
  <c r="W64" s="1"/>
  <c r="K64" i="47" s="1"/>
  <c r="AJ60" i="8"/>
  <c r="AA60" s="1"/>
  <c r="L60" i="47" s="1"/>
  <c r="AF60" i="8"/>
  <c r="W60" s="1"/>
  <c r="K60" i="47" s="1"/>
  <c r="AJ59" i="8"/>
  <c r="AA59" s="1"/>
  <c r="L59" i="47" s="1"/>
  <c r="AF59" i="8"/>
  <c r="W59" s="1"/>
  <c r="K59" i="47" s="1"/>
  <c r="AJ57" i="8"/>
  <c r="AA57" s="1"/>
  <c r="L57" i="47" s="1"/>
  <c r="AF57" i="8"/>
  <c r="W57" s="1"/>
  <c r="K57" i="47" s="1"/>
  <c r="AJ56" i="8"/>
  <c r="AA56" s="1"/>
  <c r="L56" i="47" s="1"/>
  <c r="AF56" i="8"/>
  <c r="W56" s="1"/>
  <c r="K56" i="47" s="1"/>
  <c r="AJ55" i="8"/>
  <c r="AA55" s="1"/>
  <c r="L55" i="47" s="1"/>
  <c r="AF55" i="8"/>
  <c r="W55" s="1"/>
  <c r="K55" i="47" s="1"/>
  <c r="AJ54" i="8"/>
  <c r="AA54" s="1"/>
  <c r="L54" i="47" s="1"/>
  <c r="AF54" i="8"/>
  <c r="W54" s="1"/>
  <c r="K54" i="47" s="1"/>
  <c r="AJ52" i="8"/>
  <c r="AA52" s="1"/>
  <c r="L52" i="47" s="1"/>
  <c r="AF52" i="8"/>
  <c r="W52" s="1"/>
  <c r="K52" i="47" s="1"/>
  <c r="AJ51" i="8"/>
  <c r="AA51" s="1"/>
  <c r="L51" i="47" s="1"/>
  <c r="AF51" i="8"/>
  <c r="W51" s="1"/>
  <c r="K51" i="47" s="1"/>
  <c r="AJ50" i="8"/>
  <c r="AA50" s="1"/>
  <c r="L50" i="47" s="1"/>
  <c r="AF50" i="8"/>
  <c r="W50" s="1"/>
  <c r="K50" i="47" s="1"/>
  <c r="AJ49" i="8"/>
  <c r="AA49" s="1"/>
  <c r="L49" i="47" s="1"/>
  <c r="AF49" i="8"/>
  <c r="W49" s="1"/>
  <c r="K49" i="47" s="1"/>
  <c r="AJ46" i="8"/>
  <c r="AA46" s="1"/>
  <c r="L46" i="47" s="1"/>
  <c r="AJ45" i="8"/>
  <c r="AA45" s="1"/>
  <c r="L45" i="47" s="1"/>
  <c r="AF45" i="8"/>
  <c r="W45" s="1"/>
  <c r="K45" i="47" s="1"/>
  <c r="AJ44" i="8"/>
  <c r="AA44" s="1"/>
  <c r="L44" i="47" s="1"/>
  <c r="AF44" i="8"/>
  <c r="W44" s="1"/>
  <c r="K44" i="47" s="1"/>
  <c r="AJ42" i="8"/>
  <c r="AA42" s="1"/>
  <c r="L42" i="47" s="1"/>
  <c r="AF42" i="8"/>
  <c r="W42" s="1"/>
  <c r="K42" i="47" s="1"/>
  <c r="AJ41" i="8"/>
  <c r="AA41" s="1"/>
  <c r="L41" i="47" s="1"/>
  <c r="AF41" i="8"/>
  <c r="W41" s="1"/>
  <c r="K41" i="47" s="1"/>
  <c r="AJ40" i="8"/>
  <c r="AA40" s="1"/>
  <c r="L40" i="47" s="1"/>
  <c r="AF40" i="8"/>
  <c r="W40" s="1"/>
  <c r="K40" i="47" s="1"/>
  <c r="AJ38" i="8"/>
  <c r="AA38" s="1"/>
  <c r="L38" i="47" s="1"/>
  <c r="AF38" i="8"/>
  <c r="W38" s="1"/>
  <c r="K38" i="47" s="1"/>
  <c r="AJ37" i="8"/>
  <c r="AA37" s="1"/>
  <c r="L37" i="47" s="1"/>
  <c r="AF37" i="8"/>
  <c r="W37" s="1"/>
  <c r="K37" i="47" s="1"/>
  <c r="AJ36" i="8"/>
  <c r="AA36" s="1"/>
  <c r="L36" i="47" s="1"/>
  <c r="AF36" i="8"/>
  <c r="W36" s="1"/>
  <c r="K36" i="47" s="1"/>
  <c r="AJ33" i="8"/>
  <c r="AA33" s="1"/>
  <c r="L33" i="47" s="1"/>
  <c r="AF33" i="8"/>
  <c r="W33" s="1"/>
  <c r="K33" i="47" s="1"/>
  <c r="AJ32" i="8"/>
  <c r="AA32" s="1"/>
  <c r="L32" i="47" s="1"/>
  <c r="AF32" i="8"/>
  <c r="W32" s="1"/>
  <c r="K32" i="47" s="1"/>
  <c r="AJ30" i="8"/>
  <c r="AA30" s="1"/>
  <c r="L30" i="47" s="1"/>
  <c r="AF30" i="8"/>
  <c r="W30" s="1"/>
  <c r="K30" i="47" s="1"/>
  <c r="AJ29" i="8"/>
  <c r="AA29" s="1"/>
  <c r="L29" i="47" s="1"/>
  <c r="AF29" i="8"/>
  <c r="W29" s="1"/>
  <c r="K29" i="47" s="1"/>
  <c r="AJ28" i="8"/>
  <c r="AA28" s="1"/>
  <c r="L28" i="47" s="1"/>
  <c r="AF28" i="8"/>
  <c r="W28" s="1"/>
  <c r="K28" i="47" s="1"/>
  <c r="AJ27" i="8"/>
  <c r="AA27" s="1"/>
  <c r="L27" i="47" s="1"/>
  <c r="AF27" i="8"/>
  <c r="W27" s="1"/>
  <c r="K27" i="47" s="1"/>
  <c r="AJ26" i="8"/>
  <c r="AA26" s="1"/>
  <c r="L26" i="47" s="1"/>
  <c r="AF26" i="8"/>
  <c r="W26" s="1"/>
  <c r="K26" i="47" s="1"/>
  <c r="AJ25" i="8"/>
  <c r="AA25" s="1"/>
  <c r="L25" i="47" s="1"/>
  <c r="AF25" i="8"/>
  <c r="W25" s="1"/>
  <c r="K25" i="47" s="1"/>
  <c r="AJ24" i="8"/>
  <c r="AA24" s="1"/>
  <c r="L24" i="47" s="1"/>
  <c r="AF24" i="8"/>
  <c r="W24" s="1"/>
  <c r="K24" i="47" s="1"/>
  <c r="AJ23" i="8"/>
  <c r="AA23" s="1"/>
  <c r="L23" i="47" s="1"/>
  <c r="AF23" i="8"/>
  <c r="W23" s="1"/>
  <c r="K23" i="47" s="1"/>
  <c r="AJ22" i="8"/>
  <c r="AA22" s="1"/>
  <c r="L22" i="47" s="1"/>
  <c r="AF22" i="8"/>
  <c r="W22" s="1"/>
  <c r="K22" i="47" s="1"/>
  <c r="AJ19" i="8"/>
  <c r="AA19" s="1"/>
  <c r="L19" i="47" s="1"/>
  <c r="AF19" i="8"/>
  <c r="W19" s="1"/>
  <c r="K19" i="47" s="1"/>
  <c r="AJ18" i="8"/>
  <c r="AA18" s="1"/>
  <c r="L18" i="47" s="1"/>
  <c r="AF18" i="8"/>
  <c r="W18" s="1"/>
  <c r="K18" i="47" s="1"/>
  <c r="AJ17" i="8"/>
  <c r="AA17" s="1"/>
  <c r="L17" i="47" s="1"/>
  <c r="AF17" i="8"/>
  <c r="W17" s="1"/>
  <c r="K17" i="47" s="1"/>
  <c r="AJ16" i="8"/>
  <c r="AA16" s="1"/>
  <c r="L16" i="47" s="1"/>
  <c r="AF16" i="8"/>
  <c r="W16" s="1"/>
  <c r="K16" i="47" s="1"/>
  <c r="AJ15" i="8"/>
  <c r="AA15" s="1"/>
  <c r="L15" i="47" s="1"/>
  <c r="AF15" i="8"/>
  <c r="W15" s="1"/>
  <c r="K15" i="47" s="1"/>
  <c r="AJ13" i="8"/>
  <c r="AA13" s="1"/>
  <c r="L13" i="47" s="1"/>
  <c r="AF13" i="8"/>
  <c r="W13" s="1"/>
  <c r="K13" i="47" s="1"/>
  <c r="AJ12" i="8"/>
  <c r="AA12" s="1"/>
  <c r="L12" i="47" s="1"/>
  <c r="W12" i="8"/>
  <c r="K12" i="47" s="1"/>
  <c r="AH115" i="4"/>
  <c r="AC115" i="8" s="1"/>
  <c r="P115" s="1"/>
  <c r="AH97" i="4"/>
  <c r="AC97" i="8" s="1"/>
  <c r="AH96" i="4"/>
  <c r="AC96" i="8" s="1"/>
  <c r="P96" s="1"/>
  <c r="AH75" i="4"/>
  <c r="AC75" i="8" s="1"/>
  <c r="AH62" i="4"/>
  <c r="AC62" i="8" s="1"/>
  <c r="AH47" i="4"/>
  <c r="AC47" i="8" s="1"/>
  <c r="AH34" i="4"/>
  <c r="AC34" i="8" s="1"/>
  <c r="AH20" i="4"/>
  <c r="AC20" i="8" s="1"/>
  <c r="AC19" i="47"/>
  <c r="AD19"/>
  <c r="AE19"/>
  <c r="AC18"/>
  <c r="AD18"/>
  <c r="AE18"/>
  <c r="AC17"/>
  <c r="AD17"/>
  <c r="AE17"/>
  <c r="AC16"/>
  <c r="AD16"/>
  <c r="AE16"/>
  <c r="AC15"/>
  <c r="AD15"/>
  <c r="AE15"/>
  <c r="AE14"/>
  <c r="AC14"/>
  <c r="AD14"/>
  <c r="AH10" i="4"/>
  <c r="AH8"/>
  <c r="AC8" i="8" s="1"/>
  <c r="AB177" i="47"/>
  <c r="AB176"/>
  <c r="AB175"/>
  <c r="AB131"/>
  <c r="V74"/>
  <c r="W74"/>
  <c r="X74"/>
  <c r="Y74"/>
  <c r="Z74"/>
  <c r="AA74"/>
  <c r="AB74"/>
  <c r="V73"/>
  <c r="W73"/>
  <c r="X73"/>
  <c r="Y73"/>
  <c r="Z73"/>
  <c r="AA73"/>
  <c r="AB73"/>
  <c r="V72"/>
  <c r="W72"/>
  <c r="X72"/>
  <c r="Y72"/>
  <c r="Z72"/>
  <c r="AA72"/>
  <c r="AB72"/>
  <c r="V71"/>
  <c r="W71"/>
  <c r="X71"/>
  <c r="Y71"/>
  <c r="Z71"/>
  <c r="AA71"/>
  <c r="AB71"/>
  <c r="AB70"/>
  <c r="V70"/>
  <c r="W70"/>
  <c r="X70"/>
  <c r="Y70"/>
  <c r="Z70"/>
  <c r="AA70"/>
  <c r="AB69"/>
  <c r="V69"/>
  <c r="W69"/>
  <c r="X69"/>
  <c r="Y69"/>
  <c r="Z69"/>
  <c r="AA69"/>
  <c r="AB68"/>
  <c r="V68"/>
  <c r="W68"/>
  <c r="X68"/>
  <c r="Y68"/>
  <c r="Z68"/>
  <c r="AA68"/>
  <c r="V67"/>
  <c r="W67"/>
  <c r="X67"/>
  <c r="Y67"/>
  <c r="Z67"/>
  <c r="AA67"/>
  <c r="AB67"/>
  <c r="V66"/>
  <c r="W66"/>
  <c r="X66"/>
  <c r="Y66"/>
  <c r="Z66"/>
  <c r="AA66"/>
  <c r="AB66"/>
  <c r="V65"/>
  <c r="W65"/>
  <c r="X65"/>
  <c r="Y65"/>
  <c r="Z65"/>
  <c r="AA65"/>
  <c r="AB65"/>
  <c r="V64"/>
  <c r="W64"/>
  <c r="X64"/>
  <c r="Y64"/>
  <c r="Z64"/>
  <c r="AA64"/>
  <c r="AB64"/>
  <c r="V63"/>
  <c r="W63"/>
  <c r="X63"/>
  <c r="Y63"/>
  <c r="Z63"/>
  <c r="AA63"/>
  <c r="AB63"/>
  <c r="AB50"/>
  <c r="AB42"/>
  <c r="AB41"/>
  <c r="AB40"/>
  <c r="AB33"/>
  <c r="AB32"/>
  <c r="AB31"/>
  <c r="S19"/>
  <c r="W19"/>
  <c r="X19"/>
  <c r="Y19"/>
  <c r="Z19"/>
  <c r="AA19"/>
  <c r="AB19"/>
  <c r="S18"/>
  <c r="W18"/>
  <c r="X18"/>
  <c r="Y18"/>
  <c r="Z18"/>
  <c r="AA18"/>
  <c r="AB18"/>
  <c r="S17"/>
  <c r="W17"/>
  <c r="X17"/>
  <c r="Y17"/>
  <c r="Z17"/>
  <c r="AA17"/>
  <c r="AB17"/>
  <c r="S16"/>
  <c r="W16"/>
  <c r="X16"/>
  <c r="Y16"/>
  <c r="Z16"/>
  <c r="AA16"/>
  <c r="AB16"/>
  <c r="S15"/>
  <c r="W15"/>
  <c r="X15"/>
  <c r="Y15"/>
  <c r="Z15"/>
  <c r="AA15"/>
  <c r="AB15"/>
  <c r="T14"/>
  <c r="S14"/>
  <c r="W14"/>
  <c r="Z14"/>
  <c r="AA14"/>
  <c r="X14"/>
  <c r="Y14"/>
  <c r="AB14"/>
  <c r="AA8" i="4"/>
  <c r="Y8" i="8" s="1"/>
  <c r="AE8" i="47"/>
  <c r="AD8"/>
  <c r="AC8"/>
  <c r="X8" s="1"/>
  <c r="W8"/>
  <c r="AC179"/>
  <c r="AD179"/>
  <c r="AE179"/>
  <c r="AC180"/>
  <c r="AD180"/>
  <c r="AE180"/>
  <c r="AC170"/>
  <c r="AD170"/>
  <c r="AE170"/>
  <c r="AC174"/>
  <c r="AD174"/>
  <c r="AE174"/>
  <c r="AC178"/>
  <c r="AD178"/>
  <c r="AE178"/>
  <c r="AC175"/>
  <c r="AD175"/>
  <c r="AE175"/>
  <c r="AC176"/>
  <c r="AD176"/>
  <c r="AE176"/>
  <c r="AC177"/>
  <c r="AD177"/>
  <c r="AE177"/>
  <c r="AC171"/>
  <c r="AD171"/>
  <c r="AE171"/>
  <c r="AC172"/>
  <c r="AD172"/>
  <c r="AE172"/>
  <c r="AC173"/>
  <c r="AD173"/>
  <c r="AE173"/>
  <c r="AC160"/>
  <c r="AD160"/>
  <c r="AE160"/>
  <c r="AC161"/>
  <c r="AD161"/>
  <c r="AE161"/>
  <c r="AC169"/>
  <c r="AD169"/>
  <c r="AE169"/>
  <c r="AC165"/>
  <c r="AD165"/>
  <c r="AE165"/>
  <c r="AC166"/>
  <c r="AD166"/>
  <c r="AE166"/>
  <c r="AC167"/>
  <c r="AD167"/>
  <c r="AE167"/>
  <c r="AC168"/>
  <c r="AD168"/>
  <c r="AE168"/>
  <c r="AC162"/>
  <c r="AD162"/>
  <c r="AE162"/>
  <c r="AC163"/>
  <c r="AD163"/>
  <c r="AE163"/>
  <c r="AC164"/>
  <c r="AD164"/>
  <c r="AE164"/>
  <c r="AC117"/>
  <c r="AD117"/>
  <c r="AE117"/>
  <c r="AC140"/>
  <c r="AD140"/>
  <c r="AE140"/>
  <c r="AC159"/>
  <c r="AD159"/>
  <c r="AE159"/>
  <c r="AC156"/>
  <c r="AD156"/>
  <c r="AE156"/>
  <c r="AC157"/>
  <c r="AD157"/>
  <c r="AE157"/>
  <c r="AC158"/>
  <c r="AD158"/>
  <c r="AE158"/>
  <c r="AC154"/>
  <c r="AD154"/>
  <c r="AE154"/>
  <c r="AC155"/>
  <c r="AD155"/>
  <c r="AE155"/>
  <c r="AC141"/>
  <c r="AD141"/>
  <c r="AE141"/>
  <c r="AC146"/>
  <c r="AD146"/>
  <c r="AE146"/>
  <c r="AC153"/>
  <c r="AD153"/>
  <c r="AE153"/>
  <c r="AC147"/>
  <c r="AD147"/>
  <c r="AE147"/>
  <c r="AC148"/>
  <c r="AD148"/>
  <c r="AE148"/>
  <c r="AC149"/>
  <c r="AD149"/>
  <c r="AE149"/>
  <c r="AC150"/>
  <c r="AD150"/>
  <c r="AE150"/>
  <c r="AC151"/>
  <c r="AD151"/>
  <c r="AE151"/>
  <c r="AC152"/>
  <c r="AD152"/>
  <c r="AE152"/>
  <c r="AC144"/>
  <c r="AD144"/>
  <c r="AE144"/>
  <c r="AC145"/>
  <c r="AD145"/>
  <c r="AE145"/>
  <c r="AC142"/>
  <c r="AD142"/>
  <c r="AE142"/>
  <c r="AC143"/>
  <c r="AD143"/>
  <c r="AE143"/>
  <c r="AC134"/>
  <c r="AD134"/>
  <c r="AE134"/>
  <c r="AC137"/>
  <c r="AD137"/>
  <c r="AE137"/>
  <c r="AC118"/>
  <c r="AD118"/>
  <c r="AE118"/>
  <c r="AC119"/>
  <c r="AD119"/>
  <c r="AE119"/>
  <c r="AC124"/>
  <c r="AD124"/>
  <c r="AE124"/>
  <c r="AC133"/>
  <c r="AD133"/>
  <c r="AE133"/>
  <c r="AC132"/>
  <c r="AD132"/>
  <c r="AE132"/>
  <c r="AC125"/>
  <c r="AD125"/>
  <c r="AE125"/>
  <c r="AC126"/>
  <c r="AD126"/>
  <c r="AE126"/>
  <c r="AC122"/>
  <c r="AD122"/>
  <c r="AE122"/>
  <c r="AC123"/>
  <c r="AD123"/>
  <c r="AE123"/>
  <c r="AC120"/>
  <c r="AD120"/>
  <c r="AE120"/>
  <c r="AC121"/>
  <c r="AD121"/>
  <c r="AE121"/>
  <c r="AJ116" i="4"/>
  <c r="AL116" i="8" s="1"/>
  <c r="AC116" i="4"/>
  <c r="AH116" i="8" s="1"/>
  <c r="AC116" i="47"/>
  <c r="AD116"/>
  <c r="AE116"/>
  <c r="AJ115" i="4"/>
  <c r="R115" i="8" s="1"/>
  <c r="AC115" i="4"/>
  <c r="AH115" i="8" s="1"/>
  <c r="AC113" i="47"/>
  <c r="AD113"/>
  <c r="AE113"/>
  <c r="AC114"/>
  <c r="AD114"/>
  <c r="AE114"/>
  <c r="AC110"/>
  <c r="AD110"/>
  <c r="AE110"/>
  <c r="AC111"/>
  <c r="AD111"/>
  <c r="AE111"/>
  <c r="AC112"/>
  <c r="AD112"/>
  <c r="AE112"/>
  <c r="AC9"/>
  <c r="AD9"/>
  <c r="AE9"/>
  <c r="AC61"/>
  <c r="AD61"/>
  <c r="AE61"/>
  <c r="AC109"/>
  <c r="AD109"/>
  <c r="AE109"/>
  <c r="AC103"/>
  <c r="AD103"/>
  <c r="AE103"/>
  <c r="AC104"/>
  <c r="AD104"/>
  <c r="AE104"/>
  <c r="AC105"/>
  <c r="AD105"/>
  <c r="AE105"/>
  <c r="AC106"/>
  <c r="AD106"/>
  <c r="AE106"/>
  <c r="AC107"/>
  <c r="AD107"/>
  <c r="AE107"/>
  <c r="AC108"/>
  <c r="AD108"/>
  <c r="AE108"/>
  <c r="AC98"/>
  <c r="AD98"/>
  <c r="AE98"/>
  <c r="AC101"/>
  <c r="AD101"/>
  <c r="AE101"/>
  <c r="AC102"/>
  <c r="AD102"/>
  <c r="AE102"/>
  <c r="AC99"/>
  <c r="AD99"/>
  <c r="AE99"/>
  <c r="AC100"/>
  <c r="AD100"/>
  <c r="AE100"/>
  <c r="AC62"/>
  <c r="AD62"/>
  <c r="AE62"/>
  <c r="AC75"/>
  <c r="AD75"/>
  <c r="AE75"/>
  <c r="AC97"/>
  <c r="AD97"/>
  <c r="AE97"/>
  <c r="AJ96" i="4"/>
  <c r="R96" i="8" s="1"/>
  <c r="AC96" i="4"/>
  <c r="AH96" i="8" s="1"/>
  <c r="AC91" i="47"/>
  <c r="AD91"/>
  <c r="AE91"/>
  <c r="AC92"/>
  <c r="AD92"/>
  <c r="AE92"/>
  <c r="AC93"/>
  <c r="AD93"/>
  <c r="AE93"/>
  <c r="AC94"/>
  <c r="AD94"/>
  <c r="AE94"/>
  <c r="AC95"/>
  <c r="AD95"/>
  <c r="AE95"/>
  <c r="AC76"/>
  <c r="AD76"/>
  <c r="AE76"/>
  <c r="AC79"/>
  <c r="AD79"/>
  <c r="AE79"/>
  <c r="AC86"/>
  <c r="AD86"/>
  <c r="AE86"/>
  <c r="AC90"/>
  <c r="AD90"/>
  <c r="AE90"/>
  <c r="AC80"/>
  <c r="AD80"/>
  <c r="AE80"/>
  <c r="AC81"/>
  <c r="AD81"/>
  <c r="AE81"/>
  <c r="AC82"/>
  <c r="AD82"/>
  <c r="AE82"/>
  <c r="AC83"/>
  <c r="AD83"/>
  <c r="AE83"/>
  <c r="AC84"/>
  <c r="AD84"/>
  <c r="AE84"/>
  <c r="AC85"/>
  <c r="AD85"/>
  <c r="AE85"/>
  <c r="AC89"/>
  <c r="AD89"/>
  <c r="AE89"/>
  <c r="AC88"/>
  <c r="AD88"/>
  <c r="AE88"/>
  <c r="AC87"/>
  <c r="AD87"/>
  <c r="AE87"/>
  <c r="AC77"/>
  <c r="AD77"/>
  <c r="AE77"/>
  <c r="AC78"/>
  <c r="AD78"/>
  <c r="AE78"/>
  <c r="AC72"/>
  <c r="AD72"/>
  <c r="AE72"/>
  <c r="AC73"/>
  <c r="AD73"/>
  <c r="AE73"/>
  <c r="AC74"/>
  <c r="AD74"/>
  <c r="AE74"/>
  <c r="AC63"/>
  <c r="AD63"/>
  <c r="AE63"/>
  <c r="AC67"/>
  <c r="AD67"/>
  <c r="AE67"/>
  <c r="AC71"/>
  <c r="AD71"/>
  <c r="AE71"/>
  <c r="AC68"/>
  <c r="AD68"/>
  <c r="AE68"/>
  <c r="AC69"/>
  <c r="AD69"/>
  <c r="AE69"/>
  <c r="AC70"/>
  <c r="AD70"/>
  <c r="AE70"/>
  <c r="AC64"/>
  <c r="AD64"/>
  <c r="AE64"/>
  <c r="AC65"/>
  <c r="AD65"/>
  <c r="AE65"/>
  <c r="AC66"/>
  <c r="AD66"/>
  <c r="AE66"/>
  <c r="AC59"/>
  <c r="AD59"/>
  <c r="AE59"/>
  <c r="AC60"/>
  <c r="AD60"/>
  <c r="AE60"/>
  <c r="AC48"/>
  <c r="AD48"/>
  <c r="AE48"/>
  <c r="AC53"/>
  <c r="AD53"/>
  <c r="AE53"/>
  <c r="AC58"/>
  <c r="AD58"/>
  <c r="AE58"/>
  <c r="AC54"/>
  <c r="AD54"/>
  <c r="AE54"/>
  <c r="AC55"/>
  <c r="AD55"/>
  <c r="AE55"/>
  <c r="AC56"/>
  <c r="AD56"/>
  <c r="AE56"/>
  <c r="AC57"/>
  <c r="AD57"/>
  <c r="AE57"/>
  <c r="AC49"/>
  <c r="AD49"/>
  <c r="AE49"/>
  <c r="AC50"/>
  <c r="AD50"/>
  <c r="AE50"/>
  <c r="AC51"/>
  <c r="AD51"/>
  <c r="AE51"/>
  <c r="AC52"/>
  <c r="AD52"/>
  <c r="AE52"/>
  <c r="AC20"/>
  <c r="AD20"/>
  <c r="AE20"/>
  <c r="AC34"/>
  <c r="AD34"/>
  <c r="AE34"/>
  <c r="AC47"/>
  <c r="AD47"/>
  <c r="AE47"/>
  <c r="AC35"/>
  <c r="AD35"/>
  <c r="AE35"/>
  <c r="AC39"/>
  <c r="AD39"/>
  <c r="AE39"/>
  <c r="AC43"/>
  <c r="AD43"/>
  <c r="AE43"/>
  <c r="AC46"/>
  <c r="AD46"/>
  <c r="AE46"/>
  <c r="AC44"/>
  <c r="AD44"/>
  <c r="AE44"/>
  <c r="AC45"/>
  <c r="AD45"/>
  <c r="AE45"/>
  <c r="AC40"/>
  <c r="AD40"/>
  <c r="AE40"/>
  <c r="AC41"/>
  <c r="AD41"/>
  <c r="AE41"/>
  <c r="AC42"/>
  <c r="AD42"/>
  <c r="AE42"/>
  <c r="AC36"/>
  <c r="AD36"/>
  <c r="AE36"/>
  <c r="AC37"/>
  <c r="AD37"/>
  <c r="AE37"/>
  <c r="AC38"/>
  <c r="AD38"/>
  <c r="AE38"/>
  <c r="AC32"/>
  <c r="AD32"/>
  <c r="AE32"/>
  <c r="AC33"/>
  <c r="AD33"/>
  <c r="AE33"/>
  <c r="AC21"/>
  <c r="AD21"/>
  <c r="AE21"/>
  <c r="AC30"/>
  <c r="AD30"/>
  <c r="AE30"/>
  <c r="AC31"/>
  <c r="AD31"/>
  <c r="AE31"/>
  <c r="AC22"/>
  <c r="AD22"/>
  <c r="AE22"/>
  <c r="AC23"/>
  <c r="AD23"/>
  <c r="AE23"/>
  <c r="AC24"/>
  <c r="AD24"/>
  <c r="AE24"/>
  <c r="AC25"/>
  <c r="AD25"/>
  <c r="AE25"/>
  <c r="AC26"/>
  <c r="AD26"/>
  <c r="AE26"/>
  <c r="AC27"/>
  <c r="AD27"/>
  <c r="AE27"/>
  <c r="AC28"/>
  <c r="AD28"/>
  <c r="AE28"/>
  <c r="AC29"/>
  <c r="AD29"/>
  <c r="AE29"/>
  <c r="P9"/>
  <c r="B9" s="1"/>
  <c r="R9"/>
  <c r="C9" s="1"/>
  <c r="Q9"/>
  <c r="T9"/>
  <c r="U9"/>
  <c r="V9"/>
  <c r="W9"/>
  <c r="X9"/>
  <c r="Y9"/>
  <c r="Z9"/>
  <c r="AA9"/>
  <c r="AB9"/>
  <c r="P14"/>
  <c r="R14"/>
  <c r="Q14"/>
  <c r="U14"/>
  <c r="V14"/>
  <c r="P15"/>
  <c r="R15"/>
  <c r="Q15"/>
  <c r="T15"/>
  <c r="U15"/>
  <c r="V15"/>
  <c r="P16"/>
  <c r="R16"/>
  <c r="Q16"/>
  <c r="T16"/>
  <c r="U16"/>
  <c r="V16"/>
  <c r="P17"/>
  <c r="R17"/>
  <c r="Q17"/>
  <c r="T17"/>
  <c r="U17"/>
  <c r="V17"/>
  <c r="P18"/>
  <c r="R18"/>
  <c r="Q18"/>
  <c r="T18"/>
  <c r="U18"/>
  <c r="V18"/>
  <c r="P19"/>
  <c r="R19"/>
  <c r="Q19"/>
  <c r="T19"/>
  <c r="U19"/>
  <c r="V19"/>
  <c r="P20"/>
  <c r="R20"/>
  <c r="Q20"/>
  <c r="S20"/>
  <c r="T20"/>
  <c r="U20"/>
  <c r="V20"/>
  <c r="W20"/>
  <c r="X20"/>
  <c r="Y20"/>
  <c r="Z20"/>
  <c r="AA20"/>
  <c r="AB20"/>
  <c r="P21"/>
  <c r="R21"/>
  <c r="Q21"/>
  <c r="S21"/>
  <c r="T21"/>
  <c r="U21"/>
  <c r="V21"/>
  <c r="W21"/>
  <c r="X21"/>
  <c r="Y21"/>
  <c r="Z21"/>
  <c r="AA21"/>
  <c r="AB21"/>
  <c r="P22"/>
  <c r="R22"/>
  <c r="Q22"/>
  <c r="S22"/>
  <c r="T22"/>
  <c r="U22"/>
  <c r="V22"/>
  <c r="W22"/>
  <c r="X22"/>
  <c r="Y22"/>
  <c r="Z22"/>
  <c r="AA22"/>
  <c r="AB22"/>
  <c r="P23"/>
  <c r="B23" s="1"/>
  <c r="R23"/>
  <c r="C23" s="1"/>
  <c r="Q23"/>
  <c r="S23"/>
  <c r="T23"/>
  <c r="U23"/>
  <c r="V23"/>
  <c r="W23"/>
  <c r="X23"/>
  <c r="Y23"/>
  <c r="Z23"/>
  <c r="AA23"/>
  <c r="AB23"/>
  <c r="P24"/>
  <c r="R24"/>
  <c r="Q24"/>
  <c r="S24"/>
  <c r="T24"/>
  <c r="U24"/>
  <c r="V24"/>
  <c r="W24"/>
  <c r="X24"/>
  <c r="Y24"/>
  <c r="Z24"/>
  <c r="AA24"/>
  <c r="AB24"/>
  <c r="P25"/>
  <c r="R25"/>
  <c r="Q25"/>
  <c r="S25"/>
  <c r="T25"/>
  <c r="U25"/>
  <c r="V25"/>
  <c r="W25"/>
  <c r="X25"/>
  <c r="Y25"/>
  <c r="Z25"/>
  <c r="AA25"/>
  <c r="AB25"/>
  <c r="P26"/>
  <c r="B26" s="1"/>
  <c r="R26"/>
  <c r="C26" s="1"/>
  <c r="Q26"/>
  <c r="S26"/>
  <c r="T26"/>
  <c r="U26"/>
  <c r="V26"/>
  <c r="W26"/>
  <c r="X26"/>
  <c r="Y26"/>
  <c r="Z26"/>
  <c r="AA26"/>
  <c r="AB26"/>
  <c r="P27"/>
  <c r="B27" s="1"/>
  <c r="R27"/>
  <c r="C27" s="1"/>
  <c r="Q27"/>
  <c r="S27"/>
  <c r="T27"/>
  <c r="U27"/>
  <c r="V27"/>
  <c r="W27"/>
  <c r="X27"/>
  <c r="Y27"/>
  <c r="Z27"/>
  <c r="AA27"/>
  <c r="AB27"/>
  <c r="P28"/>
  <c r="B28" s="1"/>
  <c r="R28"/>
  <c r="C28" s="1"/>
  <c r="Q28"/>
  <c r="S28"/>
  <c r="T28"/>
  <c r="U28"/>
  <c r="V28"/>
  <c r="W28"/>
  <c r="X28"/>
  <c r="Y28"/>
  <c r="Z28"/>
  <c r="AA28"/>
  <c r="AB28"/>
  <c r="P29"/>
  <c r="B29" s="1"/>
  <c r="R29"/>
  <c r="C29" s="1"/>
  <c r="Q29"/>
  <c r="S29"/>
  <c r="T29"/>
  <c r="U29"/>
  <c r="V29"/>
  <c r="W29"/>
  <c r="X29"/>
  <c r="Y29"/>
  <c r="Z29"/>
  <c r="AA29"/>
  <c r="AB29"/>
  <c r="P30"/>
  <c r="R30"/>
  <c r="Q30"/>
  <c r="S30"/>
  <c r="T30"/>
  <c r="U30"/>
  <c r="V30"/>
  <c r="W30"/>
  <c r="X30"/>
  <c r="Y30"/>
  <c r="Z30"/>
  <c r="AA30"/>
  <c r="AB30"/>
  <c r="P31"/>
  <c r="R31"/>
  <c r="Q31"/>
  <c r="S31"/>
  <c r="T31"/>
  <c r="U31"/>
  <c r="V31"/>
  <c r="W31"/>
  <c r="X31"/>
  <c r="Y31"/>
  <c r="Z31"/>
  <c r="AA31"/>
  <c r="P32"/>
  <c r="R32"/>
  <c r="Q32"/>
  <c r="S32"/>
  <c r="T32"/>
  <c r="U32"/>
  <c r="V32"/>
  <c r="W32"/>
  <c r="X32"/>
  <c r="Y32"/>
  <c r="Z32"/>
  <c r="AA32"/>
  <c r="P33"/>
  <c r="R33"/>
  <c r="Q33"/>
  <c r="S33"/>
  <c r="T33"/>
  <c r="U33"/>
  <c r="V33"/>
  <c r="W33"/>
  <c r="X33"/>
  <c r="Y33"/>
  <c r="Z33"/>
  <c r="AA33"/>
  <c r="P34"/>
  <c r="R34"/>
  <c r="Q34"/>
  <c r="S34"/>
  <c r="T34"/>
  <c r="U34"/>
  <c r="V34"/>
  <c r="W34"/>
  <c r="X34"/>
  <c r="Y34"/>
  <c r="Z34"/>
  <c r="AA34"/>
  <c r="AB34"/>
  <c r="P35"/>
  <c r="R35"/>
  <c r="Q35"/>
  <c r="S35"/>
  <c r="T35"/>
  <c r="U35"/>
  <c r="V35"/>
  <c r="W35"/>
  <c r="X35"/>
  <c r="Y35"/>
  <c r="Z35"/>
  <c r="AA35"/>
  <c r="AB35"/>
  <c r="P36"/>
  <c r="R36"/>
  <c r="Q36"/>
  <c r="S36"/>
  <c r="T36"/>
  <c r="U36"/>
  <c r="V36"/>
  <c r="W36"/>
  <c r="X36"/>
  <c r="Y36"/>
  <c r="Z36"/>
  <c r="AA36"/>
  <c r="AB36"/>
  <c r="P37"/>
  <c r="R37"/>
  <c r="Q37"/>
  <c r="S37"/>
  <c r="T37"/>
  <c r="U37"/>
  <c r="V37"/>
  <c r="W37"/>
  <c r="X37"/>
  <c r="Y37"/>
  <c r="Z37"/>
  <c r="AA37"/>
  <c r="AB37"/>
  <c r="P38"/>
  <c r="R38"/>
  <c r="Q38"/>
  <c r="S38"/>
  <c r="T38"/>
  <c r="U38"/>
  <c r="V38"/>
  <c r="W38"/>
  <c r="X38"/>
  <c r="Y38"/>
  <c r="Z38"/>
  <c r="AA38"/>
  <c r="AB38"/>
  <c r="P39"/>
  <c r="R39"/>
  <c r="Q39"/>
  <c r="S39"/>
  <c r="T39"/>
  <c r="U39"/>
  <c r="V39"/>
  <c r="W39"/>
  <c r="X39"/>
  <c r="Y39"/>
  <c r="Z39"/>
  <c r="AA39"/>
  <c r="AB39"/>
  <c r="P40"/>
  <c r="R40"/>
  <c r="Q40"/>
  <c r="S40"/>
  <c r="T40"/>
  <c r="U40"/>
  <c r="V40"/>
  <c r="W40"/>
  <c r="X40"/>
  <c r="Y40"/>
  <c r="Z40"/>
  <c r="AA40"/>
  <c r="P41"/>
  <c r="R41"/>
  <c r="Q41"/>
  <c r="S41"/>
  <c r="T41"/>
  <c r="U41"/>
  <c r="V41"/>
  <c r="W41"/>
  <c r="X41"/>
  <c r="Y41"/>
  <c r="Z41"/>
  <c r="AA41"/>
  <c r="R42"/>
  <c r="P42"/>
  <c r="Q42"/>
  <c r="S42"/>
  <c r="T42"/>
  <c r="U42"/>
  <c r="V42"/>
  <c r="W42"/>
  <c r="X42"/>
  <c r="Y42"/>
  <c r="Z42"/>
  <c r="AA42"/>
  <c r="P43"/>
  <c r="R43"/>
  <c r="Q43"/>
  <c r="S43"/>
  <c r="T43"/>
  <c r="U43"/>
  <c r="V43"/>
  <c r="W43"/>
  <c r="X43"/>
  <c r="Y43"/>
  <c r="Z43"/>
  <c r="AA43"/>
  <c r="AB43"/>
  <c r="P44"/>
  <c r="B44" s="1"/>
  <c r="R44"/>
  <c r="C44" s="1"/>
  <c r="Q44"/>
  <c r="S44"/>
  <c r="T44"/>
  <c r="U44"/>
  <c r="V44"/>
  <c r="W44"/>
  <c r="X44"/>
  <c r="Y44"/>
  <c r="Z44"/>
  <c r="AA44"/>
  <c r="AB44"/>
  <c r="P45"/>
  <c r="B45" s="1"/>
  <c r="R45"/>
  <c r="C45" s="1"/>
  <c r="Q45"/>
  <c r="S45"/>
  <c r="T45"/>
  <c r="U45"/>
  <c r="V45"/>
  <c r="W45"/>
  <c r="X45"/>
  <c r="Y45"/>
  <c r="Z45"/>
  <c r="AA45"/>
  <c r="AB45"/>
  <c r="P46"/>
  <c r="R46"/>
  <c r="Q46"/>
  <c r="S46"/>
  <c r="T46"/>
  <c r="U46"/>
  <c r="V46"/>
  <c r="W46"/>
  <c r="X46"/>
  <c r="Y46"/>
  <c r="Z46"/>
  <c r="AA46"/>
  <c r="AB46"/>
  <c r="P47"/>
  <c r="R47"/>
  <c r="Q47"/>
  <c r="S47"/>
  <c r="T47"/>
  <c r="U47"/>
  <c r="V47"/>
  <c r="W47"/>
  <c r="X47"/>
  <c r="Y47"/>
  <c r="Z47"/>
  <c r="AA47"/>
  <c r="AB47"/>
  <c r="P48"/>
  <c r="R48"/>
  <c r="Q48"/>
  <c r="S48"/>
  <c r="T48"/>
  <c r="U48"/>
  <c r="V48"/>
  <c r="W48"/>
  <c r="X48"/>
  <c r="Y48"/>
  <c r="Z48"/>
  <c r="AA48"/>
  <c r="AB48"/>
  <c r="P49"/>
  <c r="R49"/>
  <c r="Q49"/>
  <c r="S49"/>
  <c r="T49"/>
  <c r="U49"/>
  <c r="V49"/>
  <c r="W49"/>
  <c r="X49"/>
  <c r="Y49"/>
  <c r="Z49"/>
  <c r="AA49"/>
  <c r="AB49"/>
  <c r="P50"/>
  <c r="R50"/>
  <c r="Q50"/>
  <c r="S50"/>
  <c r="T50"/>
  <c r="U50"/>
  <c r="V50"/>
  <c r="W50"/>
  <c r="X50"/>
  <c r="Y50"/>
  <c r="Z50"/>
  <c r="AA50"/>
  <c r="P51"/>
  <c r="B51" s="1"/>
  <c r="R51"/>
  <c r="C51" s="1"/>
  <c r="Q51"/>
  <c r="S51"/>
  <c r="T51"/>
  <c r="U51"/>
  <c r="V51"/>
  <c r="W51"/>
  <c r="X51"/>
  <c r="Y51"/>
  <c r="Z51"/>
  <c r="AA51"/>
  <c r="AB51"/>
  <c r="P52"/>
  <c r="B52" s="1"/>
  <c r="R52"/>
  <c r="C52" s="1"/>
  <c r="Q52"/>
  <c r="S52"/>
  <c r="T52"/>
  <c r="U52"/>
  <c r="V52"/>
  <c r="W52"/>
  <c r="X52"/>
  <c r="Y52"/>
  <c r="Z52"/>
  <c r="AA52"/>
  <c r="AB52"/>
  <c r="P53"/>
  <c r="R53"/>
  <c r="Q53"/>
  <c r="S53"/>
  <c r="T53"/>
  <c r="U53"/>
  <c r="V53"/>
  <c r="W53"/>
  <c r="X53"/>
  <c r="Y53"/>
  <c r="Z53"/>
  <c r="AA53"/>
  <c r="AB53"/>
  <c r="P54"/>
  <c r="R54"/>
  <c r="Q54"/>
  <c r="S54"/>
  <c r="T54"/>
  <c r="U54"/>
  <c r="V54"/>
  <c r="W54"/>
  <c r="X54"/>
  <c r="Y54"/>
  <c r="Z54"/>
  <c r="AA54"/>
  <c r="AB54"/>
  <c r="P55"/>
  <c r="R55"/>
  <c r="Q55"/>
  <c r="S55"/>
  <c r="T55"/>
  <c r="U55"/>
  <c r="V55"/>
  <c r="W55"/>
  <c r="X55"/>
  <c r="Y55"/>
  <c r="Z55"/>
  <c r="AA55"/>
  <c r="AB55"/>
  <c r="P56"/>
  <c r="R56"/>
  <c r="Q56"/>
  <c r="S56"/>
  <c r="T56"/>
  <c r="U56"/>
  <c r="V56"/>
  <c r="W56"/>
  <c r="X56"/>
  <c r="Y56"/>
  <c r="Z56"/>
  <c r="AA56"/>
  <c r="AB56"/>
  <c r="P57"/>
  <c r="B57" s="1"/>
  <c r="R57"/>
  <c r="C57" s="1"/>
  <c r="Q57"/>
  <c r="S57"/>
  <c r="T57"/>
  <c r="U57"/>
  <c r="V57"/>
  <c r="W57"/>
  <c r="X57"/>
  <c r="Y57"/>
  <c r="Z57"/>
  <c r="AA57"/>
  <c r="AB57"/>
  <c r="P58"/>
  <c r="R58"/>
  <c r="Q58"/>
  <c r="S58"/>
  <c r="T58"/>
  <c r="U58"/>
  <c r="V58"/>
  <c r="W58"/>
  <c r="X58"/>
  <c r="Y58"/>
  <c r="Z58"/>
  <c r="AA58"/>
  <c r="AB58"/>
  <c r="P59"/>
  <c r="R59"/>
  <c r="Q59"/>
  <c r="S59"/>
  <c r="T59"/>
  <c r="U59"/>
  <c r="V59"/>
  <c r="W59"/>
  <c r="X59"/>
  <c r="Y59"/>
  <c r="Z59"/>
  <c r="AA59"/>
  <c r="AB59"/>
  <c r="P60"/>
  <c r="R60"/>
  <c r="Q60"/>
  <c r="S60"/>
  <c r="T60"/>
  <c r="U60"/>
  <c r="V60"/>
  <c r="W60"/>
  <c r="X60"/>
  <c r="Y60"/>
  <c r="Z60"/>
  <c r="AA60"/>
  <c r="AB60"/>
  <c r="P61"/>
  <c r="B61" s="1"/>
  <c r="R61"/>
  <c r="C61" s="1"/>
  <c r="Q61"/>
  <c r="S61"/>
  <c r="T61"/>
  <c r="U61"/>
  <c r="V61"/>
  <c r="W61"/>
  <c r="X61"/>
  <c r="Y61"/>
  <c r="Z61"/>
  <c r="AA61"/>
  <c r="AB61"/>
  <c r="P62"/>
  <c r="B62" s="1"/>
  <c r="R62"/>
  <c r="C62" s="1"/>
  <c r="Q62"/>
  <c r="S62"/>
  <c r="T62"/>
  <c r="U62"/>
  <c r="V62"/>
  <c r="W62"/>
  <c r="X62"/>
  <c r="Y62"/>
  <c r="Z62"/>
  <c r="AA62"/>
  <c r="AB62"/>
  <c r="P63"/>
  <c r="B63" s="1"/>
  <c r="R63"/>
  <c r="C63" s="1"/>
  <c r="Q63"/>
  <c r="S63"/>
  <c r="T63"/>
  <c r="U63"/>
  <c r="P64"/>
  <c r="B64" s="1"/>
  <c r="R64"/>
  <c r="C64" s="1"/>
  <c r="Q64"/>
  <c r="S64"/>
  <c r="T64"/>
  <c r="U64"/>
  <c r="P65"/>
  <c r="B65" s="1"/>
  <c r="R65"/>
  <c r="C65" s="1"/>
  <c r="Q65"/>
  <c r="S65"/>
  <c r="T65"/>
  <c r="U65"/>
  <c r="P66"/>
  <c r="B66" s="1"/>
  <c r="R66"/>
  <c r="C66" s="1"/>
  <c r="Q66"/>
  <c r="S66"/>
  <c r="T66"/>
  <c r="U66"/>
  <c r="P67"/>
  <c r="B67" s="1"/>
  <c r="R67"/>
  <c r="C67"/>
  <c r="Q67"/>
  <c r="S67"/>
  <c r="T67"/>
  <c r="U67"/>
  <c r="P68"/>
  <c r="B68" s="1"/>
  <c r="R68"/>
  <c r="C68" s="1"/>
  <c r="Q68"/>
  <c r="S68"/>
  <c r="T68"/>
  <c r="U68"/>
  <c r="P69"/>
  <c r="B69" s="1"/>
  <c r="R69"/>
  <c r="C69"/>
  <c r="Q69"/>
  <c r="S69"/>
  <c r="T69"/>
  <c r="U69"/>
  <c r="P70"/>
  <c r="B70" s="1"/>
  <c r="R70"/>
  <c r="C70" s="1"/>
  <c r="Q70"/>
  <c r="S70"/>
  <c r="T70"/>
  <c r="U70"/>
  <c r="P71"/>
  <c r="B71" s="1"/>
  <c r="R71"/>
  <c r="C71" s="1"/>
  <c r="Q71"/>
  <c r="S71"/>
  <c r="T71"/>
  <c r="U71"/>
  <c r="P72"/>
  <c r="B72" s="1"/>
  <c r="R72"/>
  <c r="C72" s="1"/>
  <c r="Q72"/>
  <c r="S72"/>
  <c r="T72"/>
  <c r="U72"/>
  <c r="P73"/>
  <c r="B73" s="1"/>
  <c r="R73"/>
  <c r="C73" s="1"/>
  <c r="Q73"/>
  <c r="S73"/>
  <c r="T73"/>
  <c r="U73"/>
  <c r="P74"/>
  <c r="B74" s="1"/>
  <c r="R74"/>
  <c r="C74" s="1"/>
  <c r="Q74"/>
  <c r="S74"/>
  <c r="T74"/>
  <c r="U74"/>
  <c r="P75"/>
  <c r="B75" s="1"/>
  <c r="R75"/>
  <c r="C75"/>
  <c r="Q75"/>
  <c r="S75"/>
  <c r="T75"/>
  <c r="U75"/>
  <c r="V75"/>
  <c r="W75"/>
  <c r="X75"/>
  <c r="Y75"/>
  <c r="Z75"/>
  <c r="AA75"/>
  <c r="AB75"/>
  <c r="P76"/>
  <c r="B76" s="1"/>
  <c r="R76"/>
  <c r="C76" s="1"/>
  <c r="Q76"/>
  <c r="S76"/>
  <c r="T76"/>
  <c r="U76"/>
  <c r="V76"/>
  <c r="W76"/>
  <c r="X76"/>
  <c r="Y76"/>
  <c r="Z76"/>
  <c r="AA76"/>
  <c r="AB76"/>
  <c r="P77"/>
  <c r="B77" s="1"/>
  <c r="R77"/>
  <c r="C77" s="1"/>
  <c r="Q77"/>
  <c r="S77"/>
  <c r="T77"/>
  <c r="U77"/>
  <c r="V77"/>
  <c r="W77"/>
  <c r="X77"/>
  <c r="Y77"/>
  <c r="Z77"/>
  <c r="AA77"/>
  <c r="AB77"/>
  <c r="P78"/>
  <c r="B78" s="1"/>
  <c r="R78"/>
  <c r="C78" s="1"/>
  <c r="Q78"/>
  <c r="S78"/>
  <c r="T78"/>
  <c r="U78"/>
  <c r="V78"/>
  <c r="W78"/>
  <c r="X78"/>
  <c r="Y78"/>
  <c r="Z78"/>
  <c r="AA78"/>
  <c r="AB78"/>
  <c r="P79"/>
  <c r="B79" s="1"/>
  <c r="R79"/>
  <c r="C79" s="1"/>
  <c r="Q79"/>
  <c r="S79"/>
  <c r="T79"/>
  <c r="U79"/>
  <c r="V79"/>
  <c r="W79"/>
  <c r="X79"/>
  <c r="Y79"/>
  <c r="Z79"/>
  <c r="AA79"/>
  <c r="AB79"/>
  <c r="P80"/>
  <c r="B80" s="1"/>
  <c r="R80"/>
  <c r="C80" s="1"/>
  <c r="Q80"/>
  <c r="S80"/>
  <c r="T80"/>
  <c r="U80"/>
  <c r="V80"/>
  <c r="W80"/>
  <c r="X80"/>
  <c r="Y80"/>
  <c r="Z80"/>
  <c r="AA80"/>
  <c r="AB80"/>
  <c r="P81"/>
  <c r="B81" s="1"/>
  <c r="R81"/>
  <c r="C81" s="1"/>
  <c r="Q81"/>
  <c r="S81"/>
  <c r="T81"/>
  <c r="U81"/>
  <c r="V81"/>
  <c r="W81"/>
  <c r="X81"/>
  <c r="Y81"/>
  <c r="Z81"/>
  <c r="AA81"/>
  <c r="AB81"/>
  <c r="P82"/>
  <c r="B82" s="1"/>
  <c r="R82"/>
  <c r="C82" s="1"/>
  <c r="Q82"/>
  <c r="S82"/>
  <c r="T82"/>
  <c r="U82"/>
  <c r="V82"/>
  <c r="W82"/>
  <c r="X82"/>
  <c r="Y82"/>
  <c r="Z82"/>
  <c r="AA82"/>
  <c r="AB82"/>
  <c r="P83"/>
  <c r="B83" s="1"/>
  <c r="R83"/>
  <c r="C83" s="1"/>
  <c r="Q83"/>
  <c r="S83"/>
  <c r="T83"/>
  <c r="U83"/>
  <c r="V83"/>
  <c r="W83"/>
  <c r="X83"/>
  <c r="Y83"/>
  <c r="Z83"/>
  <c r="AA83"/>
  <c r="AB83"/>
  <c r="P84"/>
  <c r="B84" s="1"/>
  <c r="R84"/>
  <c r="C84" s="1"/>
  <c r="S84"/>
  <c r="T84"/>
  <c r="U84"/>
  <c r="V84"/>
  <c r="W84"/>
  <c r="X84"/>
  <c r="Y84"/>
  <c r="Z84"/>
  <c r="AA84"/>
  <c r="AB84"/>
  <c r="P85"/>
  <c r="B85" s="1"/>
  <c r="R85"/>
  <c r="C85" s="1"/>
  <c r="Q85"/>
  <c r="S85"/>
  <c r="T85"/>
  <c r="U85"/>
  <c r="V85"/>
  <c r="W85"/>
  <c r="X85"/>
  <c r="Y85"/>
  <c r="Z85"/>
  <c r="AA85"/>
  <c r="AB85"/>
  <c r="P86"/>
  <c r="B86" s="1"/>
  <c r="R86"/>
  <c r="C86" s="1"/>
  <c r="Q86"/>
  <c r="S86"/>
  <c r="T86"/>
  <c r="U86"/>
  <c r="V86"/>
  <c r="W86"/>
  <c r="X86"/>
  <c r="Y86"/>
  <c r="Z86"/>
  <c r="AA86"/>
  <c r="AB86"/>
  <c r="P87"/>
  <c r="B87" s="1"/>
  <c r="R87"/>
  <c r="C87" s="1"/>
  <c r="Q87"/>
  <c r="S87"/>
  <c r="T87"/>
  <c r="U87"/>
  <c r="V87"/>
  <c r="W87"/>
  <c r="X87"/>
  <c r="Y87"/>
  <c r="Z87"/>
  <c r="AA87"/>
  <c r="AB87"/>
  <c r="P88"/>
  <c r="B88" s="1"/>
  <c r="R88"/>
  <c r="C88" s="1"/>
  <c r="Q88"/>
  <c r="S88"/>
  <c r="T88"/>
  <c r="U88"/>
  <c r="V88"/>
  <c r="W88"/>
  <c r="X88"/>
  <c r="Y88"/>
  <c r="Z88"/>
  <c r="AA88"/>
  <c r="AB88"/>
  <c r="P89"/>
  <c r="B89" s="1"/>
  <c r="R89"/>
  <c r="C89" s="1"/>
  <c r="Q89"/>
  <c r="S89"/>
  <c r="T89"/>
  <c r="U89"/>
  <c r="V89"/>
  <c r="W89"/>
  <c r="X89"/>
  <c r="Y89"/>
  <c r="Z89"/>
  <c r="AA89"/>
  <c r="AB89"/>
  <c r="P90"/>
  <c r="B90" s="1"/>
  <c r="R90"/>
  <c r="C90" s="1"/>
  <c r="Q90"/>
  <c r="S90"/>
  <c r="T90"/>
  <c r="U90"/>
  <c r="V90"/>
  <c r="W90"/>
  <c r="X90"/>
  <c r="Y90"/>
  <c r="Z90"/>
  <c r="AA90"/>
  <c r="AB90"/>
  <c r="P91"/>
  <c r="B91" s="1"/>
  <c r="R91"/>
  <c r="C91" s="1"/>
  <c r="Q91"/>
  <c r="S91"/>
  <c r="T91"/>
  <c r="U91"/>
  <c r="V91"/>
  <c r="W91"/>
  <c r="X91"/>
  <c r="Y91"/>
  <c r="Z91"/>
  <c r="AA91"/>
  <c r="AB91"/>
  <c r="P92"/>
  <c r="B92" s="1"/>
  <c r="R92"/>
  <c r="C92" s="1"/>
  <c r="Q92"/>
  <c r="S92"/>
  <c r="T92"/>
  <c r="U92"/>
  <c r="V92"/>
  <c r="W92"/>
  <c r="X92"/>
  <c r="Y92"/>
  <c r="Z92"/>
  <c r="AA92"/>
  <c r="AB92"/>
  <c r="P93"/>
  <c r="B93" s="1"/>
  <c r="R93"/>
  <c r="C93" s="1"/>
  <c r="Q93"/>
  <c r="S93"/>
  <c r="T93"/>
  <c r="U93"/>
  <c r="V93"/>
  <c r="W93"/>
  <c r="X93"/>
  <c r="Y93"/>
  <c r="Z93"/>
  <c r="AA93"/>
  <c r="AB93"/>
  <c r="P94"/>
  <c r="B94" s="1"/>
  <c r="R94"/>
  <c r="C94" s="1"/>
  <c r="Q94"/>
  <c r="S94"/>
  <c r="T94"/>
  <c r="U94"/>
  <c r="V94"/>
  <c r="W94"/>
  <c r="X94"/>
  <c r="Y94"/>
  <c r="Z94"/>
  <c r="AA94"/>
  <c r="AB94"/>
  <c r="P95"/>
  <c r="B95" s="1"/>
  <c r="R95"/>
  <c r="C95" s="1"/>
  <c r="Q95"/>
  <c r="S95"/>
  <c r="T95"/>
  <c r="U95"/>
  <c r="V95"/>
  <c r="W95"/>
  <c r="X95"/>
  <c r="Y95"/>
  <c r="Z95"/>
  <c r="AA95"/>
  <c r="AB95"/>
  <c r="P96"/>
  <c r="B96" s="1"/>
  <c r="R96"/>
  <c r="C96" s="1"/>
  <c r="Q96"/>
  <c r="S96"/>
  <c r="T96"/>
  <c r="U96"/>
  <c r="V96"/>
  <c r="W96"/>
  <c r="X96"/>
  <c r="Y96"/>
  <c r="Z96"/>
  <c r="AA96"/>
  <c r="AB96"/>
  <c r="AC96"/>
  <c r="AD96"/>
  <c r="AE96"/>
  <c r="P97"/>
  <c r="B97" s="1"/>
  <c r="R97"/>
  <c r="C97"/>
  <c r="Q97"/>
  <c r="S97"/>
  <c r="T97"/>
  <c r="U97"/>
  <c r="V97"/>
  <c r="W97"/>
  <c r="X97"/>
  <c r="Y97"/>
  <c r="Z97"/>
  <c r="AA97"/>
  <c r="AB97"/>
  <c r="P98"/>
  <c r="B98" s="1"/>
  <c r="R98"/>
  <c r="C98" s="1"/>
  <c r="Q98"/>
  <c r="S98"/>
  <c r="T98"/>
  <c r="U98"/>
  <c r="V98"/>
  <c r="W98"/>
  <c r="X98"/>
  <c r="Y98"/>
  <c r="Z98"/>
  <c r="AA98"/>
  <c r="AB98"/>
  <c r="P99"/>
  <c r="B99" s="1"/>
  <c r="R99"/>
  <c r="C99"/>
  <c r="Q99"/>
  <c r="S99"/>
  <c r="T99"/>
  <c r="U99"/>
  <c r="V99"/>
  <c r="W99"/>
  <c r="X99"/>
  <c r="Y99"/>
  <c r="Z99"/>
  <c r="AA99"/>
  <c r="AB99"/>
  <c r="P100"/>
  <c r="B100" s="1"/>
  <c r="R100"/>
  <c r="C100" s="1"/>
  <c r="Q100"/>
  <c r="S100"/>
  <c r="T100"/>
  <c r="U100"/>
  <c r="V100"/>
  <c r="W100"/>
  <c r="X100"/>
  <c r="Y100"/>
  <c r="Z100"/>
  <c r="AA100"/>
  <c r="AB100"/>
  <c r="P101"/>
  <c r="B101" s="1"/>
  <c r="R101"/>
  <c r="C101" s="1"/>
  <c r="Q101"/>
  <c r="S101"/>
  <c r="T101"/>
  <c r="U101"/>
  <c r="V101"/>
  <c r="W101"/>
  <c r="X101"/>
  <c r="Y101"/>
  <c r="Z101"/>
  <c r="AA101"/>
  <c r="AB101"/>
  <c r="P102"/>
  <c r="B102" s="1"/>
  <c r="R102"/>
  <c r="C102" s="1"/>
  <c r="Q102"/>
  <c r="S102"/>
  <c r="T102"/>
  <c r="U102"/>
  <c r="V102"/>
  <c r="W102"/>
  <c r="X102"/>
  <c r="Y102"/>
  <c r="Z102"/>
  <c r="AA102"/>
  <c r="AB102"/>
  <c r="P103"/>
  <c r="B103" s="1"/>
  <c r="R103"/>
  <c r="C103" s="1"/>
  <c r="Q103"/>
  <c r="S103"/>
  <c r="T103"/>
  <c r="U103"/>
  <c r="V103"/>
  <c r="W103"/>
  <c r="X103"/>
  <c r="Y103"/>
  <c r="Z103"/>
  <c r="AA103"/>
  <c r="AB103"/>
  <c r="P104"/>
  <c r="B104" s="1"/>
  <c r="R104"/>
  <c r="C104" s="1"/>
  <c r="Q104"/>
  <c r="S104"/>
  <c r="T104"/>
  <c r="U104"/>
  <c r="V104"/>
  <c r="W104"/>
  <c r="X104"/>
  <c r="Y104"/>
  <c r="Z104"/>
  <c r="AA104"/>
  <c r="AB104"/>
  <c r="P105"/>
  <c r="B105" s="1"/>
  <c r="R105"/>
  <c r="C105"/>
  <c r="Q105"/>
  <c r="S105"/>
  <c r="T105"/>
  <c r="U105"/>
  <c r="V105"/>
  <c r="W105"/>
  <c r="X105"/>
  <c r="Y105"/>
  <c r="Z105"/>
  <c r="AA105"/>
  <c r="AB105"/>
  <c r="P106"/>
  <c r="B106" s="1"/>
  <c r="R106"/>
  <c r="C106" s="1"/>
  <c r="Q106"/>
  <c r="S106"/>
  <c r="T106"/>
  <c r="U106"/>
  <c r="V106"/>
  <c r="W106"/>
  <c r="X106"/>
  <c r="Y106"/>
  <c r="Z106"/>
  <c r="AA106"/>
  <c r="AB106"/>
  <c r="P107"/>
  <c r="B107" s="1"/>
  <c r="R107"/>
  <c r="C107"/>
  <c r="Q107"/>
  <c r="S107"/>
  <c r="T107"/>
  <c r="U107"/>
  <c r="V107"/>
  <c r="W107"/>
  <c r="X107"/>
  <c r="Y107"/>
  <c r="Z107"/>
  <c r="AA107"/>
  <c r="AB107"/>
  <c r="P108"/>
  <c r="B108" s="1"/>
  <c r="R108"/>
  <c r="C108" s="1"/>
  <c r="Q108"/>
  <c r="S108"/>
  <c r="T108"/>
  <c r="U108"/>
  <c r="V108"/>
  <c r="W108"/>
  <c r="X108"/>
  <c r="Y108"/>
  <c r="Z108"/>
  <c r="AA108"/>
  <c r="AB108"/>
  <c r="P109"/>
  <c r="B109" s="1"/>
  <c r="R109"/>
  <c r="C109" s="1"/>
  <c r="Q109"/>
  <c r="S109"/>
  <c r="T109"/>
  <c r="U109"/>
  <c r="V109"/>
  <c r="W109"/>
  <c r="X109"/>
  <c r="Y109"/>
  <c r="Z109"/>
  <c r="AA109"/>
  <c r="AB109"/>
  <c r="P110"/>
  <c r="B110" s="1"/>
  <c r="R110"/>
  <c r="C110" s="1"/>
  <c r="Q110"/>
  <c r="S110"/>
  <c r="T110"/>
  <c r="U110"/>
  <c r="V110"/>
  <c r="W110"/>
  <c r="X110"/>
  <c r="Y110"/>
  <c r="Z110"/>
  <c r="AA110"/>
  <c r="AB110"/>
  <c r="P111"/>
  <c r="B111" s="1"/>
  <c r="R111"/>
  <c r="C111" s="1"/>
  <c r="Q111"/>
  <c r="S111"/>
  <c r="T111"/>
  <c r="U111"/>
  <c r="V111"/>
  <c r="W111"/>
  <c r="X111"/>
  <c r="Y111"/>
  <c r="Z111"/>
  <c r="AA111"/>
  <c r="AB111"/>
  <c r="P112"/>
  <c r="B112" s="1"/>
  <c r="R112"/>
  <c r="C112" s="1"/>
  <c r="Q112"/>
  <c r="S112"/>
  <c r="T112"/>
  <c r="U112"/>
  <c r="V112"/>
  <c r="W112"/>
  <c r="X112"/>
  <c r="Y112"/>
  <c r="Z112"/>
  <c r="AA112"/>
  <c r="AB112"/>
  <c r="P113"/>
  <c r="B113" s="1"/>
  <c r="R113"/>
  <c r="C113"/>
  <c r="Q113"/>
  <c r="S113"/>
  <c r="T113"/>
  <c r="U113"/>
  <c r="V113"/>
  <c r="W113"/>
  <c r="X113"/>
  <c r="Y113"/>
  <c r="Z113"/>
  <c r="AA113"/>
  <c r="AB113"/>
  <c r="P114"/>
  <c r="B114" s="1"/>
  <c r="R114"/>
  <c r="C114" s="1"/>
  <c r="Q114"/>
  <c r="S114"/>
  <c r="T114"/>
  <c r="U114"/>
  <c r="V114"/>
  <c r="W114"/>
  <c r="X114"/>
  <c r="Y114"/>
  <c r="Z114"/>
  <c r="AA114"/>
  <c r="AB114"/>
  <c r="P115"/>
  <c r="B115" s="1"/>
  <c r="R115"/>
  <c r="C115"/>
  <c r="Q115"/>
  <c r="S115"/>
  <c r="T115"/>
  <c r="U115"/>
  <c r="V115"/>
  <c r="W115"/>
  <c r="X115"/>
  <c r="Y115"/>
  <c r="Z115"/>
  <c r="AA115"/>
  <c r="AB115"/>
  <c r="AC115"/>
  <c r="AD115"/>
  <c r="AE115"/>
  <c r="P116"/>
  <c r="B116" s="1"/>
  <c r="R116"/>
  <c r="C116" s="1"/>
  <c r="Q116"/>
  <c r="S116"/>
  <c r="T116"/>
  <c r="U116"/>
  <c r="V116"/>
  <c r="W116"/>
  <c r="X116"/>
  <c r="Y116"/>
  <c r="Z116"/>
  <c r="AA116"/>
  <c r="AB116"/>
  <c r="P117"/>
  <c r="B117" s="1"/>
  <c r="R117"/>
  <c r="C117" s="1"/>
  <c r="Q117"/>
  <c r="S117"/>
  <c r="T117"/>
  <c r="U117"/>
  <c r="V117"/>
  <c r="W117"/>
  <c r="X117"/>
  <c r="Y117"/>
  <c r="Z117"/>
  <c r="AA117"/>
  <c r="AB117"/>
  <c r="P118"/>
  <c r="B118" s="1"/>
  <c r="R118"/>
  <c r="C118" s="1"/>
  <c r="Q118"/>
  <c r="S118"/>
  <c r="T118"/>
  <c r="U118"/>
  <c r="V118"/>
  <c r="W118"/>
  <c r="X118"/>
  <c r="Y118"/>
  <c r="Z118"/>
  <c r="AA118"/>
  <c r="AB118"/>
  <c r="P119"/>
  <c r="B119" s="1"/>
  <c r="R119"/>
  <c r="C119" s="1"/>
  <c r="Q119"/>
  <c r="S119"/>
  <c r="T119"/>
  <c r="U119"/>
  <c r="V119"/>
  <c r="W119"/>
  <c r="X119"/>
  <c r="Y119"/>
  <c r="Z119"/>
  <c r="AA119"/>
  <c r="AB119"/>
  <c r="P120"/>
  <c r="B120" s="1"/>
  <c r="R120"/>
  <c r="C120" s="1"/>
  <c r="Q120"/>
  <c r="S120"/>
  <c r="T120"/>
  <c r="U120"/>
  <c r="V120"/>
  <c r="W120"/>
  <c r="X120"/>
  <c r="Y120"/>
  <c r="Z120"/>
  <c r="AA120"/>
  <c r="P121"/>
  <c r="B121" s="1"/>
  <c r="R121"/>
  <c r="C121" s="1"/>
  <c r="Q121"/>
  <c r="S121"/>
  <c r="T121"/>
  <c r="U121"/>
  <c r="V121"/>
  <c r="W121"/>
  <c r="X121"/>
  <c r="Y121"/>
  <c r="Z121"/>
  <c r="AA121"/>
  <c r="P122"/>
  <c r="B122" s="1"/>
  <c r="R122"/>
  <c r="C122" s="1"/>
  <c r="Q122"/>
  <c r="S122"/>
  <c r="T122"/>
  <c r="U122"/>
  <c r="V122"/>
  <c r="W122"/>
  <c r="X122"/>
  <c r="Y122"/>
  <c r="Z122"/>
  <c r="AA122"/>
  <c r="AB122"/>
  <c r="P123"/>
  <c r="B123" s="1"/>
  <c r="R123"/>
  <c r="C123" s="1"/>
  <c r="Q123"/>
  <c r="S123"/>
  <c r="T123"/>
  <c r="U123"/>
  <c r="V123"/>
  <c r="W123"/>
  <c r="X123"/>
  <c r="Y123"/>
  <c r="Z123"/>
  <c r="AA123"/>
  <c r="P124"/>
  <c r="B124" s="1"/>
  <c r="R124"/>
  <c r="C124" s="1"/>
  <c r="Q124"/>
  <c r="S124"/>
  <c r="T124"/>
  <c r="U124"/>
  <c r="V124"/>
  <c r="W124"/>
  <c r="X124"/>
  <c r="Y124"/>
  <c r="Z124"/>
  <c r="AA124"/>
  <c r="AB124"/>
  <c r="P125"/>
  <c r="B125" s="1"/>
  <c r="R125"/>
  <c r="C125" s="1"/>
  <c r="Q125"/>
  <c r="S125"/>
  <c r="T125"/>
  <c r="U125"/>
  <c r="V125"/>
  <c r="W125"/>
  <c r="X125"/>
  <c r="Y125"/>
  <c r="Z125"/>
  <c r="AA125"/>
  <c r="AB125"/>
  <c r="P126"/>
  <c r="B126" s="1"/>
  <c r="R126"/>
  <c r="C126" s="1"/>
  <c r="Q126"/>
  <c r="S126"/>
  <c r="T126"/>
  <c r="U126"/>
  <c r="V126"/>
  <c r="W126"/>
  <c r="X126"/>
  <c r="Y126"/>
  <c r="Z126"/>
  <c r="AA126"/>
  <c r="AB126"/>
  <c r="P127"/>
  <c r="B127" s="1"/>
  <c r="R127"/>
  <c r="C127" s="1"/>
  <c r="Q127"/>
  <c r="CE127"/>
  <c r="P128"/>
  <c r="B128" s="1"/>
  <c r="R128"/>
  <c r="C128" s="1"/>
  <c r="Q128"/>
  <c r="CE128"/>
  <c r="P129"/>
  <c r="B129" s="1"/>
  <c r="R129"/>
  <c r="C129" s="1"/>
  <c r="Q129"/>
  <c r="CE129"/>
  <c r="P130"/>
  <c r="B130" s="1"/>
  <c r="R130"/>
  <c r="C130" s="1"/>
  <c r="Q130"/>
  <c r="CE130"/>
  <c r="P131"/>
  <c r="B131" s="1"/>
  <c r="R131"/>
  <c r="C131" s="1"/>
  <c r="Q131"/>
  <c r="CE131"/>
  <c r="P132"/>
  <c r="B132" s="1"/>
  <c r="R132"/>
  <c r="C132" s="1"/>
  <c r="Q132"/>
  <c r="S132"/>
  <c r="T132"/>
  <c r="U132"/>
  <c r="V132"/>
  <c r="W132"/>
  <c r="X132"/>
  <c r="Y132"/>
  <c r="Z132"/>
  <c r="AA132"/>
  <c r="AB132"/>
  <c r="CE132"/>
  <c r="P133"/>
  <c r="B133" s="1"/>
  <c r="R133"/>
  <c r="C133" s="1"/>
  <c r="Q133"/>
  <c r="S133"/>
  <c r="T133"/>
  <c r="U133"/>
  <c r="V133"/>
  <c r="W133"/>
  <c r="X133"/>
  <c r="Y133"/>
  <c r="Z133"/>
  <c r="AA133"/>
  <c r="AB133"/>
  <c r="CE133"/>
  <c r="P134"/>
  <c r="B134" s="1"/>
  <c r="R134"/>
  <c r="C134" s="1"/>
  <c r="Q134"/>
  <c r="S134"/>
  <c r="T134"/>
  <c r="U134"/>
  <c r="V134"/>
  <c r="W134"/>
  <c r="X134"/>
  <c r="Y134"/>
  <c r="Z134"/>
  <c r="AA134"/>
  <c r="AB134"/>
  <c r="CE134"/>
  <c r="P140"/>
  <c r="B140"/>
  <c r="R140"/>
  <c r="C140" s="1"/>
  <c r="Q140"/>
  <c r="S140"/>
  <c r="T140"/>
  <c r="U140"/>
  <c r="V140"/>
  <c r="W140"/>
  <c r="X140"/>
  <c r="Y140"/>
  <c r="Z140"/>
  <c r="AA140"/>
  <c r="AB140"/>
  <c r="P141"/>
  <c r="B141" s="1"/>
  <c r="R141"/>
  <c r="C141" s="1"/>
  <c r="Q141"/>
  <c r="S141"/>
  <c r="T141"/>
  <c r="U141"/>
  <c r="V141"/>
  <c r="W141"/>
  <c r="X141"/>
  <c r="Y141"/>
  <c r="Z141"/>
  <c r="AA141"/>
  <c r="AB141"/>
  <c r="P142"/>
  <c r="B142"/>
  <c r="R142"/>
  <c r="C142" s="1"/>
  <c r="Q142"/>
  <c r="S142"/>
  <c r="T142"/>
  <c r="U142"/>
  <c r="V142"/>
  <c r="W142"/>
  <c r="X142"/>
  <c r="Y142"/>
  <c r="Z142"/>
  <c r="AA142"/>
  <c r="AB142"/>
  <c r="P143"/>
  <c r="B143" s="1"/>
  <c r="R143"/>
  <c r="C143" s="1"/>
  <c r="Q143"/>
  <c r="S143"/>
  <c r="T143"/>
  <c r="U143"/>
  <c r="V143"/>
  <c r="W143"/>
  <c r="X143"/>
  <c r="Y143"/>
  <c r="Z143"/>
  <c r="AA143"/>
  <c r="AB143"/>
  <c r="P144"/>
  <c r="B144"/>
  <c r="R144"/>
  <c r="C144" s="1"/>
  <c r="Q144"/>
  <c r="S144"/>
  <c r="T144"/>
  <c r="U144"/>
  <c r="V144"/>
  <c r="W144"/>
  <c r="X144"/>
  <c r="Y144"/>
  <c r="Z144"/>
  <c r="AA144"/>
  <c r="AB144"/>
  <c r="P145"/>
  <c r="B145" s="1"/>
  <c r="R145"/>
  <c r="C145" s="1"/>
  <c r="Q145"/>
  <c r="S145"/>
  <c r="T145"/>
  <c r="U145"/>
  <c r="V145"/>
  <c r="W145"/>
  <c r="X145"/>
  <c r="Y145"/>
  <c r="Z145"/>
  <c r="AA145"/>
  <c r="AB145"/>
  <c r="P146"/>
  <c r="B146" s="1"/>
  <c r="R146"/>
  <c r="C146" s="1"/>
  <c r="Q146"/>
  <c r="S146"/>
  <c r="T146"/>
  <c r="U146"/>
  <c r="V146"/>
  <c r="W146"/>
  <c r="X146"/>
  <c r="Y146"/>
  <c r="Z146"/>
  <c r="AA146"/>
  <c r="AB146"/>
  <c r="P147"/>
  <c r="B147" s="1"/>
  <c r="R147"/>
  <c r="C147" s="1"/>
  <c r="Q147"/>
  <c r="S147"/>
  <c r="T147"/>
  <c r="U147"/>
  <c r="V147"/>
  <c r="W147"/>
  <c r="X147"/>
  <c r="Y147"/>
  <c r="Z147"/>
  <c r="AA147"/>
  <c r="AB147"/>
  <c r="P148"/>
  <c r="B148"/>
  <c r="R148"/>
  <c r="C148" s="1"/>
  <c r="Q148"/>
  <c r="S148"/>
  <c r="T148"/>
  <c r="U148"/>
  <c r="V148"/>
  <c r="W148"/>
  <c r="X148"/>
  <c r="Y148"/>
  <c r="Z148"/>
  <c r="AA148"/>
  <c r="AB148"/>
  <c r="P149"/>
  <c r="B149" s="1"/>
  <c r="R149"/>
  <c r="C149" s="1"/>
  <c r="Q149"/>
  <c r="S149"/>
  <c r="T149"/>
  <c r="U149"/>
  <c r="V149"/>
  <c r="W149"/>
  <c r="X149"/>
  <c r="Y149"/>
  <c r="Z149"/>
  <c r="AA149"/>
  <c r="AB149"/>
  <c r="P150"/>
  <c r="B150"/>
  <c r="R150"/>
  <c r="C150" s="1"/>
  <c r="Q150"/>
  <c r="S150"/>
  <c r="T150"/>
  <c r="U150"/>
  <c r="V150"/>
  <c r="W150"/>
  <c r="X150"/>
  <c r="Y150"/>
  <c r="Z150"/>
  <c r="AA150"/>
  <c r="AB150"/>
  <c r="P151"/>
  <c r="B151" s="1"/>
  <c r="R151"/>
  <c r="C151" s="1"/>
  <c r="Q151"/>
  <c r="S151"/>
  <c r="T151"/>
  <c r="U151"/>
  <c r="V151"/>
  <c r="W151"/>
  <c r="X151"/>
  <c r="Y151"/>
  <c r="Z151"/>
  <c r="AA151"/>
  <c r="AB151"/>
  <c r="P152"/>
  <c r="B152"/>
  <c r="R152"/>
  <c r="C152" s="1"/>
  <c r="Q152"/>
  <c r="S152"/>
  <c r="T152"/>
  <c r="U152"/>
  <c r="V152"/>
  <c r="W152"/>
  <c r="X152"/>
  <c r="Y152"/>
  <c r="Z152"/>
  <c r="AA152"/>
  <c r="AB152"/>
  <c r="P153"/>
  <c r="B153" s="1"/>
  <c r="R153"/>
  <c r="C153" s="1"/>
  <c r="Q153"/>
  <c r="S153"/>
  <c r="T153"/>
  <c r="U153"/>
  <c r="V153"/>
  <c r="W153"/>
  <c r="X153"/>
  <c r="Y153"/>
  <c r="Z153"/>
  <c r="AA153"/>
  <c r="AB153"/>
  <c r="P154"/>
  <c r="B154" s="1"/>
  <c r="R154"/>
  <c r="C154" s="1"/>
  <c r="Q154"/>
  <c r="S154"/>
  <c r="T154"/>
  <c r="U154"/>
  <c r="V154"/>
  <c r="W154"/>
  <c r="X154"/>
  <c r="Y154"/>
  <c r="Z154"/>
  <c r="AA154"/>
  <c r="AB154"/>
  <c r="P155"/>
  <c r="B155" s="1"/>
  <c r="R155"/>
  <c r="C155" s="1"/>
  <c r="Q155"/>
  <c r="S155"/>
  <c r="T155"/>
  <c r="U155"/>
  <c r="V155"/>
  <c r="W155"/>
  <c r="X155"/>
  <c r="Y155"/>
  <c r="Z155"/>
  <c r="AA155"/>
  <c r="AB155"/>
  <c r="P156"/>
  <c r="B156"/>
  <c r="R156"/>
  <c r="C156" s="1"/>
  <c r="Q156"/>
  <c r="S156"/>
  <c r="T156"/>
  <c r="U156"/>
  <c r="V156"/>
  <c r="W156"/>
  <c r="X156"/>
  <c r="Y156"/>
  <c r="Z156"/>
  <c r="AA156"/>
  <c r="AB156"/>
  <c r="P157"/>
  <c r="B157" s="1"/>
  <c r="R157"/>
  <c r="C157" s="1"/>
  <c r="Q157"/>
  <c r="S157"/>
  <c r="T157"/>
  <c r="U157"/>
  <c r="V157"/>
  <c r="W157"/>
  <c r="X157"/>
  <c r="Y157"/>
  <c r="Z157"/>
  <c r="AA157"/>
  <c r="AB157"/>
  <c r="P158"/>
  <c r="B158"/>
  <c r="R158"/>
  <c r="C158" s="1"/>
  <c r="Q158"/>
  <c r="S158"/>
  <c r="T158"/>
  <c r="U158"/>
  <c r="V158"/>
  <c r="W158"/>
  <c r="X158"/>
  <c r="Y158"/>
  <c r="Z158"/>
  <c r="AA158"/>
  <c r="AB158"/>
  <c r="P159"/>
  <c r="B159" s="1"/>
  <c r="R159"/>
  <c r="C159" s="1"/>
  <c r="Q159"/>
  <c r="S159"/>
  <c r="T159"/>
  <c r="U159"/>
  <c r="V159"/>
  <c r="W159"/>
  <c r="X159"/>
  <c r="Y159"/>
  <c r="Z159"/>
  <c r="AA159"/>
  <c r="AB159"/>
  <c r="P160"/>
  <c r="B160"/>
  <c r="R160"/>
  <c r="C160" s="1"/>
  <c r="Q160"/>
  <c r="S160"/>
  <c r="T160"/>
  <c r="U160"/>
  <c r="V160"/>
  <c r="W160"/>
  <c r="X160"/>
  <c r="Y160"/>
  <c r="Z160"/>
  <c r="AA160"/>
  <c r="AB160"/>
  <c r="P161"/>
  <c r="B161" s="1"/>
  <c r="R161"/>
  <c r="C161" s="1"/>
  <c r="Q161"/>
  <c r="S161"/>
  <c r="T161"/>
  <c r="U161"/>
  <c r="V161"/>
  <c r="W161"/>
  <c r="X161"/>
  <c r="Y161"/>
  <c r="Z161"/>
  <c r="AA161"/>
  <c r="AB161"/>
  <c r="P162"/>
  <c r="B162" s="1"/>
  <c r="R162"/>
  <c r="C162" s="1"/>
  <c r="Q162"/>
  <c r="S162"/>
  <c r="T162"/>
  <c r="U162"/>
  <c r="V162"/>
  <c r="W162"/>
  <c r="X162"/>
  <c r="Y162"/>
  <c r="Z162"/>
  <c r="AA162"/>
  <c r="AB162"/>
  <c r="P163"/>
  <c r="B163" s="1"/>
  <c r="R163"/>
  <c r="C163" s="1"/>
  <c r="Q163"/>
  <c r="S163"/>
  <c r="T163"/>
  <c r="U163"/>
  <c r="V163"/>
  <c r="W163"/>
  <c r="X163"/>
  <c r="Y163"/>
  <c r="Z163"/>
  <c r="AA163"/>
  <c r="AB163"/>
  <c r="P164"/>
  <c r="B164"/>
  <c r="R164"/>
  <c r="C164" s="1"/>
  <c r="Q164"/>
  <c r="S164"/>
  <c r="T164"/>
  <c r="U164"/>
  <c r="V164"/>
  <c r="W164"/>
  <c r="X164"/>
  <c r="Y164"/>
  <c r="Z164"/>
  <c r="AA164"/>
  <c r="AB164"/>
  <c r="P165"/>
  <c r="B165" s="1"/>
  <c r="R165"/>
  <c r="C165" s="1"/>
  <c r="Q165"/>
  <c r="S165"/>
  <c r="T165"/>
  <c r="U165"/>
  <c r="V165"/>
  <c r="W165"/>
  <c r="X165"/>
  <c r="Y165"/>
  <c r="Z165"/>
  <c r="AA165"/>
  <c r="AB165"/>
  <c r="P166"/>
  <c r="B166"/>
  <c r="R166"/>
  <c r="C166" s="1"/>
  <c r="Q166"/>
  <c r="S166"/>
  <c r="T166"/>
  <c r="U166"/>
  <c r="V166"/>
  <c r="W166"/>
  <c r="X166"/>
  <c r="Y166"/>
  <c r="Z166"/>
  <c r="AA166"/>
  <c r="AB166"/>
  <c r="P167"/>
  <c r="B167" s="1"/>
  <c r="R167"/>
  <c r="C167" s="1"/>
  <c r="Q167"/>
  <c r="S167"/>
  <c r="T167"/>
  <c r="U167"/>
  <c r="V167"/>
  <c r="W167"/>
  <c r="X167"/>
  <c r="Y167"/>
  <c r="Z167"/>
  <c r="AA167"/>
  <c r="AB167"/>
  <c r="P168"/>
  <c r="B168"/>
  <c r="R168"/>
  <c r="C168" s="1"/>
  <c r="Q168"/>
  <c r="S168"/>
  <c r="T168"/>
  <c r="U168"/>
  <c r="V168"/>
  <c r="W168"/>
  <c r="X168"/>
  <c r="Y168"/>
  <c r="Z168"/>
  <c r="AA168"/>
  <c r="AB168"/>
  <c r="P169"/>
  <c r="B169" s="1"/>
  <c r="R169"/>
  <c r="C169" s="1"/>
  <c r="Q169"/>
  <c r="S169"/>
  <c r="T169"/>
  <c r="U169"/>
  <c r="V169"/>
  <c r="W169"/>
  <c r="X169"/>
  <c r="Y169"/>
  <c r="Z169"/>
  <c r="AA169"/>
  <c r="AB169"/>
  <c r="P170"/>
  <c r="B170" s="1"/>
  <c r="R170"/>
  <c r="C170"/>
  <c r="Q170"/>
  <c r="S170"/>
  <c r="T170"/>
  <c r="U170"/>
  <c r="V170"/>
  <c r="W170"/>
  <c r="X170"/>
  <c r="Y170"/>
  <c r="Z170"/>
  <c r="AA170"/>
  <c r="AB170"/>
  <c r="P171"/>
  <c r="B171" s="1"/>
  <c r="R171"/>
  <c r="C171" s="1"/>
  <c r="Q171"/>
  <c r="S171"/>
  <c r="T171"/>
  <c r="U171"/>
  <c r="V171"/>
  <c r="W171"/>
  <c r="X171"/>
  <c r="Y171"/>
  <c r="Z171"/>
  <c r="AA171"/>
  <c r="AB171"/>
  <c r="P172"/>
  <c r="B172" s="1"/>
  <c r="R172"/>
  <c r="C172"/>
  <c r="Q172"/>
  <c r="S172"/>
  <c r="T172"/>
  <c r="U172"/>
  <c r="V172"/>
  <c r="W172"/>
  <c r="X172"/>
  <c r="Y172"/>
  <c r="Z172"/>
  <c r="AA172"/>
  <c r="AB172"/>
  <c r="P173"/>
  <c r="B173" s="1"/>
  <c r="R173"/>
  <c r="C173" s="1"/>
  <c r="Q173"/>
  <c r="S173"/>
  <c r="T173"/>
  <c r="U173"/>
  <c r="V173"/>
  <c r="W173"/>
  <c r="X173"/>
  <c r="Y173"/>
  <c r="Z173"/>
  <c r="AA173"/>
  <c r="AB173"/>
  <c r="P174"/>
  <c r="B174" s="1"/>
  <c r="C174"/>
  <c r="Q174"/>
  <c r="S174"/>
  <c r="T174"/>
  <c r="U174"/>
  <c r="V174"/>
  <c r="W174"/>
  <c r="X174"/>
  <c r="Y174"/>
  <c r="Z174"/>
  <c r="AA174"/>
  <c r="AB174"/>
  <c r="P175"/>
  <c r="B175"/>
  <c r="R175"/>
  <c r="C175" s="1"/>
  <c r="Q175"/>
  <c r="S175"/>
  <c r="T175"/>
  <c r="U175"/>
  <c r="V175"/>
  <c r="W175"/>
  <c r="X175"/>
  <c r="Y175"/>
  <c r="Z175"/>
  <c r="AA175"/>
  <c r="P176"/>
  <c r="B176"/>
  <c r="R176"/>
  <c r="C176"/>
  <c r="Q176"/>
  <c r="S176"/>
  <c r="T176"/>
  <c r="U176"/>
  <c r="V176"/>
  <c r="W176"/>
  <c r="X176"/>
  <c r="Y176"/>
  <c r="Z176"/>
  <c r="AA176"/>
  <c r="P177"/>
  <c r="B177"/>
  <c r="R177"/>
  <c r="C177" s="1"/>
  <c r="Q177"/>
  <c r="S177"/>
  <c r="T177"/>
  <c r="U177"/>
  <c r="V177"/>
  <c r="W177"/>
  <c r="X177"/>
  <c r="Y177"/>
  <c r="Z177"/>
  <c r="AA177"/>
  <c r="P178"/>
  <c r="B178"/>
  <c r="R178"/>
  <c r="C178"/>
  <c r="Q178"/>
  <c r="S178"/>
  <c r="T178"/>
  <c r="U178"/>
  <c r="V178"/>
  <c r="W178"/>
  <c r="X178"/>
  <c r="Y178"/>
  <c r="Z178"/>
  <c r="AA178"/>
  <c r="AB178"/>
  <c r="P179"/>
  <c r="B179" s="1"/>
  <c r="R179"/>
  <c r="C179" s="1"/>
  <c r="Q179"/>
  <c r="S179"/>
  <c r="T179"/>
  <c r="U179"/>
  <c r="V179"/>
  <c r="W179"/>
  <c r="X179"/>
  <c r="Y179"/>
  <c r="Z179"/>
  <c r="AA179"/>
  <c r="AB179"/>
  <c r="P180"/>
  <c r="B180"/>
  <c r="R180"/>
  <c r="C180"/>
  <c r="Q180"/>
  <c r="S180"/>
  <c r="T180"/>
  <c r="U180"/>
  <c r="V180"/>
  <c r="W180"/>
  <c r="X180"/>
  <c r="Y180"/>
  <c r="Z180"/>
  <c r="AA180"/>
  <c r="AB180"/>
  <c r="D64" i="12"/>
  <c r="D36"/>
  <c r="E36" s="1"/>
  <c r="D43"/>
  <c r="E43" s="1"/>
  <c r="D42"/>
  <c r="E42" s="1"/>
  <c r="D41"/>
  <c r="E41" s="1"/>
  <c r="D39"/>
  <c r="E39" s="1"/>
  <c r="D38"/>
  <c r="E38" s="1"/>
  <c r="D37"/>
  <c r="V59" i="2"/>
  <c r="V61"/>
  <c r="V62"/>
  <c r="V66"/>
  <c r="X66" s="1"/>
  <c r="AG122" i="8"/>
  <c r="X122" s="1"/>
  <c r="K122" i="22" s="1"/>
  <c r="AG123" i="8"/>
  <c r="X123" s="1"/>
  <c r="K123" i="22" s="1"/>
  <c r="M128" i="4"/>
  <c r="M129"/>
  <c r="M130"/>
  <c r="M131"/>
  <c r="O59" i="2"/>
  <c r="R59" s="1"/>
  <c r="O61"/>
  <c r="O62"/>
  <c r="R62" s="1"/>
  <c r="Q66"/>
  <c r="X8" i="21"/>
  <c r="S8" s="1"/>
  <c r="W8"/>
  <c r="R8" s="1"/>
  <c r="Q8"/>
  <c r="Y41" i="4"/>
  <c r="Y42"/>
  <c r="Y175"/>
  <c r="Y176"/>
  <c r="Y177"/>
  <c r="AK175" i="8"/>
  <c r="AB175" s="1"/>
  <c r="L175" i="22" s="1"/>
  <c r="AK176" i="8"/>
  <c r="AB176" s="1"/>
  <c r="L176" i="22" s="1"/>
  <c r="AK177" i="8"/>
  <c r="AB177" s="1"/>
  <c r="L177" i="22" s="1"/>
  <c r="AG177" i="8"/>
  <c r="X177" s="1"/>
  <c r="K177" i="22" s="1"/>
  <c r="AG175" i="8"/>
  <c r="X175" s="1"/>
  <c r="K175" i="22" s="1"/>
  <c r="AG176" i="8"/>
  <c r="X176" s="1"/>
  <c r="K176" i="22" s="1"/>
  <c r="AG72" i="8"/>
  <c r="X72" s="1"/>
  <c r="K72" i="22" s="1"/>
  <c r="AG73" i="8"/>
  <c r="X73" s="1"/>
  <c r="K73" i="22" s="1"/>
  <c r="AG74" i="8"/>
  <c r="X74" s="1"/>
  <c r="K74" i="22" s="1"/>
  <c r="AG40" i="8"/>
  <c r="X40" s="1"/>
  <c r="K40" i="22" s="1"/>
  <c r="AG41" i="8"/>
  <c r="X41" s="1"/>
  <c r="K41" i="22" s="1"/>
  <c r="AG42" i="8"/>
  <c r="X42" s="1"/>
  <c r="K42" i="22" s="1"/>
  <c r="X175" i="4"/>
  <c r="X176"/>
  <c r="X177"/>
  <c r="Q175"/>
  <c r="Q176"/>
  <c r="Q177"/>
  <c r="Q41"/>
  <c r="Q42"/>
  <c r="X40"/>
  <c r="X41"/>
  <c r="X42"/>
  <c r="L35"/>
  <c r="R35" s="1"/>
  <c r="R35" i="22" s="1"/>
  <c r="Q35" i="4"/>
  <c r="Q36"/>
  <c r="Q37"/>
  <c r="Q38"/>
  <c r="L39"/>
  <c r="Q39" s="1"/>
  <c r="Q44"/>
  <c r="Q45"/>
  <c r="Q46"/>
  <c r="Y8" i="21"/>
  <c r="Q171" i="4"/>
  <c r="Q172"/>
  <c r="Q173"/>
  <c r="V42"/>
  <c r="T42"/>
  <c r="V41"/>
  <c r="T41"/>
  <c r="R42"/>
  <c r="O42"/>
  <c r="M42"/>
  <c r="R41"/>
  <c r="O41"/>
  <c r="M41"/>
  <c r="R177"/>
  <c r="R176"/>
  <c r="R175"/>
  <c r="Y174"/>
  <c r="S174" i="22" s="1"/>
  <c r="O177" i="4"/>
  <c r="M177"/>
  <c r="AK179" i="8"/>
  <c r="AB179" s="1"/>
  <c r="L179" i="22" s="1"/>
  <c r="Y179" i="4"/>
  <c r="Y180"/>
  <c r="AK180" i="8"/>
  <c r="AB180" s="1"/>
  <c r="L180" i="22" s="1"/>
  <c r="AK171" i="8"/>
  <c r="AB171" s="1"/>
  <c r="L171" i="22" s="1"/>
  <c r="Y171" i="4"/>
  <c r="Y172"/>
  <c r="Y173"/>
  <c r="AK172" i="8"/>
  <c r="AB172" s="1"/>
  <c r="L172" i="22" s="1"/>
  <c r="AK173" i="8"/>
  <c r="AB173" s="1"/>
  <c r="L173" i="22" s="1"/>
  <c r="AK165" i="8"/>
  <c r="AB165" s="1"/>
  <c r="L165" i="22" s="1"/>
  <c r="Y165" i="4"/>
  <c r="Y166"/>
  <c r="Y167"/>
  <c r="Y168"/>
  <c r="AK166" i="8"/>
  <c r="AB166" s="1"/>
  <c r="L166" i="22" s="1"/>
  <c r="AK167" i="8"/>
  <c r="AB167" s="1"/>
  <c r="L167" i="22" s="1"/>
  <c r="AK168" i="8"/>
  <c r="AB168" s="1"/>
  <c r="L168" i="22" s="1"/>
  <c r="Y162" i="4"/>
  <c r="Y163"/>
  <c r="Y164"/>
  <c r="S164" i="22" s="1"/>
  <c r="AK162" i="8"/>
  <c r="AB162" s="1"/>
  <c r="L162" i="22" s="1"/>
  <c r="AK163" i="8"/>
  <c r="AB163" s="1"/>
  <c r="L163" i="22" s="1"/>
  <c r="AB117" i="8"/>
  <c r="L117" i="22" s="1"/>
  <c r="AB140" i="8"/>
  <c r="L140" i="22"/>
  <c r="AB159" i="8"/>
  <c r="L159" i="22"/>
  <c r="AK156" i="8"/>
  <c r="AB156" s="1"/>
  <c r="L156" i="22" s="1"/>
  <c r="Y156" i="4"/>
  <c r="Y157"/>
  <c r="Y158"/>
  <c r="AK157" i="8"/>
  <c r="AB157" s="1"/>
  <c r="L157" i="22" s="1"/>
  <c r="AK158" i="8"/>
  <c r="AB158" s="1"/>
  <c r="L158" i="22" s="1"/>
  <c r="Y154" i="4"/>
  <c r="X155"/>
  <c r="AK154" i="8"/>
  <c r="AB154" s="1"/>
  <c r="L154" i="22" s="1"/>
  <c r="Y144" i="4"/>
  <c r="Y145"/>
  <c r="AK147" i="8"/>
  <c r="AB147" s="1"/>
  <c r="L147" i="22" s="1"/>
  <c r="Y147" i="4"/>
  <c r="Y148"/>
  <c r="Y149"/>
  <c r="Y150"/>
  <c r="Y151"/>
  <c r="Y152"/>
  <c r="AK148" i="8"/>
  <c r="AB148" s="1"/>
  <c r="L148" i="22" s="1"/>
  <c r="AK149" i="8"/>
  <c r="AB149" s="1"/>
  <c r="L149" i="22" s="1"/>
  <c r="AK150" i="8"/>
  <c r="AB150" s="1"/>
  <c r="L150" i="22" s="1"/>
  <c r="AK151" i="8"/>
  <c r="AB151" s="1"/>
  <c r="L151" i="22" s="1"/>
  <c r="AK152" i="8"/>
  <c r="AB152" s="1"/>
  <c r="L152" i="22" s="1"/>
  <c r="AK122" i="8"/>
  <c r="AB122" s="1"/>
  <c r="L122" i="22" s="1"/>
  <c r="Y122" i="4"/>
  <c r="Y123"/>
  <c r="AK123" i="8"/>
  <c r="AB123" s="1"/>
  <c r="L123" i="22" s="1"/>
  <c r="Y120" i="4"/>
  <c r="Y121"/>
  <c r="AB120" i="8"/>
  <c r="L120" i="22" s="1"/>
  <c r="Y118" i="4"/>
  <c r="Y124"/>
  <c r="Y133"/>
  <c r="AL116"/>
  <c r="AM116" i="8" s="1"/>
  <c r="AL115" i="4"/>
  <c r="AM115" i="8" s="1"/>
  <c r="AK113"/>
  <c r="Y113" i="4"/>
  <c r="Y114"/>
  <c r="AK114" i="8"/>
  <c r="AB114" s="1"/>
  <c r="L114" i="22" s="1"/>
  <c r="Y110" i="4"/>
  <c r="Y111"/>
  <c r="Y112"/>
  <c r="AK110" i="8"/>
  <c r="AB110" s="1"/>
  <c r="L110" i="22" s="1"/>
  <c r="AK111" i="8"/>
  <c r="AB111" s="1"/>
  <c r="L111" i="22" s="1"/>
  <c r="AK103" i="8"/>
  <c r="AB103" s="1"/>
  <c r="L103" i="22" s="1"/>
  <c r="Y103" i="4"/>
  <c r="Y104"/>
  <c r="Y105"/>
  <c r="Y106"/>
  <c r="Y107"/>
  <c r="Y108"/>
  <c r="AK104" i="8"/>
  <c r="AB104" s="1"/>
  <c r="L104" i="22" s="1"/>
  <c r="AK105" i="8"/>
  <c r="AB105" s="1"/>
  <c r="L105" i="22" s="1"/>
  <c r="AK106" i="8"/>
  <c r="AB106" s="1"/>
  <c r="L106" i="22" s="1"/>
  <c r="AK107" i="8"/>
  <c r="AB107" s="1"/>
  <c r="L107" i="22" s="1"/>
  <c r="AK108" i="8"/>
  <c r="AB108" s="1"/>
  <c r="L108" i="22" s="1"/>
  <c r="AK99" i="8"/>
  <c r="AB99" s="1"/>
  <c r="L99" i="22" s="1"/>
  <c r="Y99" i="4"/>
  <c r="Y100"/>
  <c r="AK100" i="8"/>
  <c r="AB100" s="1"/>
  <c r="L100" i="22" s="1"/>
  <c r="S98" i="4"/>
  <c r="Y101"/>
  <c r="S102"/>
  <c r="Y102"/>
  <c r="S102" i="22" s="1"/>
  <c r="AL96" i="4"/>
  <c r="AM96" i="8" s="1"/>
  <c r="AK91"/>
  <c r="AB91" s="1"/>
  <c r="L91" i="22" s="1"/>
  <c r="Y91" i="4"/>
  <c r="Y92"/>
  <c r="Y93"/>
  <c r="Y94"/>
  <c r="Y95"/>
  <c r="AK92" i="8"/>
  <c r="AB92" s="1"/>
  <c r="L92" i="22" s="1"/>
  <c r="AK93" i="8"/>
  <c r="AB93" s="1"/>
  <c r="L93" i="22" s="1"/>
  <c r="AK94" i="8"/>
  <c r="AB94" s="1"/>
  <c r="L94" i="22" s="1"/>
  <c r="AK95" i="8"/>
  <c r="AB95" s="1"/>
  <c r="L95" i="22" s="1"/>
  <c r="AK77" i="8"/>
  <c r="AB77" s="1"/>
  <c r="L77" i="22" s="1"/>
  <c r="Y77" i="4"/>
  <c r="Y78"/>
  <c r="AK78" i="8"/>
  <c r="AB78" s="1"/>
  <c r="L78" i="22" s="1"/>
  <c r="AK80" i="8"/>
  <c r="AB80" s="1"/>
  <c r="L80" i="22" s="1"/>
  <c r="Y80" i="4"/>
  <c r="Y81"/>
  <c r="S81" i="22" s="1"/>
  <c r="Y82" i="4"/>
  <c r="Y83"/>
  <c r="Y84"/>
  <c r="S84" i="22" s="1"/>
  <c r="Y85" i="4"/>
  <c r="AK81" i="8"/>
  <c r="AB81" s="1"/>
  <c r="L81" i="22" s="1"/>
  <c r="AK82" i="8"/>
  <c r="AB82" s="1"/>
  <c r="L82" i="22" s="1"/>
  <c r="AK83" i="8"/>
  <c r="AB83" s="1"/>
  <c r="L83" i="22" s="1"/>
  <c r="AK84" i="8"/>
  <c r="AB84" s="1"/>
  <c r="L84" i="22" s="1"/>
  <c r="AK85" i="8"/>
  <c r="AB85" s="1"/>
  <c r="L85" i="22" s="1"/>
  <c r="AK87" i="8"/>
  <c r="AB87" s="1"/>
  <c r="L87" i="22" s="1"/>
  <c r="Y87" i="4"/>
  <c r="Y88"/>
  <c r="Y89"/>
  <c r="AK88" i="8"/>
  <c r="AB88" s="1"/>
  <c r="L88" i="22" s="1"/>
  <c r="AK89" i="8"/>
  <c r="AB89" s="1"/>
  <c r="L89" i="22" s="1"/>
  <c r="AK72" i="8"/>
  <c r="AB72" s="1"/>
  <c r="L72" i="22" s="1"/>
  <c r="Y72" i="4"/>
  <c r="Y73"/>
  <c r="Y74"/>
  <c r="AK73" i="8"/>
  <c r="AB73" s="1"/>
  <c r="L73" i="22" s="1"/>
  <c r="AK74" i="8"/>
  <c r="AB74" s="1"/>
  <c r="L74" i="22" s="1"/>
  <c r="AK64" i="8"/>
  <c r="AB64" s="1"/>
  <c r="L64" i="22" s="1"/>
  <c r="Y64" i="4"/>
  <c r="Y65"/>
  <c r="Y66"/>
  <c r="AK65" i="8"/>
  <c r="AB65" s="1"/>
  <c r="L65" i="22" s="1"/>
  <c r="AK66" i="8"/>
  <c r="AB66" s="1"/>
  <c r="L66" i="22" s="1"/>
  <c r="AK68" i="8"/>
  <c r="AB68" s="1"/>
  <c r="L68" i="22" s="1"/>
  <c r="Y68" i="4"/>
  <c r="Y69"/>
  <c r="Y70"/>
  <c r="AK69" i="8"/>
  <c r="AB69" s="1"/>
  <c r="L69" i="22" s="1"/>
  <c r="AK70" i="8"/>
  <c r="AB70" s="1"/>
  <c r="L70" i="22" s="1"/>
  <c r="AK59" i="8"/>
  <c r="AB59" s="1"/>
  <c r="L59" i="22" s="1"/>
  <c r="Y59" i="4"/>
  <c r="Y60"/>
  <c r="AK60" i="8"/>
  <c r="AB60" s="1"/>
  <c r="L60" i="22" s="1"/>
  <c r="AK49" i="8"/>
  <c r="AB49" s="1"/>
  <c r="L49" i="22" s="1"/>
  <c r="Y49" i="4"/>
  <c r="Y50"/>
  <c r="Y51"/>
  <c r="Y52"/>
  <c r="AK50" i="8"/>
  <c r="AB50" s="1"/>
  <c r="L50" i="22" s="1"/>
  <c r="AK51" i="8"/>
  <c r="AB51" s="1"/>
  <c r="L51" i="22" s="1"/>
  <c r="AK52" i="8"/>
  <c r="AB52" s="1"/>
  <c r="L52" i="22" s="1"/>
  <c r="AK54" i="8"/>
  <c r="AB54" s="1"/>
  <c r="L54" i="22" s="1"/>
  <c r="Y54" i="4"/>
  <c r="Y55"/>
  <c r="Y56"/>
  <c r="Y57"/>
  <c r="AK55" i="8"/>
  <c r="AB55" s="1"/>
  <c r="L55" i="22" s="1"/>
  <c r="AK56" i="8"/>
  <c r="AB56" s="1"/>
  <c r="L56" i="22" s="1"/>
  <c r="AK57" i="8"/>
  <c r="AB57" s="1"/>
  <c r="L57" i="22" s="1"/>
  <c r="Y36" i="4"/>
  <c r="Y37"/>
  <c r="Y38"/>
  <c r="AK46" i="8"/>
  <c r="AB46" s="1"/>
  <c r="L46" i="22" s="1"/>
  <c r="AK32" i="8"/>
  <c r="AB32" s="1"/>
  <c r="L32" i="22" s="1"/>
  <c r="S32" i="4"/>
  <c r="S33"/>
  <c r="Y33"/>
  <c r="AK33" i="8"/>
  <c r="AB33" s="1"/>
  <c r="L33" i="22" s="1"/>
  <c r="AK22" i="8"/>
  <c r="AB22" s="1"/>
  <c r="L22" i="22" s="1"/>
  <c r="Y22" i="4"/>
  <c r="Y23"/>
  <c r="Y24"/>
  <c r="Y25"/>
  <c r="Y26"/>
  <c r="Y27"/>
  <c r="Y28"/>
  <c r="Y29"/>
  <c r="AK23" i="8"/>
  <c r="AB23" s="1"/>
  <c r="L23" i="22" s="1"/>
  <c r="AK24" i="8"/>
  <c r="AB24" s="1"/>
  <c r="L24" i="22" s="1"/>
  <c r="AK25" i="8"/>
  <c r="AB25" s="1"/>
  <c r="L25" i="22" s="1"/>
  <c r="AK26" i="8"/>
  <c r="AB26" s="1"/>
  <c r="L26" i="22" s="1"/>
  <c r="AK27" i="8"/>
  <c r="AB27" s="1"/>
  <c r="L27" i="22" s="1"/>
  <c r="AK28" i="8"/>
  <c r="AB28" s="1"/>
  <c r="L28" i="22" s="1"/>
  <c r="AK29" i="8"/>
  <c r="AB29" s="1"/>
  <c r="L29" i="22" s="1"/>
  <c r="AK30" i="8"/>
  <c r="AB30" s="1"/>
  <c r="L30" i="22" s="1"/>
  <c r="S21" i="4"/>
  <c r="Y30"/>
  <c r="Y31"/>
  <c r="S31" i="22" s="1"/>
  <c r="AK12" i="8"/>
  <c r="AB12" s="1"/>
  <c r="L12" i="22" s="1"/>
  <c r="Y12" i="4"/>
  <c r="Y13"/>
  <c r="AK13" i="8"/>
  <c r="AB13" s="1"/>
  <c r="L13" i="22" s="1"/>
  <c r="Y15" i="4"/>
  <c r="Y16"/>
  <c r="Y17"/>
  <c r="Y18"/>
  <c r="S14"/>
  <c r="Y19"/>
  <c r="X179"/>
  <c r="X180"/>
  <c r="X171"/>
  <c r="X172"/>
  <c r="X173"/>
  <c r="X165"/>
  <c r="X166"/>
  <c r="X167"/>
  <c r="X168"/>
  <c r="X162"/>
  <c r="X163"/>
  <c r="X164"/>
  <c r="AA117" i="8"/>
  <c r="L117" i="47" s="1"/>
  <c r="AA140" i="8"/>
  <c r="L140" i="47" s="1"/>
  <c r="AA159" i="8"/>
  <c r="L159" i="47" s="1"/>
  <c r="X156" i="4"/>
  <c r="X157"/>
  <c r="X158"/>
  <c r="X154"/>
  <c r="X147"/>
  <c r="X148"/>
  <c r="X149"/>
  <c r="X150"/>
  <c r="X151"/>
  <c r="X152"/>
  <c r="X144"/>
  <c r="X145"/>
  <c r="X122"/>
  <c r="X123"/>
  <c r="X120"/>
  <c r="X118"/>
  <c r="X124"/>
  <c r="X127"/>
  <c r="X128"/>
  <c r="X129"/>
  <c r="X130"/>
  <c r="X131"/>
  <c r="X113"/>
  <c r="X114"/>
  <c r="X110"/>
  <c r="X111"/>
  <c r="X103"/>
  <c r="X104"/>
  <c r="X105"/>
  <c r="X106"/>
  <c r="X107"/>
  <c r="X108"/>
  <c r="X99"/>
  <c r="X100"/>
  <c r="AL96" i="8"/>
  <c r="X91" i="4"/>
  <c r="X92"/>
  <c r="X93"/>
  <c r="X94"/>
  <c r="X95"/>
  <c r="X87"/>
  <c r="X88"/>
  <c r="X89"/>
  <c r="X80"/>
  <c r="X81"/>
  <c r="X82"/>
  <c r="X83"/>
  <c r="X84"/>
  <c r="X85"/>
  <c r="X72"/>
  <c r="X73"/>
  <c r="X74"/>
  <c r="X68"/>
  <c r="X69"/>
  <c r="X70"/>
  <c r="X64"/>
  <c r="X65"/>
  <c r="X66"/>
  <c r="X59"/>
  <c r="X60"/>
  <c r="X54"/>
  <c r="X55"/>
  <c r="X56"/>
  <c r="X57"/>
  <c r="X49"/>
  <c r="X50"/>
  <c r="X51"/>
  <c r="X52"/>
  <c r="X44"/>
  <c r="X45"/>
  <c r="X36"/>
  <c r="X37"/>
  <c r="X38"/>
  <c r="X33"/>
  <c r="X22"/>
  <c r="X23"/>
  <c r="X24"/>
  <c r="X25"/>
  <c r="X26"/>
  <c r="X27"/>
  <c r="X28"/>
  <c r="X29"/>
  <c r="X15"/>
  <c r="X16"/>
  <c r="X17"/>
  <c r="X18"/>
  <c r="X12"/>
  <c r="X13"/>
  <c r="Q120"/>
  <c r="Q122"/>
  <c r="Q123"/>
  <c r="R120"/>
  <c r="R123"/>
  <c r="AP8" i="22"/>
  <c r="AJ8" s="1"/>
  <c r="I44" i="2"/>
  <c r="C2" i="3"/>
  <c r="E2"/>
  <c r="E3"/>
  <c r="C4"/>
  <c r="E5" i="4"/>
  <c r="AH6"/>
  <c r="AI6"/>
  <c r="AB8"/>
  <c r="Z8" i="8" s="1"/>
  <c r="AI8" i="4"/>
  <c r="AD8" i="8" s="1"/>
  <c r="Q14" i="4"/>
  <c r="L33"/>
  <c r="Q33" s="1"/>
  <c r="L32"/>
  <c r="L21"/>
  <c r="Q21" s="1"/>
  <c r="L58"/>
  <c r="Q58" s="1"/>
  <c r="L53"/>
  <c r="R53" s="1"/>
  <c r="R53" i="22" s="1"/>
  <c r="L48" i="4"/>
  <c r="R48" s="1"/>
  <c r="R48" i="22" s="1"/>
  <c r="S35" i="4"/>
  <c r="S58"/>
  <c r="X58" s="1"/>
  <c r="S53"/>
  <c r="Y53" s="1"/>
  <c r="S53" i="22" s="1"/>
  <c r="S48" i="4"/>
  <c r="Q12"/>
  <c r="Q13"/>
  <c r="Q15"/>
  <c r="Q16"/>
  <c r="Q17"/>
  <c r="Q18"/>
  <c r="Q19"/>
  <c r="R12"/>
  <c r="R13"/>
  <c r="R15"/>
  <c r="R16"/>
  <c r="R17"/>
  <c r="R18"/>
  <c r="R19"/>
  <c r="AG12" i="8"/>
  <c r="X12" s="1"/>
  <c r="K12" i="22" s="1"/>
  <c r="AG13" i="8"/>
  <c r="X13" s="1"/>
  <c r="K13" i="22" s="1"/>
  <c r="AG15" i="8"/>
  <c r="X15" s="1"/>
  <c r="K15" i="22" s="1"/>
  <c r="AG16" i="8"/>
  <c r="X16" s="1"/>
  <c r="K16" i="22" s="1"/>
  <c r="AG17" i="8"/>
  <c r="X17" s="1"/>
  <c r="K17" i="22" s="1"/>
  <c r="AG18" i="8"/>
  <c r="X18" s="1"/>
  <c r="K18" i="22" s="1"/>
  <c r="AG19" i="8"/>
  <c r="X19" s="1"/>
  <c r="K19" i="22" s="1"/>
  <c r="X19" i="4"/>
  <c r="M12"/>
  <c r="O12"/>
  <c r="T12"/>
  <c r="V12"/>
  <c r="M13"/>
  <c r="O13"/>
  <c r="T13"/>
  <c r="V13"/>
  <c r="M15"/>
  <c r="O15"/>
  <c r="T15"/>
  <c r="V15"/>
  <c r="M16"/>
  <c r="O16"/>
  <c r="T16"/>
  <c r="V16"/>
  <c r="M17"/>
  <c r="O17"/>
  <c r="T17"/>
  <c r="V17"/>
  <c r="M18"/>
  <c r="O18"/>
  <c r="T18"/>
  <c r="V18"/>
  <c r="M19"/>
  <c r="O19"/>
  <c r="T19"/>
  <c r="V19"/>
  <c r="Q22"/>
  <c r="Q24"/>
  <c r="Q25"/>
  <c r="Q30"/>
  <c r="Q31"/>
  <c r="R22"/>
  <c r="R24"/>
  <c r="R25"/>
  <c r="R30"/>
  <c r="R31"/>
  <c r="R31" i="22" s="1"/>
  <c r="X30" i="4"/>
  <c r="X31"/>
  <c r="M22"/>
  <c r="O22"/>
  <c r="T22"/>
  <c r="V22"/>
  <c r="AG22" i="8"/>
  <c r="X22" s="1"/>
  <c r="K22" i="22" s="1"/>
  <c r="AG23" i="8"/>
  <c r="X23" s="1"/>
  <c r="K23" i="22" s="1"/>
  <c r="AG24" i="8"/>
  <c r="X24" s="1"/>
  <c r="K24" i="22" s="1"/>
  <c r="AG25" i="8"/>
  <c r="X25" s="1"/>
  <c r="K25" i="22" s="1"/>
  <c r="AG26" i="8"/>
  <c r="X26" s="1"/>
  <c r="K26" i="22" s="1"/>
  <c r="AG27" i="8"/>
  <c r="X27" s="1"/>
  <c r="K27" i="22" s="1"/>
  <c r="AG28" i="8"/>
  <c r="X28" s="1"/>
  <c r="K28" i="22" s="1"/>
  <c r="AG29" i="8"/>
  <c r="X29" s="1"/>
  <c r="K29" i="22" s="1"/>
  <c r="M24" i="4"/>
  <c r="O24"/>
  <c r="T24"/>
  <c r="V24"/>
  <c r="M25"/>
  <c r="O25"/>
  <c r="T25"/>
  <c r="V25"/>
  <c r="M30"/>
  <c r="O30"/>
  <c r="T30"/>
  <c r="V30"/>
  <c r="M31"/>
  <c r="O31"/>
  <c r="T31"/>
  <c r="V31"/>
  <c r="V32"/>
  <c r="AG32" i="8"/>
  <c r="X32" s="1"/>
  <c r="K32" i="22" s="1"/>
  <c r="AG33" i="8"/>
  <c r="X33" s="1"/>
  <c r="K33" i="22" s="1"/>
  <c r="T33" i="4"/>
  <c r="V33"/>
  <c r="X35"/>
  <c r="Y35"/>
  <c r="S35" i="22" s="1"/>
  <c r="R36" i="4"/>
  <c r="R37"/>
  <c r="R38"/>
  <c r="R46"/>
  <c r="X43"/>
  <c r="X46"/>
  <c r="Y43"/>
  <c r="Y46"/>
  <c r="M36"/>
  <c r="O36"/>
  <c r="T36"/>
  <c r="V36"/>
  <c r="AG36" i="8"/>
  <c r="X36" s="1"/>
  <c r="K36" i="22" s="1"/>
  <c r="AG37" i="8"/>
  <c r="X37" s="1"/>
  <c r="K37" i="22" s="1"/>
  <c r="AG38" i="8"/>
  <c r="X38" s="1"/>
  <c r="K38" i="22" s="1"/>
  <c r="M37" i="4"/>
  <c r="O37"/>
  <c r="T37"/>
  <c r="V37"/>
  <c r="M38"/>
  <c r="O38"/>
  <c r="T38"/>
  <c r="V38"/>
  <c r="M44"/>
  <c r="O44"/>
  <c r="T44"/>
  <c r="V44"/>
  <c r="AG44" i="8"/>
  <c r="X44" s="1"/>
  <c r="K44" i="22" s="1"/>
  <c r="AG45" i="8"/>
  <c r="X45" s="1"/>
  <c r="K45" i="22" s="1"/>
  <c r="M45" i="4"/>
  <c r="O45"/>
  <c r="T45"/>
  <c r="V45"/>
  <c r="M46"/>
  <c r="O46"/>
  <c r="T46"/>
  <c r="V46"/>
  <c r="Q49"/>
  <c r="Q50"/>
  <c r="Q51"/>
  <c r="Q52"/>
  <c r="Q54"/>
  <c r="Q55"/>
  <c r="Q56"/>
  <c r="Q57"/>
  <c r="Q59"/>
  <c r="Q60"/>
  <c r="R49"/>
  <c r="R50"/>
  <c r="R51"/>
  <c r="R52"/>
  <c r="R54"/>
  <c r="R55"/>
  <c r="R56"/>
  <c r="R57"/>
  <c r="R59"/>
  <c r="R60"/>
  <c r="M49"/>
  <c r="O49"/>
  <c r="T49"/>
  <c r="V49"/>
  <c r="AG49" i="8"/>
  <c r="X49" s="1"/>
  <c r="K49" i="22" s="1"/>
  <c r="AG50" i="8"/>
  <c r="X50" s="1"/>
  <c r="K50" i="22" s="1"/>
  <c r="AG51" i="8"/>
  <c r="X51" s="1"/>
  <c r="K51" i="22" s="1"/>
  <c r="AG52" i="8"/>
  <c r="X52" s="1"/>
  <c r="K52" i="22" s="1"/>
  <c r="M50" i="4"/>
  <c r="O50"/>
  <c r="T50"/>
  <c r="V50"/>
  <c r="M51"/>
  <c r="O51"/>
  <c r="T51"/>
  <c r="V51"/>
  <c r="M52"/>
  <c r="O52"/>
  <c r="T52"/>
  <c r="V52"/>
  <c r="M54"/>
  <c r="O54"/>
  <c r="T54"/>
  <c r="V54"/>
  <c r="AG54" i="8"/>
  <c r="X54" s="1"/>
  <c r="K54" i="22" s="1"/>
  <c r="AG55" i="8"/>
  <c r="X55" s="1"/>
  <c r="K55" i="22" s="1"/>
  <c r="AG56" i="8"/>
  <c r="X56" s="1"/>
  <c r="K56" i="22" s="1"/>
  <c r="AG57" i="8"/>
  <c r="X57" s="1"/>
  <c r="K57" i="22" s="1"/>
  <c r="M55" i="4"/>
  <c r="O55"/>
  <c r="T55"/>
  <c r="V55"/>
  <c r="M56"/>
  <c r="O56"/>
  <c r="T56"/>
  <c r="V56"/>
  <c r="M57"/>
  <c r="O57"/>
  <c r="T57"/>
  <c r="V57"/>
  <c r="M59"/>
  <c r="O59"/>
  <c r="T59"/>
  <c r="V59"/>
  <c r="AG59" i="8"/>
  <c r="X59" s="1"/>
  <c r="K59" i="22" s="1"/>
  <c r="AG60" i="8"/>
  <c r="X60" s="1"/>
  <c r="K60" i="22" s="1"/>
  <c r="M60" i="4"/>
  <c r="O60"/>
  <c r="T60"/>
  <c r="V60"/>
  <c r="L71"/>
  <c r="Q71" s="1"/>
  <c r="L67"/>
  <c r="Q67" s="1"/>
  <c r="L63"/>
  <c r="S71"/>
  <c r="S67"/>
  <c r="Y67" s="1"/>
  <c r="S67" i="22" s="1"/>
  <c r="S63" i="4"/>
  <c r="Y63" s="1"/>
  <c r="S63" i="22" s="1"/>
  <c r="L90" i="4"/>
  <c r="Q90" s="1"/>
  <c r="L86"/>
  <c r="L79"/>
  <c r="L76"/>
  <c r="R76" s="1"/>
  <c r="R76" i="22" s="1"/>
  <c r="L102" i="4"/>
  <c r="L98"/>
  <c r="R98" s="1"/>
  <c r="S90"/>
  <c r="X90" s="1"/>
  <c r="S86"/>
  <c r="S79"/>
  <c r="S76"/>
  <c r="Q64"/>
  <c r="Q65"/>
  <c r="Q66"/>
  <c r="Q68"/>
  <c r="Q69"/>
  <c r="Q70"/>
  <c r="Q72"/>
  <c r="Q73"/>
  <c r="Q74"/>
  <c r="R64"/>
  <c r="R65"/>
  <c r="R66"/>
  <c r="R67"/>
  <c r="R67" i="22"/>
  <c r="R68" i="4"/>
  <c r="R69"/>
  <c r="R70"/>
  <c r="R71"/>
  <c r="R71" i="22" s="1"/>
  <c r="R72" i="4"/>
  <c r="R73"/>
  <c r="R74"/>
  <c r="X67"/>
  <c r="M64"/>
  <c r="O64"/>
  <c r="T64"/>
  <c r="V64"/>
  <c r="AG64" i="8"/>
  <c r="X64" s="1"/>
  <c r="K64" i="22" s="1"/>
  <c r="AG65" i="8"/>
  <c r="X65" s="1"/>
  <c r="K65" i="22" s="1"/>
  <c r="AG66" i="8"/>
  <c r="X66" s="1"/>
  <c r="K66" i="22" s="1"/>
  <c r="M65" i="4"/>
  <c r="O65"/>
  <c r="T65"/>
  <c r="V65"/>
  <c r="M66"/>
  <c r="O66"/>
  <c r="T66"/>
  <c r="V66"/>
  <c r="M68"/>
  <c r="O68"/>
  <c r="T68"/>
  <c r="V68"/>
  <c r="AG68" i="8"/>
  <c r="X68" s="1"/>
  <c r="K68" i="22" s="1"/>
  <c r="AG69" i="8"/>
  <c r="X69" s="1"/>
  <c r="K69" i="22" s="1"/>
  <c r="AG70" i="8"/>
  <c r="X70" s="1"/>
  <c r="K70" i="22" s="1"/>
  <c r="M69" i="4"/>
  <c r="O69"/>
  <c r="T69"/>
  <c r="V69"/>
  <c r="M70"/>
  <c r="O70"/>
  <c r="T70"/>
  <c r="V70"/>
  <c r="M72"/>
  <c r="O72"/>
  <c r="T72"/>
  <c r="V72"/>
  <c r="M73"/>
  <c r="O73"/>
  <c r="T73"/>
  <c r="V73"/>
  <c r="M74"/>
  <c r="O74"/>
  <c r="T74"/>
  <c r="V74"/>
  <c r="Q76"/>
  <c r="X76"/>
  <c r="Q77"/>
  <c r="Q78"/>
  <c r="Q80"/>
  <c r="Q81"/>
  <c r="Q82"/>
  <c r="Q83"/>
  <c r="Q84"/>
  <c r="Q85"/>
  <c r="Q87"/>
  <c r="Q88"/>
  <c r="Q89"/>
  <c r="Q91"/>
  <c r="Q92"/>
  <c r="Q93"/>
  <c r="Q94"/>
  <c r="Q95"/>
  <c r="R77"/>
  <c r="R78"/>
  <c r="R80"/>
  <c r="R81"/>
  <c r="R82"/>
  <c r="R83"/>
  <c r="R84"/>
  <c r="R85"/>
  <c r="R87"/>
  <c r="R88"/>
  <c r="R89"/>
  <c r="R91"/>
  <c r="R92"/>
  <c r="R93"/>
  <c r="R94"/>
  <c r="R95"/>
  <c r="X77"/>
  <c r="X78"/>
  <c r="M77"/>
  <c r="O77"/>
  <c r="T77"/>
  <c r="V77"/>
  <c r="AG77" i="8"/>
  <c r="X77" s="1"/>
  <c r="K77" i="22" s="1"/>
  <c r="AG78" i="8"/>
  <c r="X78" s="1"/>
  <c r="K78" i="22" s="1"/>
  <c r="M78" i="4"/>
  <c r="O78"/>
  <c r="T78"/>
  <c r="V78"/>
  <c r="M80"/>
  <c r="O80"/>
  <c r="T80"/>
  <c r="V80"/>
  <c r="AG80" i="8"/>
  <c r="X80" s="1"/>
  <c r="K80" i="22" s="1"/>
  <c r="AG81" i="8"/>
  <c r="X81" s="1"/>
  <c r="K81" i="22" s="1"/>
  <c r="AG82" i="8"/>
  <c r="X82" s="1"/>
  <c r="K82" i="22" s="1"/>
  <c r="AG83" i="8"/>
  <c r="X83" s="1"/>
  <c r="K83" i="22" s="1"/>
  <c r="AG84" i="8"/>
  <c r="X84" s="1"/>
  <c r="K84" i="22" s="1"/>
  <c r="AG85" i="8"/>
  <c r="X85" s="1"/>
  <c r="K85" i="22" s="1"/>
  <c r="M81" i="4"/>
  <c r="O81"/>
  <c r="T81"/>
  <c r="V81"/>
  <c r="M82"/>
  <c r="O82"/>
  <c r="T82"/>
  <c r="V82"/>
  <c r="M83"/>
  <c r="O83"/>
  <c r="T83"/>
  <c r="V83"/>
  <c r="M84"/>
  <c r="O84"/>
  <c r="T84"/>
  <c r="V84"/>
  <c r="M85"/>
  <c r="O85"/>
  <c r="T85"/>
  <c r="V85"/>
  <c r="M87"/>
  <c r="T87"/>
  <c r="V87"/>
  <c r="AG88" i="8"/>
  <c r="X88" s="1"/>
  <c r="K88" i="22" s="1"/>
  <c r="AG89" i="8"/>
  <c r="X89" s="1"/>
  <c r="K89" i="22" s="1"/>
  <c r="M88" i="4"/>
  <c r="O88"/>
  <c r="T88"/>
  <c r="V88"/>
  <c r="M89"/>
  <c r="O89"/>
  <c r="T89"/>
  <c r="V89"/>
  <c r="M91"/>
  <c r="O91"/>
  <c r="T91"/>
  <c r="V91"/>
  <c r="AG91" i="8"/>
  <c r="X91" s="1"/>
  <c r="K91" i="22" s="1"/>
  <c r="AG92" i="8"/>
  <c r="X92" s="1"/>
  <c r="K92" i="22" s="1"/>
  <c r="AG93" i="8"/>
  <c r="X93" s="1"/>
  <c r="K93" i="22" s="1"/>
  <c r="AG94" i="8"/>
  <c r="X94" s="1"/>
  <c r="K94" i="22" s="1"/>
  <c r="AG95" i="8"/>
  <c r="X95" s="1"/>
  <c r="K95" i="22" s="1"/>
  <c r="M92" i="4"/>
  <c r="O92"/>
  <c r="T92"/>
  <c r="V92"/>
  <c r="M93"/>
  <c r="O93"/>
  <c r="T93"/>
  <c r="V93"/>
  <c r="M94"/>
  <c r="O94"/>
  <c r="T94"/>
  <c r="V94"/>
  <c r="M95"/>
  <c r="O95"/>
  <c r="T95"/>
  <c r="V95"/>
  <c r="M96"/>
  <c r="O96"/>
  <c r="Q96"/>
  <c r="R96"/>
  <c r="R96" i="22" s="1"/>
  <c r="T96" i="4"/>
  <c r="V96"/>
  <c r="X96"/>
  <c r="Y96"/>
  <c r="AB96"/>
  <c r="Z96" i="8" s="1"/>
  <c r="M96" s="1"/>
  <c r="AE96" i="4"/>
  <c r="AI96" i="8" s="1"/>
  <c r="AI96" i="4"/>
  <c r="AD96" i="8" s="1"/>
  <c r="Q96" s="1"/>
  <c r="Q99" i="4"/>
  <c r="Q100"/>
  <c r="Q101"/>
  <c r="Q103"/>
  <c r="Q104"/>
  <c r="Q105"/>
  <c r="Q106"/>
  <c r="Q107"/>
  <c r="Q108"/>
  <c r="R98" i="22"/>
  <c r="R99" i="4"/>
  <c r="R100"/>
  <c r="R101"/>
  <c r="R103"/>
  <c r="R104"/>
  <c r="R105"/>
  <c r="R106"/>
  <c r="R107"/>
  <c r="R108"/>
  <c r="X101"/>
  <c r="X102"/>
  <c r="M99"/>
  <c r="O99"/>
  <c r="T99"/>
  <c r="V99"/>
  <c r="AG99" i="8"/>
  <c r="X99" s="1"/>
  <c r="K99" i="22" s="1"/>
  <c r="AG100" i="8"/>
  <c r="X100" s="1"/>
  <c r="K100" i="22" s="1"/>
  <c r="M100" i="4"/>
  <c r="O100"/>
  <c r="T100"/>
  <c r="V100"/>
  <c r="M101"/>
  <c r="O101"/>
  <c r="T101"/>
  <c r="V101"/>
  <c r="M103"/>
  <c r="O103"/>
  <c r="T103"/>
  <c r="V103"/>
  <c r="AG103" i="8"/>
  <c r="X103" s="1"/>
  <c r="K103" i="22" s="1"/>
  <c r="AG104" i="8"/>
  <c r="X104" s="1"/>
  <c r="K104" i="22" s="1"/>
  <c r="AG105" i="8"/>
  <c r="X105" s="1"/>
  <c r="K105" i="22" s="1"/>
  <c r="AG106" i="8"/>
  <c r="X106" s="1"/>
  <c r="K106" i="22" s="1"/>
  <c r="AG107" i="8"/>
  <c r="X107" s="1"/>
  <c r="K107" i="22" s="1"/>
  <c r="AG108" i="8"/>
  <c r="X108" s="1"/>
  <c r="K108" i="22" s="1"/>
  <c r="M104" i="4"/>
  <c r="O104"/>
  <c r="T104"/>
  <c r="V104"/>
  <c r="M105"/>
  <c r="O105"/>
  <c r="T105"/>
  <c r="V105"/>
  <c r="M106"/>
  <c r="O106"/>
  <c r="T106"/>
  <c r="V106"/>
  <c r="M107"/>
  <c r="O107"/>
  <c r="T107"/>
  <c r="V107"/>
  <c r="M108"/>
  <c r="O108"/>
  <c r="T108"/>
  <c r="V108"/>
  <c r="M110"/>
  <c r="O110"/>
  <c r="Q110"/>
  <c r="T110"/>
  <c r="V110"/>
  <c r="Q111"/>
  <c r="L112"/>
  <c r="R112" s="1"/>
  <c r="Q112"/>
  <c r="R111"/>
  <c r="Q113"/>
  <c r="Q114"/>
  <c r="AG110" i="8"/>
  <c r="X110" s="1"/>
  <c r="K110" i="22" s="1"/>
  <c r="AG111" i="8"/>
  <c r="X111" s="1"/>
  <c r="K111" i="22" s="1"/>
  <c r="AG113" i="8"/>
  <c r="X113" s="1"/>
  <c r="K113" i="22" s="1"/>
  <c r="R113" i="4"/>
  <c r="R114"/>
  <c r="AG114" i="8"/>
  <c r="X114" s="1"/>
  <c r="K114" i="22" s="1"/>
  <c r="M111" i="4"/>
  <c r="O111"/>
  <c r="T111"/>
  <c r="V111"/>
  <c r="M113"/>
  <c r="O113"/>
  <c r="T113"/>
  <c r="V113"/>
  <c r="M114"/>
  <c r="O114"/>
  <c r="T114"/>
  <c r="V114"/>
  <c r="M115"/>
  <c r="O115"/>
  <c r="Q115"/>
  <c r="R115"/>
  <c r="R115" i="22" s="1"/>
  <c r="T115" i="4"/>
  <c r="V115"/>
  <c r="X115"/>
  <c r="Y115"/>
  <c r="S115" i="22" s="1"/>
  <c r="AB115" i="4"/>
  <c r="Z115" i="8" s="1"/>
  <c r="M115" s="1"/>
  <c r="AE115" i="4"/>
  <c r="AI115"/>
  <c r="AB116"/>
  <c r="Z116" i="8" s="1"/>
  <c r="AE116" i="4"/>
  <c r="AI116" i="8" s="1"/>
  <c r="AI116" i="4"/>
  <c r="AD116" i="8" s="1"/>
  <c r="R127" i="4"/>
  <c r="R128"/>
  <c r="R129"/>
  <c r="R130"/>
  <c r="R131"/>
  <c r="R132"/>
  <c r="M118"/>
  <c r="O118"/>
  <c r="Q118"/>
  <c r="Q124"/>
  <c r="Q125"/>
  <c r="Q126"/>
  <c r="Q127"/>
  <c r="Q128"/>
  <c r="Q129"/>
  <c r="Q130"/>
  <c r="Q131"/>
  <c r="Q132"/>
  <c r="M120"/>
  <c r="O120"/>
  <c r="M122"/>
  <c r="O122"/>
  <c r="M123"/>
  <c r="O123"/>
  <c r="M125"/>
  <c r="O125"/>
  <c r="X125"/>
  <c r="X126"/>
  <c r="X132"/>
  <c r="O126"/>
  <c r="M127"/>
  <c r="O127"/>
  <c r="AG127" i="8"/>
  <c r="X127" s="1"/>
  <c r="K127" i="22" s="1"/>
  <c r="AG128" i="8"/>
  <c r="X128" s="1"/>
  <c r="K128" i="22" s="1"/>
  <c r="AG129" i="8"/>
  <c r="X129" s="1"/>
  <c r="K129" i="22" s="1"/>
  <c r="AG130" i="8"/>
  <c r="X130" s="1"/>
  <c r="K130" i="22" s="1"/>
  <c r="AG131" i="8"/>
  <c r="X131" s="1"/>
  <c r="K131" i="22" s="1"/>
  <c r="O128" i="4"/>
  <c r="O129"/>
  <c r="O130"/>
  <c r="O131"/>
  <c r="X143"/>
  <c r="Q146"/>
  <c r="L155"/>
  <c r="Q155" s="1"/>
  <c r="L153"/>
  <c r="Q153" s="1"/>
  <c r="R146"/>
  <c r="Q142"/>
  <c r="Q143"/>
  <c r="Q144"/>
  <c r="Q145"/>
  <c r="AG142" i="8"/>
  <c r="X142" s="1"/>
  <c r="K142" i="22" s="1"/>
  <c r="R142" i="4"/>
  <c r="R143"/>
  <c r="R143" i="22" s="1"/>
  <c r="R144" i="4"/>
  <c r="R145"/>
  <c r="AK142" i="8"/>
  <c r="AB142" s="1"/>
  <c r="L142" i="22" s="1"/>
  <c r="Y142" i="4"/>
  <c r="Y143"/>
  <c r="S143" i="22" s="1"/>
  <c r="M142" i="4"/>
  <c r="O142"/>
  <c r="X142"/>
  <c r="M144"/>
  <c r="O144"/>
  <c r="AG144" i="8"/>
  <c r="X144" s="1"/>
  <c r="K144" i="22" s="1"/>
  <c r="AG145" i="8"/>
  <c r="X145" s="1"/>
  <c r="K145" i="22" s="1"/>
  <c r="M145" i="4"/>
  <c r="O145"/>
  <c r="M147"/>
  <c r="O147"/>
  <c r="Q147"/>
  <c r="R147"/>
  <c r="Q148"/>
  <c r="Q149"/>
  <c r="Q150"/>
  <c r="Q151"/>
  <c r="Q152"/>
  <c r="R148"/>
  <c r="R149"/>
  <c r="R150"/>
  <c r="R151"/>
  <c r="R152"/>
  <c r="AG147" i="8"/>
  <c r="X147" s="1"/>
  <c r="K147" i="22" s="1"/>
  <c r="AG148" i="8"/>
  <c r="X148" s="1"/>
  <c r="K148" i="22" s="1"/>
  <c r="AG149" i="8"/>
  <c r="X149" s="1"/>
  <c r="K149" i="22" s="1"/>
  <c r="AG150" i="8"/>
  <c r="X150" s="1"/>
  <c r="K150" i="22" s="1"/>
  <c r="AG151" i="8"/>
  <c r="X151" s="1"/>
  <c r="K151" i="22" s="1"/>
  <c r="AG152" i="8"/>
  <c r="X152" s="1"/>
  <c r="K152" i="22" s="1"/>
  <c r="M148" i="4"/>
  <c r="O148"/>
  <c r="M149"/>
  <c r="O149"/>
  <c r="M150"/>
  <c r="O150"/>
  <c r="M151"/>
  <c r="O151"/>
  <c r="M152"/>
  <c r="O152"/>
  <c r="M154"/>
  <c r="O154"/>
  <c r="Q154"/>
  <c r="R154"/>
  <c r="Q156"/>
  <c r="Q157"/>
  <c r="Q158"/>
  <c r="R156"/>
  <c r="R157"/>
  <c r="R158"/>
  <c r="AG154" i="8"/>
  <c r="X154" s="1"/>
  <c r="K154" i="22" s="1"/>
  <c r="M156" i="4"/>
  <c r="O156"/>
  <c r="AG156" i="8"/>
  <c r="X156" s="1"/>
  <c r="K156" i="22" s="1"/>
  <c r="AG157" i="8"/>
  <c r="X157" s="1"/>
  <c r="K157" i="22" s="1"/>
  <c r="AG158" i="8"/>
  <c r="X158" s="1"/>
  <c r="K158" i="22" s="1"/>
  <c r="M157" i="4"/>
  <c r="O157"/>
  <c r="M158"/>
  <c r="O158"/>
  <c r="M160"/>
  <c r="O160"/>
  <c r="Q160"/>
  <c r="R160"/>
  <c r="X160"/>
  <c r="Y160"/>
  <c r="L164"/>
  <c r="R164" s="1"/>
  <c r="R164" i="22" s="1"/>
  <c r="L178" i="4"/>
  <c r="Q178" s="1"/>
  <c r="L174"/>
  <c r="L170"/>
  <c r="X161"/>
  <c r="X178"/>
  <c r="AK160" i="8"/>
  <c r="AB160" s="1"/>
  <c r="L160" i="22" s="1"/>
  <c r="M162" i="4"/>
  <c r="O162"/>
  <c r="Q162"/>
  <c r="R162"/>
  <c r="Q163"/>
  <c r="Q164"/>
  <c r="Q165"/>
  <c r="Q166"/>
  <c r="Q167"/>
  <c r="Q168"/>
  <c r="R163"/>
  <c r="R165"/>
  <c r="R166"/>
  <c r="R167"/>
  <c r="R168"/>
  <c r="AG162" i="8"/>
  <c r="X162" s="1"/>
  <c r="K162" i="22" s="1"/>
  <c r="AG163" i="8"/>
  <c r="X163" s="1"/>
  <c r="K163" i="22" s="1"/>
  <c r="M163" i="4"/>
  <c r="O163"/>
  <c r="M165"/>
  <c r="O165"/>
  <c r="AG165" i="8"/>
  <c r="X165" s="1"/>
  <c r="K165" i="22" s="1"/>
  <c r="AG166" i="8"/>
  <c r="X166" s="1"/>
  <c r="K166" i="22" s="1"/>
  <c r="AG167" i="8"/>
  <c r="X167" s="1"/>
  <c r="K167" i="22" s="1"/>
  <c r="AG168" i="8"/>
  <c r="X168" s="1"/>
  <c r="K168" i="22" s="1"/>
  <c r="M166" i="4"/>
  <c r="O166"/>
  <c r="M167"/>
  <c r="O167"/>
  <c r="M168"/>
  <c r="O168"/>
  <c r="X170"/>
  <c r="Q179"/>
  <c r="Q180"/>
  <c r="R171"/>
  <c r="R172"/>
  <c r="R173"/>
  <c r="R178"/>
  <c r="R178" i="22" s="1"/>
  <c r="R179" i="4"/>
  <c r="R180"/>
  <c r="X174"/>
  <c r="M171"/>
  <c r="O171"/>
  <c r="AG171" i="8"/>
  <c r="X171" s="1"/>
  <c r="K171" i="22" s="1"/>
  <c r="AG172" i="8"/>
  <c r="X172" s="1"/>
  <c r="K172" i="22" s="1"/>
  <c r="AG173" i="8"/>
  <c r="X173" s="1"/>
  <c r="K173" i="22" s="1"/>
  <c r="M172" i="4"/>
  <c r="O172"/>
  <c r="M173"/>
  <c r="O173"/>
  <c r="M175"/>
  <c r="O175"/>
  <c r="M176"/>
  <c r="O176"/>
  <c r="M179"/>
  <c r="O179"/>
  <c r="AG179" i="8"/>
  <c r="X179" s="1"/>
  <c r="K179" i="22" s="1"/>
  <c r="AG180" i="8"/>
  <c r="X180" s="1"/>
  <c r="K180" i="22" s="1"/>
  <c r="M180" i="4"/>
  <c r="O180"/>
  <c r="B2" i="8"/>
  <c r="Q2"/>
  <c r="B3"/>
  <c r="H5"/>
  <c r="AC10"/>
  <c r="AG30"/>
  <c r="X30" s="1"/>
  <c r="K30" i="22" s="1"/>
  <c r="AA61" i="8"/>
  <c r="L61" i="47" s="1"/>
  <c r="AB61" i="8"/>
  <c r="W96"/>
  <c r="K96" i="47" s="1"/>
  <c r="X96" i="8"/>
  <c r="K96" i="22" s="1"/>
  <c r="G96" s="1"/>
  <c r="AA96" i="8"/>
  <c r="L96" i="47" s="1"/>
  <c r="H96" s="1"/>
  <c r="AB96" i="8"/>
  <c r="AG101"/>
  <c r="X101" s="1"/>
  <c r="K101" i="22" s="1"/>
  <c r="AA109" i="8"/>
  <c r="L109" i="47" s="1"/>
  <c r="AB109" i="8"/>
  <c r="L109" i="22" s="1"/>
  <c r="AD115" i="8"/>
  <c r="Q115" s="1"/>
  <c r="AA116"/>
  <c r="L116" i="47" s="1"/>
  <c r="AB116" i="8"/>
  <c r="L116" i="22" s="1"/>
  <c r="H116" s="1"/>
  <c r="F2" i="12"/>
  <c r="F3"/>
  <c r="D7"/>
  <c r="E7" s="1"/>
  <c r="F2" i="13"/>
  <c r="F3"/>
  <c r="D7"/>
  <c r="E7" s="1"/>
  <c r="F2" i="15"/>
  <c r="F3"/>
  <c r="D7"/>
  <c r="E7" s="1"/>
  <c r="F2" i="16"/>
  <c r="F3"/>
  <c r="D7"/>
  <c r="E7" s="1"/>
  <c r="B58" i="21"/>
  <c r="C58"/>
  <c r="B59"/>
  <c r="C59"/>
  <c r="B60"/>
  <c r="C60"/>
  <c r="B61"/>
  <c r="C61"/>
  <c r="B62"/>
  <c r="C62"/>
  <c r="B63"/>
  <c r="C63"/>
  <c r="B64"/>
  <c r="C64"/>
  <c r="B65"/>
  <c r="C65"/>
  <c r="B66"/>
  <c r="C66"/>
  <c r="B67"/>
  <c r="C67"/>
  <c r="B68"/>
  <c r="C68"/>
  <c r="B69"/>
  <c r="C69"/>
  <c r="B70"/>
  <c r="C70"/>
  <c r="B71"/>
  <c r="C71"/>
  <c r="B72"/>
  <c r="C72"/>
  <c r="B73"/>
  <c r="C73"/>
  <c r="B74"/>
  <c r="C74"/>
  <c r="B75"/>
  <c r="C75"/>
  <c r="B76"/>
  <c r="C76"/>
  <c r="B77"/>
  <c r="C77"/>
  <c r="B78"/>
  <c r="C78"/>
  <c r="B79"/>
  <c r="C79"/>
  <c r="B80"/>
  <c r="C80"/>
  <c r="B81"/>
  <c r="C81"/>
  <c r="B82"/>
  <c r="C82"/>
  <c r="B83"/>
  <c r="C83"/>
  <c r="B84"/>
  <c r="C84"/>
  <c r="B85"/>
  <c r="C85"/>
  <c r="B86"/>
  <c r="C86"/>
  <c r="B87"/>
  <c r="C87"/>
  <c r="B88"/>
  <c r="C88"/>
  <c r="B89"/>
  <c r="C89"/>
  <c r="B90"/>
  <c r="C90"/>
  <c r="B91"/>
  <c r="C91"/>
  <c r="B92"/>
  <c r="C92"/>
  <c r="B93"/>
  <c r="C93"/>
  <c r="B94"/>
  <c r="C94"/>
  <c r="B95"/>
  <c r="C95"/>
  <c r="B96"/>
  <c r="C96"/>
  <c r="B97"/>
  <c r="C97"/>
  <c r="B98"/>
  <c r="C98"/>
  <c r="B99"/>
  <c r="C99"/>
  <c r="B100"/>
  <c r="C100"/>
  <c r="B101"/>
  <c r="C101"/>
  <c r="B102"/>
  <c r="C102"/>
  <c r="B103"/>
  <c r="C103"/>
  <c r="B104"/>
  <c r="C104"/>
  <c r="B105"/>
  <c r="C105"/>
  <c r="B106"/>
  <c r="C106"/>
  <c r="B107"/>
  <c r="C107"/>
  <c r="B108"/>
  <c r="C108"/>
  <c r="B109"/>
  <c r="C109"/>
  <c r="B110"/>
  <c r="C110"/>
  <c r="B111"/>
  <c r="C111"/>
  <c r="B112"/>
  <c r="C112"/>
  <c r="B113"/>
  <c r="C113"/>
  <c r="B114"/>
  <c r="C114"/>
  <c r="B115"/>
  <c r="C115"/>
  <c r="B116"/>
  <c r="C116"/>
  <c r="B117"/>
  <c r="C117"/>
  <c r="B118"/>
  <c r="C118"/>
  <c r="B119"/>
  <c r="C119"/>
  <c r="B120"/>
  <c r="C120"/>
  <c r="B121"/>
  <c r="C121"/>
  <c r="B122"/>
  <c r="C122"/>
  <c r="B123"/>
  <c r="C123"/>
  <c r="B124"/>
  <c r="C124"/>
  <c r="B125"/>
  <c r="C125"/>
  <c r="B126"/>
  <c r="C126"/>
  <c r="B127"/>
  <c r="C127"/>
  <c r="B128"/>
  <c r="C128"/>
  <c r="B129"/>
  <c r="C129"/>
  <c r="B130"/>
  <c r="C130"/>
  <c r="B131"/>
  <c r="C131"/>
  <c r="B132"/>
  <c r="C132"/>
  <c r="B133"/>
  <c r="C133"/>
  <c r="B134"/>
  <c r="C134"/>
  <c r="B140"/>
  <c r="C140"/>
  <c r="B141"/>
  <c r="C141"/>
  <c r="B142"/>
  <c r="C142"/>
  <c r="B143"/>
  <c r="C143"/>
  <c r="B144"/>
  <c r="C144"/>
  <c r="B145"/>
  <c r="C145"/>
  <c r="B146"/>
  <c r="C146"/>
  <c r="B147"/>
  <c r="C147"/>
  <c r="B148"/>
  <c r="C148"/>
  <c r="B149"/>
  <c r="C149"/>
  <c r="B150"/>
  <c r="C150"/>
  <c r="B151"/>
  <c r="C151"/>
  <c r="B152"/>
  <c r="C152"/>
  <c r="B153"/>
  <c r="C153"/>
  <c r="B154"/>
  <c r="C154"/>
  <c r="B155"/>
  <c r="C155"/>
  <c r="B156"/>
  <c r="C156"/>
  <c r="B157"/>
  <c r="C157"/>
  <c r="B158"/>
  <c r="C158"/>
  <c r="B159"/>
  <c r="C159"/>
  <c r="B160"/>
  <c r="C160"/>
  <c r="B161"/>
  <c r="C161"/>
  <c r="B162"/>
  <c r="C162"/>
  <c r="B163"/>
  <c r="C163"/>
  <c r="B164"/>
  <c r="C164"/>
  <c r="B165"/>
  <c r="C165"/>
  <c r="B166"/>
  <c r="C166"/>
  <c r="B167"/>
  <c r="C167"/>
  <c r="B168"/>
  <c r="C168"/>
  <c r="B169"/>
  <c r="C169"/>
  <c r="B170"/>
  <c r="C170"/>
  <c r="B171"/>
  <c r="C171"/>
  <c r="B172"/>
  <c r="C172"/>
  <c r="B173"/>
  <c r="C173"/>
  <c r="B174"/>
  <c r="C174"/>
  <c r="B175"/>
  <c r="C175"/>
  <c r="B178"/>
  <c r="C178"/>
  <c r="B179"/>
  <c r="C179"/>
  <c r="B180"/>
  <c r="C180"/>
  <c r="B8" i="22"/>
  <c r="C8"/>
  <c r="AN8"/>
  <c r="AH8" s="1"/>
  <c r="AO8"/>
  <c r="AI8" s="1"/>
  <c r="L61"/>
  <c r="L96"/>
  <c r="H96" s="1"/>
  <c r="S96"/>
  <c r="K115"/>
  <c r="G115" s="1"/>
  <c r="L115"/>
  <c r="H115" s="1"/>
  <c r="R116"/>
  <c r="S116"/>
  <c r="N44"/>
  <c r="AB44" i="4" s="1"/>
  <c r="Z44" i="8" s="1"/>
  <c r="M44" s="1"/>
  <c r="N45" i="22"/>
  <c r="AB45" i="4" s="1"/>
  <c r="Z45" i="8" s="1"/>
  <c r="M45" s="1"/>
  <c r="R61" i="2" l="1"/>
  <c r="F29" i="60" s="1"/>
  <c r="F27"/>
  <c r="S54" i="2"/>
  <c r="S59"/>
  <c r="F28" i="60"/>
  <c r="H45" i="22"/>
  <c r="H118" i="60"/>
  <c r="T97" i="59"/>
  <c r="X53" i="4"/>
  <c r="G45" i="22"/>
  <c r="H44"/>
  <c r="G44"/>
  <c r="S62" i="2"/>
  <c r="F30" i="60"/>
  <c r="S61" i="2"/>
  <c r="Y8" i="47"/>
  <c r="J97" i="59"/>
  <c r="E122" i="47"/>
  <c r="D131"/>
  <c r="D130"/>
  <c r="D129"/>
  <c r="D128"/>
  <c r="D127"/>
  <c r="Q53" i="4"/>
  <c r="R21"/>
  <c r="R21" i="22" s="1"/>
  <c r="F118" i="60"/>
  <c r="F125" s="1"/>
  <c r="I57" i="59"/>
  <c r="R52" i="2"/>
  <c r="R66"/>
  <c r="M38" i="59"/>
  <c r="I38"/>
  <c r="Y54" i="2"/>
  <c r="Y61"/>
  <c r="Y52"/>
  <c r="Y62"/>
  <c r="Y65"/>
  <c r="Y68"/>
  <c r="Y66"/>
  <c r="Y59"/>
  <c r="M38" i="54"/>
  <c r="I40" s="1"/>
  <c r="AG118" i="8" s="1"/>
  <c r="I40" i="56"/>
  <c r="H44" i="57"/>
  <c r="L44"/>
  <c r="I50" s="1"/>
  <c r="M44"/>
  <c r="L50" s="1"/>
  <c r="T97" i="54"/>
  <c r="X65" i="2"/>
  <c r="X72" s="1"/>
  <c r="AI110" i="22"/>
  <c r="AB66"/>
  <c r="AA35"/>
  <c r="B35" s="1"/>
  <c r="D44" i="2"/>
  <c r="F44" s="1"/>
  <c r="Q72"/>
  <c r="AJ119" i="22"/>
  <c r="AP75"/>
  <c r="AB161"/>
  <c r="S115" i="8"/>
  <c r="AB116" i="22"/>
  <c r="AI147"/>
  <c r="AA101"/>
  <c r="B101" s="1"/>
  <c r="AC141"/>
  <c r="C141" s="1"/>
  <c r="AB82"/>
  <c r="AB60"/>
  <c r="AC13"/>
  <c r="C13" s="1"/>
  <c r="AJ171"/>
  <c r="AD157"/>
  <c r="AD100"/>
  <c r="AB152"/>
  <c r="AA94"/>
  <c r="B94" s="1"/>
  <c r="AB25"/>
  <c r="AG33"/>
  <c r="AC173"/>
  <c r="C173" s="1"/>
  <c r="AA128"/>
  <c r="B128" s="1"/>
  <c r="AB115"/>
  <c r="AB74"/>
  <c r="AA47"/>
  <c r="B47" s="1"/>
  <c r="AI163"/>
  <c r="AG70"/>
  <c r="AA169"/>
  <c r="B169" s="1"/>
  <c r="AB159"/>
  <c r="AC150"/>
  <c r="C150" s="1"/>
  <c r="AE116"/>
  <c r="AE115"/>
  <c r="AA110"/>
  <c r="B110" s="1"/>
  <c r="AB98"/>
  <c r="AB91"/>
  <c r="AB80"/>
  <c r="AB72"/>
  <c r="AB64"/>
  <c r="AA56"/>
  <c r="B56" s="1"/>
  <c r="AB43"/>
  <c r="AB32"/>
  <c r="AC23"/>
  <c r="C23" s="1"/>
  <c r="AL168"/>
  <c r="AK161"/>
  <c r="AH153"/>
  <c r="AD144"/>
  <c r="AF125"/>
  <c r="AH113"/>
  <c r="AF94"/>
  <c r="AF63"/>
  <c r="AE19"/>
  <c r="AA179"/>
  <c r="B179" s="1"/>
  <c r="AB166"/>
  <c r="AC157"/>
  <c r="C157" s="1"/>
  <c r="AA148"/>
  <c r="B148" s="1"/>
  <c r="C123"/>
  <c r="AB113"/>
  <c r="AB107"/>
  <c r="AL96"/>
  <c r="AA87"/>
  <c r="B87" s="1"/>
  <c r="AB78"/>
  <c r="AB70"/>
  <c r="AB62"/>
  <c r="AA54"/>
  <c r="B54" s="1"/>
  <c r="AC39"/>
  <c r="C39" s="1"/>
  <c r="AC30"/>
  <c r="C30" s="1"/>
  <c r="AC21"/>
  <c r="C21" s="1"/>
  <c r="AF179"/>
  <c r="AE167"/>
  <c r="AJ117"/>
  <c r="AJ107"/>
  <c r="AI88"/>
  <c r="AB175"/>
  <c r="AC164"/>
  <c r="C164" s="1"/>
  <c r="AA155"/>
  <c r="B155" s="1"/>
  <c r="AB145"/>
  <c r="C130"/>
  <c r="AA119"/>
  <c r="B119" s="1"/>
  <c r="AB111"/>
  <c r="AC105"/>
  <c r="C105" s="1"/>
  <c r="AD96"/>
  <c r="AC96"/>
  <c r="C96" s="1"/>
  <c r="AA85"/>
  <c r="B85" s="1"/>
  <c r="AB76"/>
  <c r="AB68"/>
  <c r="AC49"/>
  <c r="C49" s="1"/>
  <c r="AC37"/>
  <c r="C37" s="1"/>
  <c r="AA28"/>
  <c r="B28" s="1"/>
  <c r="AB17"/>
  <c r="AH173"/>
  <c r="AG165"/>
  <c r="AE151"/>
  <c r="AE104"/>
  <c r="AH81"/>
  <c r="AI54"/>
  <c r="AB172"/>
  <c r="AA168"/>
  <c r="B168" s="1"/>
  <c r="AC163"/>
  <c r="C163" s="1"/>
  <c r="AA145"/>
  <c r="B145" s="1"/>
  <c r="AC140"/>
  <c r="C140" s="1"/>
  <c r="AA125"/>
  <c r="B125" s="1"/>
  <c r="C120"/>
  <c r="AA118"/>
  <c r="B118" s="1"/>
  <c r="AJ116"/>
  <c r="AL115"/>
  <c r="AD115"/>
  <c r="AC113"/>
  <c r="C113" s="1"/>
  <c r="AH110"/>
  <c r="AC107"/>
  <c r="C107" s="1"/>
  <c r="AB93"/>
  <c r="AC89"/>
  <c r="C89" s="1"/>
  <c r="AB86"/>
  <c r="AC82"/>
  <c r="C82" s="1"/>
  <c r="AC70"/>
  <c r="C70" s="1"/>
  <c r="AC60"/>
  <c r="C60" s="1"/>
  <c r="AB55"/>
  <c r="AC51"/>
  <c r="C51" s="1"/>
  <c r="AB46"/>
  <c r="AB34"/>
  <c r="AA30"/>
  <c r="B30" s="1"/>
  <c r="AB27"/>
  <c r="AA23"/>
  <c r="B23" s="1"/>
  <c r="AB16"/>
  <c r="AK178"/>
  <c r="AF171"/>
  <c r="AJ166"/>
  <c r="AE163"/>
  <c r="AF150"/>
  <c r="AE143"/>
  <c r="AK106"/>
  <c r="AK98"/>
  <c r="AK86"/>
  <c r="AI68"/>
  <c r="AK29"/>
  <c r="AA177"/>
  <c r="B177" s="1"/>
  <c r="AA178"/>
  <c r="B178" s="1"/>
  <c r="AB174"/>
  <c r="AC172"/>
  <c r="C172" s="1"/>
  <c r="AA170"/>
  <c r="B170" s="1"/>
  <c r="AB167"/>
  <c r="AC165"/>
  <c r="C165" s="1"/>
  <c r="AA163"/>
  <c r="B163" s="1"/>
  <c r="AB160"/>
  <c r="AC156"/>
  <c r="C156" s="1"/>
  <c r="AB153"/>
  <c r="AC149"/>
  <c r="C149" s="1"/>
  <c r="AA147"/>
  <c r="B147" s="1"/>
  <c r="AB144"/>
  <c r="AC142"/>
  <c r="C142" s="1"/>
  <c r="AA140"/>
  <c r="B140" s="1"/>
  <c r="C131"/>
  <c r="AA127"/>
  <c r="B127" s="1"/>
  <c r="C122"/>
  <c r="B120"/>
  <c r="AB117"/>
  <c r="AI116"/>
  <c r="AI115"/>
  <c r="AA115"/>
  <c r="B115" s="1"/>
  <c r="AB112"/>
  <c r="AB110"/>
  <c r="AE110"/>
  <c r="AB108"/>
  <c r="AB106"/>
  <c r="AA102"/>
  <c r="B102" s="1"/>
  <c r="AA100"/>
  <c r="B100" s="1"/>
  <c r="AC97"/>
  <c r="C97" s="1"/>
  <c r="AH96"/>
  <c r="AA95"/>
  <c r="B95" s="1"/>
  <c r="AA93"/>
  <c r="B93" s="1"/>
  <c r="AC88"/>
  <c r="C88" s="1"/>
  <c r="AA86"/>
  <c r="B86" s="1"/>
  <c r="AB83"/>
  <c r="AB81"/>
  <c r="AB79"/>
  <c r="AB77"/>
  <c r="AB75"/>
  <c r="AB73"/>
  <c r="AB71"/>
  <c r="AB69"/>
  <c r="AB67"/>
  <c r="AB65"/>
  <c r="AB63"/>
  <c r="AB61"/>
  <c r="AC57"/>
  <c r="C57" s="1"/>
  <c r="AA55"/>
  <c r="B55" s="1"/>
  <c r="AB52"/>
  <c r="AA48"/>
  <c r="B48" s="1"/>
  <c r="AA45"/>
  <c r="B45" s="1"/>
  <c r="AB40"/>
  <c r="AC38"/>
  <c r="C38" s="1"/>
  <c r="AA36"/>
  <c r="B36" s="1"/>
  <c r="AA34"/>
  <c r="B34" s="1"/>
  <c r="AC31"/>
  <c r="C31" s="1"/>
  <c r="AA29"/>
  <c r="B29" s="1"/>
  <c r="AB26"/>
  <c r="AB24"/>
  <c r="AC22"/>
  <c r="C22" s="1"/>
  <c r="AA20"/>
  <c r="B20" s="1"/>
  <c r="AC15"/>
  <c r="C15" s="1"/>
  <c r="AB10"/>
  <c r="AE180"/>
  <c r="AG178"/>
  <c r="AI172"/>
  <c r="AK170"/>
  <c r="AD168"/>
  <c r="AF166"/>
  <c r="AH164"/>
  <c r="AJ162"/>
  <c r="AK160"/>
  <c r="AK158"/>
  <c r="AF155"/>
  <c r="AL152"/>
  <c r="AG149"/>
  <c r="AK145"/>
  <c r="AF142"/>
  <c r="AH159"/>
  <c r="AL105"/>
  <c r="AG102"/>
  <c r="AI97"/>
  <c r="AL91"/>
  <c r="AD85"/>
  <c r="AL77"/>
  <c r="AK66"/>
  <c r="AK59"/>
  <c r="AH47"/>
  <c r="AF26"/>
  <c r="AL11"/>
  <c r="AG130"/>
  <c r="AJ130"/>
  <c r="AE126"/>
  <c r="AI126"/>
  <c r="AN44"/>
  <c r="AO45"/>
  <c r="AO35"/>
  <c r="AP36"/>
  <c r="AN38"/>
  <c r="AN39"/>
  <c r="AO40"/>
  <c r="AO41"/>
  <c r="AP42"/>
  <c r="AN143"/>
  <c r="AO144"/>
  <c r="AP145"/>
  <c r="AN125"/>
  <c r="AO126"/>
  <c r="AP127"/>
  <c r="AP128"/>
  <c r="AP129"/>
  <c r="AM126"/>
  <c r="AN169"/>
  <c r="AO174"/>
  <c r="AN178"/>
  <c r="AO173"/>
  <c r="AP172"/>
  <c r="AN170"/>
  <c r="AO164"/>
  <c r="AP163"/>
  <c r="AN161"/>
  <c r="AO160"/>
  <c r="AP159"/>
  <c r="AN157"/>
  <c r="AO156"/>
  <c r="AP155"/>
  <c r="AN153"/>
  <c r="AO152"/>
  <c r="AP151"/>
  <c r="AN149"/>
  <c r="AO148"/>
  <c r="AP147"/>
  <c r="AN142"/>
  <c r="AO140"/>
  <c r="AP137"/>
  <c r="AN133"/>
  <c r="AO123"/>
  <c r="AP122"/>
  <c r="AN120"/>
  <c r="AO119"/>
  <c r="AP118"/>
  <c r="AN116"/>
  <c r="AO115"/>
  <c r="AP114"/>
  <c r="AN112"/>
  <c r="AO111"/>
  <c r="AP110"/>
  <c r="AN108"/>
  <c r="AO107"/>
  <c r="AP106"/>
  <c r="AN104"/>
  <c r="AO103"/>
  <c r="AP102"/>
  <c r="AN100"/>
  <c r="AO99"/>
  <c r="AP98"/>
  <c r="AN96"/>
  <c r="AO95"/>
  <c r="AP94"/>
  <c r="AN92"/>
  <c r="AO91"/>
  <c r="AP90"/>
  <c r="AN83"/>
  <c r="AO82"/>
  <c r="AP81"/>
  <c r="AN79"/>
  <c r="AO78"/>
  <c r="AP77"/>
  <c r="AN75"/>
  <c r="AO74"/>
  <c r="AP73"/>
  <c r="AN71"/>
  <c r="AO70"/>
  <c r="AP69"/>
  <c r="AN67"/>
  <c r="AF126"/>
  <c r="AJ126"/>
  <c r="AN34"/>
  <c r="AO44"/>
  <c r="AP45"/>
  <c r="AP35"/>
  <c r="AN37"/>
  <c r="AO38"/>
  <c r="AO39"/>
  <c r="AP40"/>
  <c r="AP41"/>
  <c r="AN141"/>
  <c r="AO143"/>
  <c r="AP144"/>
  <c r="AN124"/>
  <c r="AO125"/>
  <c r="AP126"/>
  <c r="AN131"/>
  <c r="AN132"/>
  <c r="AO169"/>
  <c r="AP174"/>
  <c r="AO178"/>
  <c r="AP173"/>
  <c r="AN171"/>
  <c r="AO170"/>
  <c r="AP164"/>
  <c r="AN162"/>
  <c r="AO161"/>
  <c r="AP160"/>
  <c r="AN158"/>
  <c r="AO157"/>
  <c r="AP156"/>
  <c r="AN154"/>
  <c r="AO153"/>
  <c r="AP152"/>
  <c r="AN150"/>
  <c r="AO149"/>
  <c r="AP148"/>
  <c r="AN146"/>
  <c r="AO142"/>
  <c r="AP140"/>
  <c r="AN134"/>
  <c r="AO133"/>
  <c r="AP123"/>
  <c r="AN121"/>
  <c r="AO120"/>
  <c r="AP119"/>
  <c r="AN117"/>
  <c r="AO116"/>
  <c r="AP115"/>
  <c r="AN113"/>
  <c r="AO112"/>
  <c r="AP111"/>
  <c r="AN109"/>
  <c r="AO108"/>
  <c r="AP107"/>
  <c r="AN105"/>
  <c r="AO104"/>
  <c r="AP103"/>
  <c r="AN101"/>
  <c r="AO100"/>
  <c r="AP99"/>
  <c r="AN97"/>
  <c r="AO96"/>
  <c r="AP95"/>
  <c r="AN93"/>
  <c r="AO92"/>
  <c r="AP91"/>
  <c r="AN85"/>
  <c r="AO83"/>
  <c r="AP82"/>
  <c r="AN80"/>
  <c r="AO79"/>
  <c r="AP78"/>
  <c r="AN76"/>
  <c r="AO75"/>
  <c r="AP74"/>
  <c r="AN72"/>
  <c r="AO71"/>
  <c r="AP70"/>
  <c r="AN68"/>
  <c r="AO67"/>
  <c r="AH126"/>
  <c r="AP34"/>
  <c r="AN35"/>
  <c r="AP37"/>
  <c r="AN40"/>
  <c r="AO42"/>
  <c r="AN144"/>
  <c r="AP124"/>
  <c r="AO127"/>
  <c r="AN130"/>
  <c r="AP131"/>
  <c r="AN174"/>
  <c r="AN173"/>
  <c r="AP171"/>
  <c r="AO163"/>
  <c r="AN160"/>
  <c r="AP158"/>
  <c r="AO155"/>
  <c r="AN152"/>
  <c r="AP150"/>
  <c r="AO147"/>
  <c r="AN140"/>
  <c r="AP134"/>
  <c r="AO122"/>
  <c r="AN119"/>
  <c r="AP117"/>
  <c r="AO114"/>
  <c r="AN111"/>
  <c r="AP109"/>
  <c r="AO106"/>
  <c r="AN103"/>
  <c r="AP101"/>
  <c r="AO98"/>
  <c r="AN95"/>
  <c r="AP93"/>
  <c r="AO90"/>
  <c r="AN82"/>
  <c r="AP80"/>
  <c r="AO77"/>
  <c r="AN74"/>
  <c r="AP72"/>
  <c r="AO69"/>
  <c r="AN66"/>
  <c r="AO65"/>
  <c r="AP64"/>
  <c r="AN62"/>
  <c r="AO61"/>
  <c r="AP60"/>
  <c r="AN58"/>
  <c r="AO57"/>
  <c r="AP56"/>
  <c r="AN54"/>
  <c r="AO53"/>
  <c r="AP52"/>
  <c r="AN50"/>
  <c r="AO49"/>
  <c r="AP48"/>
  <c r="AN33"/>
  <c r="AO32"/>
  <c r="AP31"/>
  <c r="AN29"/>
  <c r="AO28"/>
  <c r="AP27"/>
  <c r="AN25"/>
  <c r="AO24"/>
  <c r="AP23"/>
  <c r="AN21"/>
  <c r="AO20"/>
  <c r="AP19"/>
  <c r="AN17"/>
  <c r="AO16"/>
  <c r="AP15"/>
  <c r="AN13"/>
  <c r="AO12"/>
  <c r="AP11"/>
  <c r="AM9"/>
  <c r="AM13"/>
  <c r="AM17"/>
  <c r="AM21"/>
  <c r="AM25"/>
  <c r="AM29"/>
  <c r="AM33"/>
  <c r="AM37"/>
  <c r="AM41"/>
  <c r="AM45"/>
  <c r="AM49"/>
  <c r="AM53"/>
  <c r="AM57"/>
  <c r="AM61"/>
  <c r="AM65"/>
  <c r="AM69"/>
  <c r="AM73"/>
  <c r="AM77"/>
  <c r="AM81"/>
  <c r="AM85"/>
  <c r="AM89"/>
  <c r="AM93"/>
  <c r="AM97"/>
  <c r="AM101"/>
  <c r="AM105"/>
  <c r="AM109"/>
  <c r="AM113"/>
  <c r="AM117"/>
  <c r="AM125"/>
  <c r="AM130"/>
  <c r="AM134"/>
  <c r="AM142"/>
  <c r="AM146"/>
  <c r="AM150"/>
  <c r="AM154"/>
  <c r="AM158"/>
  <c r="AM162"/>
  <c r="AM166"/>
  <c r="AM170"/>
  <c r="AM174"/>
  <c r="AM178"/>
  <c r="AK177"/>
  <c r="AG177"/>
  <c r="AC177"/>
  <c r="C177" s="1"/>
  <c r="AE169"/>
  <c r="AI169"/>
  <c r="AD174"/>
  <c r="AH174"/>
  <c r="AL174"/>
  <c r="AG175"/>
  <c r="AK175"/>
  <c r="AF176"/>
  <c r="AJ176"/>
  <c r="AG62"/>
  <c r="AK62"/>
  <c r="AF71"/>
  <c r="AJ71"/>
  <c r="AE72"/>
  <c r="AI72"/>
  <c r="AD73"/>
  <c r="AH73"/>
  <c r="AL73"/>
  <c r="AG74"/>
  <c r="AK74"/>
  <c r="AG34"/>
  <c r="AK34"/>
  <c r="AF39"/>
  <c r="AJ39"/>
  <c r="AE40"/>
  <c r="AI40"/>
  <c r="AD41"/>
  <c r="AH41"/>
  <c r="AL41"/>
  <c r="AG42"/>
  <c r="AK42"/>
  <c r="AC42"/>
  <c r="C42" s="1"/>
  <c r="AK126"/>
  <c r="AN36"/>
  <c r="AP38"/>
  <c r="AO141"/>
  <c r="AN145"/>
  <c r="AP125"/>
  <c r="AN129"/>
  <c r="AO130"/>
  <c r="AN172"/>
  <c r="AP170"/>
  <c r="AO162"/>
  <c r="AN159"/>
  <c r="AP157"/>
  <c r="AO154"/>
  <c r="AN151"/>
  <c r="AP149"/>
  <c r="AO146"/>
  <c r="AN137"/>
  <c r="AP133"/>
  <c r="AO121"/>
  <c r="AN118"/>
  <c r="AP116"/>
  <c r="AO113"/>
  <c r="AN110"/>
  <c r="AP108"/>
  <c r="AO105"/>
  <c r="AN102"/>
  <c r="AP100"/>
  <c r="AO97"/>
  <c r="AN94"/>
  <c r="AP92"/>
  <c r="AO85"/>
  <c r="AN81"/>
  <c r="AP79"/>
  <c r="AO76"/>
  <c r="AN73"/>
  <c r="AP71"/>
  <c r="AO68"/>
  <c r="AO66"/>
  <c r="AP65"/>
  <c r="AN63"/>
  <c r="AO62"/>
  <c r="AP61"/>
  <c r="AN59"/>
  <c r="AO58"/>
  <c r="AP57"/>
  <c r="AN55"/>
  <c r="AO54"/>
  <c r="AP53"/>
  <c r="AN51"/>
  <c r="AO50"/>
  <c r="AP49"/>
  <c r="AN47"/>
  <c r="AO33"/>
  <c r="AP32"/>
  <c r="AN30"/>
  <c r="AO29"/>
  <c r="AP28"/>
  <c r="AN26"/>
  <c r="AO25"/>
  <c r="AP24"/>
  <c r="AN22"/>
  <c r="AO21"/>
  <c r="AP20"/>
  <c r="AN18"/>
  <c r="AO17"/>
  <c r="AP16"/>
  <c r="AN14"/>
  <c r="AO13"/>
  <c r="AP12"/>
  <c r="AN10"/>
  <c r="AM10"/>
  <c r="AM14"/>
  <c r="AM18"/>
  <c r="AM22"/>
  <c r="AM26"/>
  <c r="AM30"/>
  <c r="AM34"/>
  <c r="AM38"/>
  <c r="AM42"/>
  <c r="AM46"/>
  <c r="AM50"/>
  <c r="AM54"/>
  <c r="AM58"/>
  <c r="AM62"/>
  <c r="AL126"/>
  <c r="AP39"/>
  <c r="AP141"/>
  <c r="AN126"/>
  <c r="AO128"/>
  <c r="AP132"/>
  <c r="AP169"/>
  <c r="AO172"/>
  <c r="AP162"/>
  <c r="AN156"/>
  <c r="AO151"/>
  <c r="AP146"/>
  <c r="AN123"/>
  <c r="AO118"/>
  <c r="AP113"/>
  <c r="AN107"/>
  <c r="AO102"/>
  <c r="AP97"/>
  <c r="AN91"/>
  <c r="AO81"/>
  <c r="AP76"/>
  <c r="AN70"/>
  <c r="AP66"/>
  <c r="AO63"/>
  <c r="AN60"/>
  <c r="AP58"/>
  <c r="AO55"/>
  <c r="AN52"/>
  <c r="AP50"/>
  <c r="AO47"/>
  <c r="AN31"/>
  <c r="AP29"/>
  <c r="AO26"/>
  <c r="AN23"/>
  <c r="AP21"/>
  <c r="AO18"/>
  <c r="AN15"/>
  <c r="AP13"/>
  <c r="AO10"/>
  <c r="AM15"/>
  <c r="AM23"/>
  <c r="AM31"/>
  <c r="AM39"/>
  <c r="AM47"/>
  <c r="AM55"/>
  <c r="AM63"/>
  <c r="AM68"/>
  <c r="AM74"/>
  <c r="AM79"/>
  <c r="AM84"/>
  <c r="AM90"/>
  <c r="AM95"/>
  <c r="AM100"/>
  <c r="AM106"/>
  <c r="AM111"/>
  <c r="AM116"/>
  <c r="AM128"/>
  <c r="AM133"/>
  <c r="AM143"/>
  <c r="AM148"/>
  <c r="AM153"/>
  <c r="AM159"/>
  <c r="AM164"/>
  <c r="AM169"/>
  <c r="AM175"/>
  <c r="AM180"/>
  <c r="AH177"/>
  <c r="AB177"/>
  <c r="AG169"/>
  <c r="AL169"/>
  <c r="AI174"/>
  <c r="AE175"/>
  <c r="AJ175"/>
  <c r="AG176"/>
  <c r="AL176"/>
  <c r="AE62"/>
  <c r="AJ62"/>
  <c r="AG71"/>
  <c r="AL71"/>
  <c r="AH72"/>
  <c r="AE73"/>
  <c r="AJ73"/>
  <c r="AF74"/>
  <c r="AL74"/>
  <c r="AD126"/>
  <c r="AO37"/>
  <c r="AN41"/>
  <c r="AO145"/>
  <c r="AO129"/>
  <c r="AN164"/>
  <c r="AO159"/>
  <c r="AP154"/>
  <c r="AN148"/>
  <c r="AO137"/>
  <c r="AP121"/>
  <c r="AN115"/>
  <c r="AO110"/>
  <c r="AP105"/>
  <c r="AN99"/>
  <c r="AO94"/>
  <c r="AP85"/>
  <c r="AN78"/>
  <c r="AO73"/>
  <c r="AP68"/>
  <c r="AN64"/>
  <c r="AP62"/>
  <c r="AO59"/>
  <c r="AN56"/>
  <c r="AP54"/>
  <c r="AO51"/>
  <c r="AN48"/>
  <c r="AP33"/>
  <c r="AO30"/>
  <c r="AN27"/>
  <c r="AP25"/>
  <c r="AO22"/>
  <c r="AN19"/>
  <c r="AP17"/>
  <c r="AO14"/>
  <c r="AN11"/>
  <c r="AM11"/>
  <c r="AM19"/>
  <c r="AM27"/>
  <c r="AM35"/>
  <c r="AM43"/>
  <c r="AM51"/>
  <c r="AM59"/>
  <c r="AM66"/>
  <c r="AM71"/>
  <c r="AM76"/>
  <c r="AM82"/>
  <c r="AM87"/>
  <c r="AM92"/>
  <c r="AM98"/>
  <c r="AM103"/>
  <c r="AM108"/>
  <c r="AM114"/>
  <c r="AM119"/>
  <c r="AM124"/>
  <c r="AM131"/>
  <c r="AM140"/>
  <c r="AM145"/>
  <c r="AM151"/>
  <c r="AM156"/>
  <c r="AM161"/>
  <c r="AM167"/>
  <c r="AM172"/>
  <c r="AM177"/>
  <c r="AJ177"/>
  <c r="AE177"/>
  <c r="AD169"/>
  <c r="AJ169"/>
  <c r="AF174"/>
  <c r="AK174"/>
  <c r="AH175"/>
  <c r="AD176"/>
  <c r="AI176"/>
  <c r="AH62"/>
  <c r="AD71"/>
  <c r="AI71"/>
  <c r="AF72"/>
  <c r="AK72"/>
  <c r="AG73"/>
  <c r="AD74"/>
  <c r="AI74"/>
  <c r="AF34"/>
  <c r="AL34"/>
  <c r="AH39"/>
  <c r="AD40"/>
  <c r="AO124"/>
  <c r="AE14"/>
  <c r="AO171"/>
  <c r="AN155"/>
  <c r="AP142"/>
  <c r="AO117"/>
  <c r="AN106"/>
  <c r="AP96"/>
  <c r="AO80"/>
  <c r="AN69"/>
  <c r="AP63"/>
  <c r="AN57"/>
  <c r="AO52"/>
  <c r="AP47"/>
  <c r="AN28"/>
  <c r="AO23"/>
  <c r="AP18"/>
  <c r="AN12"/>
  <c r="AM16"/>
  <c r="AM32"/>
  <c r="AM48"/>
  <c r="AM64"/>
  <c r="AM75"/>
  <c r="AM86"/>
  <c r="AM96"/>
  <c r="AM107"/>
  <c r="AM118"/>
  <c r="AM129"/>
  <c r="AM144"/>
  <c r="AM155"/>
  <c r="AM165"/>
  <c r="AM176"/>
  <c r="AF177"/>
  <c r="AH169"/>
  <c r="AJ174"/>
  <c r="AL175"/>
  <c r="AL62"/>
  <c r="AD72"/>
  <c r="AF73"/>
  <c r="AH74"/>
  <c r="AI34"/>
  <c r="AG39"/>
  <c r="AF40"/>
  <c r="AK40"/>
  <c r="AG41"/>
  <c r="AD42"/>
  <c r="AI42"/>
  <c r="AD118"/>
  <c r="AH118"/>
  <c r="AL118"/>
  <c r="AG119"/>
  <c r="AK119"/>
  <c r="AG123"/>
  <c r="AK123"/>
  <c r="AF133"/>
  <c r="AJ133"/>
  <c r="AE134"/>
  <c r="AI134"/>
  <c r="AE9"/>
  <c r="AI9"/>
  <c r="AD61"/>
  <c r="AH61"/>
  <c r="AL61"/>
  <c r="AG109"/>
  <c r="AK109"/>
  <c r="AP9"/>
  <c r="AG10"/>
  <c r="AK10"/>
  <c r="AF11"/>
  <c r="AJ11"/>
  <c r="AE12"/>
  <c r="AI12"/>
  <c r="AD13"/>
  <c r="AH13"/>
  <c r="AL13"/>
  <c r="AH14"/>
  <c r="AL14"/>
  <c r="AG15"/>
  <c r="AK15"/>
  <c r="AF16"/>
  <c r="AJ16"/>
  <c r="AE17"/>
  <c r="AI17"/>
  <c r="AD18"/>
  <c r="AH18"/>
  <c r="AL18"/>
  <c r="AG19"/>
  <c r="AK19"/>
  <c r="AF20"/>
  <c r="AJ20"/>
  <c r="AE21"/>
  <c r="AI21"/>
  <c r="AD22"/>
  <c r="AH22"/>
  <c r="AL22"/>
  <c r="AG23"/>
  <c r="AK23"/>
  <c r="AF24"/>
  <c r="AJ24"/>
  <c r="AE25"/>
  <c r="AI25"/>
  <c r="AD26"/>
  <c r="AH26"/>
  <c r="AL26"/>
  <c r="AG27"/>
  <c r="AK27"/>
  <c r="AF28"/>
  <c r="AJ28"/>
  <c r="AE29"/>
  <c r="AI29"/>
  <c r="AD30"/>
  <c r="AH30"/>
  <c r="AL30"/>
  <c r="AG31"/>
  <c r="AK31"/>
  <c r="AF32"/>
  <c r="AJ32"/>
  <c r="AE33"/>
  <c r="AI33"/>
  <c r="AD35"/>
  <c r="AH35"/>
  <c r="AL35"/>
  <c r="AG36"/>
  <c r="AK36"/>
  <c r="AF37"/>
  <c r="AJ37"/>
  <c r="AE38"/>
  <c r="AI38"/>
  <c r="AD44"/>
  <c r="AH44"/>
  <c r="AL44"/>
  <c r="AG45"/>
  <c r="AK45"/>
  <c r="AF47"/>
  <c r="AJ47"/>
  <c r="AE48"/>
  <c r="AI48"/>
  <c r="AD49"/>
  <c r="AH49"/>
  <c r="AL49"/>
  <c r="AG50"/>
  <c r="AK50"/>
  <c r="AF51"/>
  <c r="AJ51"/>
  <c r="AE52"/>
  <c r="AI52"/>
  <c r="AD53"/>
  <c r="AH53"/>
  <c r="AL53"/>
  <c r="AG54"/>
  <c r="AK54"/>
  <c r="AF55"/>
  <c r="AJ55"/>
  <c r="AE56"/>
  <c r="AI56"/>
  <c r="AD57"/>
  <c r="AH57"/>
  <c r="AL57"/>
  <c r="AN45"/>
  <c r="AN127"/>
  <c r="AO132"/>
  <c r="AN163"/>
  <c r="AP153"/>
  <c r="AO134"/>
  <c r="AN114"/>
  <c r="AP104"/>
  <c r="AO93"/>
  <c r="AN77"/>
  <c r="AP67"/>
  <c r="AN61"/>
  <c r="AO56"/>
  <c r="AP51"/>
  <c r="AN32"/>
  <c r="AO27"/>
  <c r="AP22"/>
  <c r="AN16"/>
  <c r="AO11"/>
  <c r="AM20"/>
  <c r="AM36"/>
  <c r="AM52"/>
  <c r="AM67"/>
  <c r="AM78"/>
  <c r="AM88"/>
  <c r="AM99"/>
  <c r="AM110"/>
  <c r="AM132"/>
  <c r="AM147"/>
  <c r="AM157"/>
  <c r="AM168"/>
  <c r="AM179"/>
  <c r="AD177"/>
  <c r="AK169"/>
  <c r="AD175"/>
  <c r="AE176"/>
  <c r="AD62"/>
  <c r="AE71"/>
  <c r="AG72"/>
  <c r="AI73"/>
  <c r="AJ74"/>
  <c r="AD34"/>
  <c r="AJ34"/>
  <c r="AI39"/>
  <c r="AG40"/>
  <c r="AL40"/>
  <c r="AI41"/>
  <c r="AE42"/>
  <c r="AJ42"/>
  <c r="AB42"/>
  <c r="AE118"/>
  <c r="AI118"/>
  <c r="AD119"/>
  <c r="AH119"/>
  <c r="AL119"/>
  <c r="AD123"/>
  <c r="AH123"/>
  <c r="AL123"/>
  <c r="AG133"/>
  <c r="AK133"/>
  <c r="AF134"/>
  <c r="AJ134"/>
  <c r="AF9"/>
  <c r="AJ9"/>
  <c r="AE61"/>
  <c r="AI61"/>
  <c r="AD109"/>
  <c r="AH109"/>
  <c r="AL109"/>
  <c r="AD10"/>
  <c r="AH10"/>
  <c r="AL10"/>
  <c r="AG11"/>
  <c r="AK11"/>
  <c r="AF12"/>
  <c r="AJ12"/>
  <c r="AE13"/>
  <c r="AI13"/>
  <c r="AD14"/>
  <c r="AI14"/>
  <c r="AD15"/>
  <c r="AH15"/>
  <c r="AL15"/>
  <c r="AG16"/>
  <c r="AK16"/>
  <c r="AF17"/>
  <c r="AJ17"/>
  <c r="AE18"/>
  <c r="AI18"/>
  <c r="AD19"/>
  <c r="AH19"/>
  <c r="AL19"/>
  <c r="AG20"/>
  <c r="AK20"/>
  <c r="AF21"/>
  <c r="AJ21"/>
  <c r="AE22"/>
  <c r="AI22"/>
  <c r="AD23"/>
  <c r="AH23"/>
  <c r="AL23"/>
  <c r="AG24"/>
  <c r="AK24"/>
  <c r="AF25"/>
  <c r="AJ25"/>
  <c r="AE26"/>
  <c r="AI26"/>
  <c r="AD27"/>
  <c r="AH27"/>
  <c r="AL27"/>
  <c r="AG28"/>
  <c r="AK28"/>
  <c r="AF29"/>
  <c r="AJ29"/>
  <c r="AE30"/>
  <c r="AI30"/>
  <c r="AD31"/>
  <c r="AH31"/>
  <c r="AL31"/>
  <c r="AG32"/>
  <c r="AK32"/>
  <c r="AF33"/>
  <c r="AJ33"/>
  <c r="AE35"/>
  <c r="AI35"/>
  <c r="AD36"/>
  <c r="AH36"/>
  <c r="AL36"/>
  <c r="AG37"/>
  <c r="AK37"/>
  <c r="AF38"/>
  <c r="AJ38"/>
  <c r="AE44"/>
  <c r="AI44"/>
  <c r="AD45"/>
  <c r="AH45"/>
  <c r="AL45"/>
  <c r="AG47"/>
  <c r="AK47"/>
  <c r="AF48"/>
  <c r="AJ48"/>
  <c r="AE49"/>
  <c r="AI49"/>
  <c r="AD50"/>
  <c r="AH50"/>
  <c r="AL50"/>
  <c r="AG51"/>
  <c r="AK51"/>
  <c r="AF52"/>
  <c r="AJ52"/>
  <c r="AE53"/>
  <c r="AI53"/>
  <c r="AD54"/>
  <c r="AH54"/>
  <c r="AL54"/>
  <c r="AG55"/>
  <c r="AK55"/>
  <c r="AF56"/>
  <c r="AJ56"/>
  <c r="AE57"/>
  <c r="AI57"/>
  <c r="AN128"/>
  <c r="AO131"/>
  <c r="AO158"/>
  <c r="AP120"/>
  <c r="AN98"/>
  <c r="AO72"/>
  <c r="AP59"/>
  <c r="AO48"/>
  <c r="AN24"/>
  <c r="AP14"/>
  <c r="AM28"/>
  <c r="AM60"/>
  <c r="AM83"/>
  <c r="AM104"/>
  <c r="AM127"/>
  <c r="AM152"/>
  <c r="AM173"/>
  <c r="AF169"/>
  <c r="AI175"/>
  <c r="AF62"/>
  <c r="AJ72"/>
  <c r="AH34"/>
  <c r="AL39"/>
  <c r="AF41"/>
  <c r="AH42"/>
  <c r="AJ118"/>
  <c r="AI119"/>
  <c r="AE123"/>
  <c r="AD133"/>
  <c r="AL133"/>
  <c r="AK134"/>
  <c r="AD9"/>
  <c r="AL9"/>
  <c r="AK61"/>
  <c r="AJ109"/>
  <c r="AF10"/>
  <c r="AE11"/>
  <c r="AD12"/>
  <c r="AL12"/>
  <c r="AK13"/>
  <c r="AK14"/>
  <c r="AJ15"/>
  <c r="AI16"/>
  <c r="AH17"/>
  <c r="AG18"/>
  <c r="AF19"/>
  <c r="AE20"/>
  <c r="AD21"/>
  <c r="AL21"/>
  <c r="AK22"/>
  <c r="AJ23"/>
  <c r="AI24"/>
  <c r="AH25"/>
  <c r="AG26"/>
  <c r="AF27"/>
  <c r="AE28"/>
  <c r="AD29"/>
  <c r="AL29"/>
  <c r="AK30"/>
  <c r="AJ31"/>
  <c r="AI32"/>
  <c r="AH33"/>
  <c r="AG35"/>
  <c r="AF36"/>
  <c r="AE37"/>
  <c r="AD38"/>
  <c r="AL38"/>
  <c r="AK44"/>
  <c r="AJ45"/>
  <c r="AI47"/>
  <c r="AH48"/>
  <c r="AG49"/>
  <c r="AF50"/>
  <c r="AE51"/>
  <c r="AD52"/>
  <c r="AL52"/>
  <c r="AK53"/>
  <c r="AJ54"/>
  <c r="AI55"/>
  <c r="AH56"/>
  <c r="AG57"/>
  <c r="AE58"/>
  <c r="AI58"/>
  <c r="AD59"/>
  <c r="AH59"/>
  <c r="AL59"/>
  <c r="AG60"/>
  <c r="AK60"/>
  <c r="AE63"/>
  <c r="AI63"/>
  <c r="AD64"/>
  <c r="AH64"/>
  <c r="AL64"/>
  <c r="AG65"/>
  <c r="AK65"/>
  <c r="AF66"/>
  <c r="AJ66"/>
  <c r="AE67"/>
  <c r="AI67"/>
  <c r="AD68"/>
  <c r="AH68"/>
  <c r="AL68"/>
  <c r="AG69"/>
  <c r="AK69"/>
  <c r="AF70"/>
  <c r="AJ70"/>
  <c r="AE75"/>
  <c r="AI75"/>
  <c r="AD76"/>
  <c r="AH76"/>
  <c r="AL76"/>
  <c r="AG77"/>
  <c r="AK77"/>
  <c r="AF78"/>
  <c r="AJ78"/>
  <c r="AE79"/>
  <c r="AI79"/>
  <c r="AD80"/>
  <c r="AH80"/>
  <c r="AL80"/>
  <c r="AG81"/>
  <c r="AK81"/>
  <c r="AF82"/>
  <c r="AJ82"/>
  <c r="AE83"/>
  <c r="AI83"/>
  <c r="AD84"/>
  <c r="AH84"/>
  <c r="AL84"/>
  <c r="AG85"/>
  <c r="AK85"/>
  <c r="AF86"/>
  <c r="AJ86"/>
  <c r="AE87"/>
  <c r="AI87"/>
  <c r="AD88"/>
  <c r="AH88"/>
  <c r="AL88"/>
  <c r="AG89"/>
  <c r="AK89"/>
  <c r="AF90"/>
  <c r="AJ90"/>
  <c r="AE91"/>
  <c r="AG126"/>
  <c r="AO36"/>
  <c r="AP143"/>
  <c r="AP178"/>
  <c r="AN147"/>
  <c r="AO109"/>
  <c r="AP83"/>
  <c r="AO64"/>
  <c r="AN53"/>
  <c r="AP30"/>
  <c r="AO19"/>
  <c r="AM12"/>
  <c r="AM44"/>
  <c r="AM72"/>
  <c r="AM94"/>
  <c r="AM115"/>
  <c r="AM141"/>
  <c r="AM163"/>
  <c r="AI177"/>
  <c r="AG174"/>
  <c r="AK176"/>
  <c r="AH71"/>
  <c r="AK73"/>
  <c r="AE39"/>
  <c r="AJ40"/>
  <c r="AK41"/>
  <c r="AF118"/>
  <c r="AE119"/>
  <c r="AI123"/>
  <c r="AH133"/>
  <c r="AG134"/>
  <c r="AH9"/>
  <c r="AG61"/>
  <c r="AF109"/>
  <c r="AO9"/>
  <c r="AJ10"/>
  <c r="AI11"/>
  <c r="AH12"/>
  <c r="AG13"/>
  <c r="AG14"/>
  <c r="AF15"/>
  <c r="AE16"/>
  <c r="AD17"/>
  <c r="AL17"/>
  <c r="AK18"/>
  <c r="AJ19"/>
  <c r="AI20"/>
  <c r="AH21"/>
  <c r="AG22"/>
  <c r="AF23"/>
  <c r="AE24"/>
  <c r="AD25"/>
  <c r="AL25"/>
  <c r="AK26"/>
  <c r="AJ27"/>
  <c r="AI28"/>
  <c r="AH29"/>
  <c r="AG30"/>
  <c r="AF31"/>
  <c r="AE32"/>
  <c r="AD33"/>
  <c r="AL33"/>
  <c r="AK35"/>
  <c r="AJ36"/>
  <c r="AI37"/>
  <c r="AH38"/>
  <c r="AG44"/>
  <c r="AF45"/>
  <c r="AE47"/>
  <c r="AD48"/>
  <c r="AL48"/>
  <c r="AK49"/>
  <c r="AJ50"/>
  <c r="AI51"/>
  <c r="AH52"/>
  <c r="AG53"/>
  <c r="AF54"/>
  <c r="AE55"/>
  <c r="AD56"/>
  <c r="AL56"/>
  <c r="AK57"/>
  <c r="AG58"/>
  <c r="AK58"/>
  <c r="AF59"/>
  <c r="AJ59"/>
  <c r="AE60"/>
  <c r="AI60"/>
  <c r="AG63"/>
  <c r="AK63"/>
  <c r="AF64"/>
  <c r="AJ64"/>
  <c r="AE65"/>
  <c r="AI65"/>
  <c r="AD66"/>
  <c r="AH66"/>
  <c r="AL66"/>
  <c r="AG67"/>
  <c r="AK67"/>
  <c r="AF68"/>
  <c r="AJ68"/>
  <c r="AE69"/>
  <c r="AI69"/>
  <c r="AD70"/>
  <c r="AH70"/>
  <c r="AL70"/>
  <c r="AG75"/>
  <c r="AK75"/>
  <c r="AF76"/>
  <c r="AJ76"/>
  <c r="AE77"/>
  <c r="AI77"/>
  <c r="AD78"/>
  <c r="AH78"/>
  <c r="AL78"/>
  <c r="AG79"/>
  <c r="AK79"/>
  <c r="AF80"/>
  <c r="AJ80"/>
  <c r="AE81"/>
  <c r="AI81"/>
  <c r="AD82"/>
  <c r="AH82"/>
  <c r="AL82"/>
  <c r="AG83"/>
  <c r="AK83"/>
  <c r="AF84"/>
  <c r="AJ84"/>
  <c r="AE85"/>
  <c r="AI85"/>
  <c r="AD86"/>
  <c r="AH86"/>
  <c r="AL86"/>
  <c r="AG87"/>
  <c r="AK87"/>
  <c r="AF88"/>
  <c r="AJ88"/>
  <c r="AE89"/>
  <c r="AI89"/>
  <c r="AD90"/>
  <c r="AH90"/>
  <c r="AL90"/>
  <c r="AG91"/>
  <c r="AK91"/>
  <c r="AF92"/>
  <c r="AJ92"/>
  <c r="AE93"/>
  <c r="AI93"/>
  <c r="AD94"/>
  <c r="AH94"/>
  <c r="AL94"/>
  <c r="AG95"/>
  <c r="AK95"/>
  <c r="AF97"/>
  <c r="AJ97"/>
  <c r="AE98"/>
  <c r="AI98"/>
  <c r="AD99"/>
  <c r="AH99"/>
  <c r="AL99"/>
  <c r="AG100"/>
  <c r="AK100"/>
  <c r="AF101"/>
  <c r="AJ101"/>
  <c r="AE102"/>
  <c r="AP112"/>
  <c r="AN65"/>
  <c r="AO31"/>
  <c r="AP10"/>
  <c r="AM70"/>
  <c r="AM112"/>
  <c r="AM160"/>
  <c r="AE174"/>
  <c r="AK71"/>
  <c r="AK39"/>
  <c r="AF42"/>
  <c r="AF119"/>
  <c r="AI133"/>
  <c r="AG9"/>
  <c r="AE109"/>
  <c r="AI10"/>
  <c r="AG12"/>
  <c r="AF14"/>
  <c r="AD16"/>
  <c r="AK17"/>
  <c r="AI19"/>
  <c r="AG21"/>
  <c r="AE23"/>
  <c r="AL24"/>
  <c r="AJ26"/>
  <c r="AH28"/>
  <c r="AF30"/>
  <c r="AD32"/>
  <c r="AK33"/>
  <c r="AI36"/>
  <c r="AG38"/>
  <c r="AE45"/>
  <c r="AL47"/>
  <c r="AJ49"/>
  <c r="AH51"/>
  <c r="AF53"/>
  <c r="AD55"/>
  <c r="AK56"/>
  <c r="AF58"/>
  <c r="AE59"/>
  <c r="AD60"/>
  <c r="AL60"/>
  <c r="AH63"/>
  <c r="AG64"/>
  <c r="AF65"/>
  <c r="AE66"/>
  <c r="AD67"/>
  <c r="AL67"/>
  <c r="AK68"/>
  <c r="AJ69"/>
  <c r="AI70"/>
  <c r="AH75"/>
  <c r="AG76"/>
  <c r="AF77"/>
  <c r="AE78"/>
  <c r="AD79"/>
  <c r="AL79"/>
  <c r="AK80"/>
  <c r="AJ81"/>
  <c r="AI82"/>
  <c r="AH83"/>
  <c r="AG84"/>
  <c r="AF85"/>
  <c r="AE86"/>
  <c r="AD87"/>
  <c r="AL87"/>
  <c r="AK88"/>
  <c r="AJ89"/>
  <c r="AI90"/>
  <c r="AH91"/>
  <c r="AD92"/>
  <c r="AI92"/>
  <c r="AF93"/>
  <c r="AK93"/>
  <c r="AG94"/>
  <c r="AD95"/>
  <c r="AI95"/>
  <c r="AE97"/>
  <c r="AK97"/>
  <c r="AG98"/>
  <c r="AL98"/>
  <c r="AI99"/>
  <c r="AE100"/>
  <c r="AJ100"/>
  <c r="AG101"/>
  <c r="AL101"/>
  <c r="AH102"/>
  <c r="AL102"/>
  <c r="AG103"/>
  <c r="AK103"/>
  <c r="AF104"/>
  <c r="AJ104"/>
  <c r="AE105"/>
  <c r="AI105"/>
  <c r="AD106"/>
  <c r="AH106"/>
  <c r="AL106"/>
  <c r="AG107"/>
  <c r="AK107"/>
  <c r="AF108"/>
  <c r="AJ108"/>
  <c r="AF111"/>
  <c r="AJ111"/>
  <c r="AD112"/>
  <c r="AH112"/>
  <c r="AL112"/>
  <c r="AG113"/>
  <c r="AK113"/>
  <c r="AF114"/>
  <c r="AJ114"/>
  <c r="AG117"/>
  <c r="AK117"/>
  <c r="AF140"/>
  <c r="AJ140"/>
  <c r="AE159"/>
  <c r="AI159"/>
  <c r="AD124"/>
  <c r="AH124"/>
  <c r="AL124"/>
  <c r="AG125"/>
  <c r="AK125"/>
  <c r="AF132"/>
  <c r="AJ132"/>
  <c r="AF141"/>
  <c r="AJ141"/>
  <c r="AE142"/>
  <c r="AI142"/>
  <c r="AD143"/>
  <c r="AH143"/>
  <c r="AL143"/>
  <c r="AG144"/>
  <c r="AK144"/>
  <c r="AF145"/>
  <c r="AJ145"/>
  <c r="AE146"/>
  <c r="AI146"/>
  <c r="AD147"/>
  <c r="AH147"/>
  <c r="AL147"/>
  <c r="AG148"/>
  <c r="AK148"/>
  <c r="AF149"/>
  <c r="AJ149"/>
  <c r="AE150"/>
  <c r="AI150"/>
  <c r="AD151"/>
  <c r="AH151"/>
  <c r="AL151"/>
  <c r="AG152"/>
  <c r="AK152"/>
  <c r="AE153"/>
  <c r="AI153"/>
  <c r="AD154"/>
  <c r="AH154"/>
  <c r="AL154"/>
  <c r="AG155"/>
  <c r="AK155"/>
  <c r="AF156"/>
  <c r="AJ156"/>
  <c r="AE157"/>
  <c r="AI157"/>
  <c r="AD158"/>
  <c r="AH158"/>
  <c r="AL158"/>
  <c r="AE160"/>
  <c r="AI160"/>
  <c r="AD161"/>
  <c r="AO34"/>
  <c r="AO150"/>
  <c r="AN90"/>
  <c r="AP55"/>
  <c r="AN20"/>
  <c r="AM40"/>
  <c r="AM91"/>
  <c r="AL177"/>
  <c r="AH176"/>
  <c r="AE74"/>
  <c r="AE34"/>
  <c r="AE41"/>
  <c r="AG118"/>
  <c r="AJ123"/>
  <c r="AH134"/>
  <c r="AF61"/>
  <c r="AN9"/>
  <c r="AH11"/>
  <c r="AF13"/>
  <c r="AE15"/>
  <c r="AL16"/>
  <c r="AJ18"/>
  <c r="AH20"/>
  <c r="AF22"/>
  <c r="AD24"/>
  <c r="AK25"/>
  <c r="AI27"/>
  <c r="AG29"/>
  <c r="AE31"/>
  <c r="AL32"/>
  <c r="AJ35"/>
  <c r="AH37"/>
  <c r="AF44"/>
  <c r="AD47"/>
  <c r="AK48"/>
  <c r="AI50"/>
  <c r="AG52"/>
  <c r="AE54"/>
  <c r="AL55"/>
  <c r="AJ57"/>
  <c r="AJ58"/>
  <c r="AI59"/>
  <c r="AH60"/>
  <c r="AD63"/>
  <c r="AL63"/>
  <c r="AK64"/>
  <c r="AJ65"/>
  <c r="AI66"/>
  <c r="AH67"/>
  <c r="AG68"/>
  <c r="AF69"/>
  <c r="AE70"/>
  <c r="AD75"/>
  <c r="AL75"/>
  <c r="AK76"/>
  <c r="AJ77"/>
  <c r="AI78"/>
  <c r="AH79"/>
  <c r="AG80"/>
  <c r="AF81"/>
  <c r="AE82"/>
  <c r="AD83"/>
  <c r="AL83"/>
  <c r="AK84"/>
  <c r="AJ85"/>
  <c r="AI86"/>
  <c r="AH87"/>
  <c r="AG88"/>
  <c r="AF89"/>
  <c r="AE90"/>
  <c r="AD91"/>
  <c r="AJ91"/>
  <c r="AG92"/>
  <c r="AL92"/>
  <c r="AH93"/>
  <c r="AE94"/>
  <c r="AJ94"/>
  <c r="AF95"/>
  <c r="AL95"/>
  <c r="AH97"/>
  <c r="AD98"/>
  <c r="AJ98"/>
  <c r="AF99"/>
  <c r="AK99"/>
  <c r="AH100"/>
  <c r="AD101"/>
  <c r="AI101"/>
  <c r="AF102"/>
  <c r="AJ102"/>
  <c r="AE103"/>
  <c r="AI103"/>
  <c r="AD104"/>
  <c r="AH104"/>
  <c r="AL104"/>
  <c r="AG105"/>
  <c r="AK105"/>
  <c r="AF106"/>
  <c r="AJ106"/>
  <c r="AE107"/>
  <c r="AI107"/>
  <c r="AD108"/>
  <c r="AH108"/>
  <c r="AL108"/>
  <c r="AD111"/>
  <c r="AH111"/>
  <c r="AL111"/>
  <c r="AF112"/>
  <c r="AJ112"/>
  <c r="AE113"/>
  <c r="AI113"/>
  <c r="AD114"/>
  <c r="AH114"/>
  <c r="AL114"/>
  <c r="AE117"/>
  <c r="AI117"/>
  <c r="AD140"/>
  <c r="AH140"/>
  <c r="AL140"/>
  <c r="AG159"/>
  <c r="AK159"/>
  <c r="AF124"/>
  <c r="AJ124"/>
  <c r="AE125"/>
  <c r="AI125"/>
  <c r="AD132"/>
  <c r="AH132"/>
  <c r="AL132"/>
  <c r="AD141"/>
  <c r="AH141"/>
  <c r="AL141"/>
  <c r="AG142"/>
  <c r="AK142"/>
  <c r="AF143"/>
  <c r="AJ143"/>
  <c r="AE144"/>
  <c r="AI144"/>
  <c r="AD145"/>
  <c r="AH145"/>
  <c r="AL145"/>
  <c r="AG146"/>
  <c r="AK146"/>
  <c r="AF147"/>
  <c r="AJ147"/>
  <c r="AE148"/>
  <c r="AI148"/>
  <c r="AD149"/>
  <c r="AH149"/>
  <c r="AL149"/>
  <c r="AG150"/>
  <c r="AK150"/>
  <c r="AF151"/>
  <c r="AJ151"/>
  <c r="AE152"/>
  <c r="AI152"/>
  <c r="AG153"/>
  <c r="AK153"/>
  <c r="AF154"/>
  <c r="AJ154"/>
  <c r="AE155"/>
  <c r="AI155"/>
  <c r="AD156"/>
  <c r="AH156"/>
  <c r="AL156"/>
  <c r="AG157"/>
  <c r="AK157"/>
  <c r="AF158"/>
  <c r="AJ158"/>
  <c r="AP161"/>
  <c r="AO60"/>
  <c r="AM24"/>
  <c r="AM123"/>
  <c r="AF175"/>
  <c r="AJ41"/>
  <c r="AE133"/>
  <c r="AI109"/>
  <c r="AK12"/>
  <c r="AH16"/>
  <c r="AD20"/>
  <c r="AI23"/>
  <c r="AE27"/>
  <c r="AJ30"/>
  <c r="AF35"/>
  <c r="AK38"/>
  <c r="AG48"/>
  <c r="AL51"/>
  <c r="AH55"/>
  <c r="AH58"/>
  <c r="AF60"/>
  <c r="AJ63"/>
  <c r="AH65"/>
  <c r="AF67"/>
  <c r="AD69"/>
  <c r="AK70"/>
  <c r="AI76"/>
  <c r="AG78"/>
  <c r="AE80"/>
  <c r="AL81"/>
  <c r="AJ83"/>
  <c r="AH85"/>
  <c r="AF87"/>
  <c r="AD89"/>
  <c r="AK90"/>
  <c r="AE92"/>
  <c r="AG93"/>
  <c r="AI94"/>
  <c r="AJ95"/>
  <c r="AL97"/>
  <c r="AE99"/>
  <c r="AF100"/>
  <c r="AH101"/>
  <c r="AI102"/>
  <c r="AH103"/>
  <c r="AG104"/>
  <c r="AF105"/>
  <c r="AE106"/>
  <c r="AD107"/>
  <c r="AL107"/>
  <c r="AK108"/>
  <c r="AE111"/>
  <c r="AK112"/>
  <c r="AJ113"/>
  <c r="AI114"/>
  <c r="AD117"/>
  <c r="AL117"/>
  <c r="AK140"/>
  <c r="AJ159"/>
  <c r="AI124"/>
  <c r="AH125"/>
  <c r="AG132"/>
  <c r="AI141"/>
  <c r="AH142"/>
  <c r="AG143"/>
  <c r="AF144"/>
  <c r="AE145"/>
  <c r="AD146"/>
  <c r="AL146"/>
  <c r="AK147"/>
  <c r="AJ148"/>
  <c r="AI149"/>
  <c r="AH150"/>
  <c r="AG151"/>
  <c r="AF152"/>
  <c r="AJ153"/>
  <c r="AI154"/>
  <c r="AH155"/>
  <c r="AG156"/>
  <c r="AF157"/>
  <c r="AE158"/>
  <c r="AG160"/>
  <c r="AL160"/>
  <c r="AH161"/>
  <c r="AL161"/>
  <c r="AG162"/>
  <c r="AK162"/>
  <c r="AF163"/>
  <c r="AJ163"/>
  <c r="AE164"/>
  <c r="AI164"/>
  <c r="AD165"/>
  <c r="AH165"/>
  <c r="AL165"/>
  <c r="AG166"/>
  <c r="AK166"/>
  <c r="AF167"/>
  <c r="AJ167"/>
  <c r="AE168"/>
  <c r="AI168"/>
  <c r="AD170"/>
  <c r="AH170"/>
  <c r="AL170"/>
  <c r="AG171"/>
  <c r="AK171"/>
  <c r="AF172"/>
  <c r="AJ172"/>
  <c r="AE173"/>
  <c r="AI173"/>
  <c r="AD178"/>
  <c r="AH178"/>
  <c r="AL178"/>
  <c r="AG179"/>
  <c r="AK179"/>
  <c r="AF180"/>
  <c r="AJ180"/>
  <c r="AA9"/>
  <c r="B9" s="1"/>
  <c r="AA10"/>
  <c r="B10" s="1"/>
  <c r="AA11"/>
  <c r="B11" s="1"/>
  <c r="AC12"/>
  <c r="C12" s="1"/>
  <c r="AB15"/>
  <c r="AA17"/>
  <c r="B17" s="1"/>
  <c r="AA18"/>
  <c r="B18" s="1"/>
  <c r="AA19"/>
  <c r="B19" s="1"/>
  <c r="AC20"/>
  <c r="C20" s="1"/>
  <c r="AB23"/>
  <c r="AA25"/>
  <c r="B25" s="1"/>
  <c r="AA26"/>
  <c r="B26" s="1"/>
  <c r="AA27"/>
  <c r="B27" s="1"/>
  <c r="AC29"/>
  <c r="C29" s="1"/>
  <c r="AB30"/>
  <c r="AB31"/>
  <c r="AA33"/>
  <c r="B33" s="1"/>
  <c r="AC36"/>
  <c r="C36" s="1"/>
  <c r="AB37"/>
  <c r="AB38"/>
  <c r="AB39"/>
  <c r="AA41"/>
  <c r="B41" s="1"/>
  <c r="AA44"/>
  <c r="B44" s="1"/>
  <c r="AC45"/>
  <c r="C45" s="1"/>
  <c r="AC47"/>
  <c r="C47" s="1"/>
  <c r="AC48"/>
  <c r="C48" s="1"/>
  <c r="AB49"/>
  <c r="AB50"/>
  <c r="AB51"/>
  <c r="AA53"/>
  <c r="B53" s="1"/>
  <c r="AC54"/>
  <c r="C54" s="1"/>
  <c r="AC55"/>
  <c r="C55" s="1"/>
  <c r="AC56"/>
  <c r="C56" s="1"/>
  <c r="AB57"/>
  <c r="AB58"/>
  <c r="AB59"/>
  <c r="AA61"/>
  <c r="B61" s="1"/>
  <c r="AA62"/>
  <c r="B62" s="1"/>
  <c r="AA63"/>
  <c r="B63" s="1"/>
  <c r="AA64"/>
  <c r="B64" s="1"/>
  <c r="AA65"/>
  <c r="B65" s="1"/>
  <c r="AA66"/>
  <c r="B66" s="1"/>
  <c r="AA67"/>
  <c r="B67" s="1"/>
  <c r="AA68"/>
  <c r="B68" s="1"/>
  <c r="AA69"/>
  <c r="B69" s="1"/>
  <c r="AA70"/>
  <c r="B70" s="1"/>
  <c r="AA71"/>
  <c r="B71" s="1"/>
  <c r="AA72"/>
  <c r="B72" s="1"/>
  <c r="AA73"/>
  <c r="B73" s="1"/>
  <c r="AA74"/>
  <c r="B74" s="1"/>
  <c r="AA75"/>
  <c r="B75" s="1"/>
  <c r="AA76"/>
  <c r="B76" s="1"/>
  <c r="AA77"/>
  <c r="B77" s="1"/>
  <c r="AA78"/>
  <c r="B78" s="1"/>
  <c r="AA79"/>
  <c r="B79" s="1"/>
  <c r="AA80"/>
  <c r="B80" s="1"/>
  <c r="AA81"/>
  <c r="B81" s="1"/>
  <c r="AA82"/>
  <c r="B82" s="1"/>
  <c r="AA83"/>
  <c r="B83" s="1"/>
  <c r="AA84"/>
  <c r="B84" s="1"/>
  <c r="AC85"/>
  <c r="C85" s="1"/>
  <c r="AC86"/>
  <c r="C86" s="1"/>
  <c r="AC87"/>
  <c r="C87" s="1"/>
  <c r="AB88"/>
  <c r="AB89"/>
  <c r="AB90"/>
  <c r="AA92"/>
  <c r="B92" s="1"/>
  <c r="AC93"/>
  <c r="C93" s="1"/>
  <c r="AC94"/>
  <c r="C94" s="1"/>
  <c r="AC95"/>
  <c r="C95" s="1"/>
  <c r="AE96"/>
  <c r="AI96"/>
  <c r="AB96"/>
  <c r="AB97"/>
  <c r="AA99"/>
  <c r="B99" s="1"/>
  <c r="AC102"/>
  <c r="C102" s="1"/>
  <c r="AC103"/>
  <c r="C103" s="1"/>
  <c r="AC104"/>
  <c r="C104" s="1"/>
  <c r="AB105"/>
  <c r="AA107"/>
  <c r="B107" s="1"/>
  <c r="AA108"/>
  <c r="B108" s="1"/>
  <c r="AA109"/>
  <c r="B109" s="1"/>
  <c r="AC110"/>
  <c r="C110" s="1"/>
  <c r="AF110"/>
  <c r="AJ110"/>
  <c r="AA111"/>
  <c r="B111" s="1"/>
  <c r="AA112"/>
  <c r="B112" s="1"/>
  <c r="AA113"/>
  <c r="B113" s="1"/>
  <c r="AA114"/>
  <c r="B114" s="1"/>
  <c r="AF115"/>
  <c r="AJ115"/>
  <c r="AA116"/>
  <c r="B116" s="1"/>
  <c r="AG116"/>
  <c r="AK116"/>
  <c r="C118"/>
  <c r="C119"/>
  <c r="AA123"/>
  <c r="B123" s="1"/>
  <c r="AA124"/>
  <c r="B124" s="1"/>
  <c r="C126"/>
  <c r="C127"/>
  <c r="AA131"/>
  <c r="B131" s="1"/>
  <c r="AA132"/>
  <c r="B132" s="1"/>
  <c r="C133"/>
  <c r="C134"/>
  <c r="AB140"/>
  <c r="AB141"/>
  <c r="AA143"/>
  <c r="B143" s="1"/>
  <c r="AA144"/>
  <c r="B144" s="1"/>
  <c r="AC145"/>
  <c r="C145" s="1"/>
  <c r="AC146"/>
  <c r="C146" s="1"/>
  <c r="AB148"/>
  <c r="AB149"/>
  <c r="AA151"/>
  <c r="B151" s="1"/>
  <c r="AA152"/>
  <c r="B152" s="1"/>
  <c r="AC153"/>
  <c r="C153" s="1"/>
  <c r="AC154"/>
  <c r="C154" s="1"/>
  <c r="AB155"/>
  <c r="AB156"/>
  <c r="AA158"/>
  <c r="B158" s="1"/>
  <c r="AA159"/>
  <c r="B159" s="1"/>
  <c r="AC160"/>
  <c r="C160" s="1"/>
  <c r="AC161"/>
  <c r="C161" s="1"/>
  <c r="AC162"/>
  <c r="C162" s="1"/>
  <c r="AB163"/>
  <c r="AA165"/>
  <c r="B165" s="1"/>
  <c r="AA166"/>
  <c r="B166" s="1"/>
  <c r="AC168"/>
  <c r="C168" s="1"/>
  <c r="AC169"/>
  <c r="C169" s="1"/>
  <c r="AB170"/>
  <c r="AB171"/>
  <c r="AA173"/>
  <c r="B173" s="1"/>
  <c r="AA174"/>
  <c r="B174" s="1"/>
  <c r="AC176"/>
  <c r="C176" s="1"/>
  <c r="AC178"/>
  <c r="C178" s="1"/>
  <c r="AB179"/>
  <c r="AB180"/>
  <c r="AN42"/>
  <c r="AP26"/>
  <c r="AM80"/>
  <c r="AD39"/>
  <c r="AD11"/>
  <c r="AF18"/>
  <c r="AG25"/>
  <c r="AH32"/>
  <c r="AI45"/>
  <c r="AJ53"/>
  <c r="AG59"/>
  <c r="AG66"/>
  <c r="AL69"/>
  <c r="AH77"/>
  <c r="AF79"/>
  <c r="AK82"/>
  <c r="AG86"/>
  <c r="AL89"/>
  <c r="AK92"/>
  <c r="AE95"/>
  <c r="AH98"/>
  <c r="AL100"/>
  <c r="AD103"/>
  <c r="AK104"/>
  <c r="AI106"/>
  <c r="AG108"/>
  <c r="AI111"/>
  <c r="AF113"/>
  <c r="AG140"/>
  <c r="AE124"/>
  <c r="AL125"/>
  <c r="AD142"/>
  <c r="AK143"/>
  <c r="AI145"/>
  <c r="AG147"/>
  <c r="AE149"/>
  <c r="AL150"/>
  <c r="AJ152"/>
  <c r="AE154"/>
  <c r="AL155"/>
  <c r="AJ157"/>
  <c r="AD160"/>
  <c r="AJ160"/>
  <c r="AJ161"/>
  <c r="AI162"/>
  <c r="AH163"/>
  <c r="AG164"/>
  <c r="AF165"/>
  <c r="AE166"/>
  <c r="AD167"/>
  <c r="AL167"/>
  <c r="AK168"/>
  <c r="AJ170"/>
  <c r="AI171"/>
  <c r="AH172"/>
  <c r="AG173"/>
  <c r="AF178"/>
  <c r="AE179"/>
  <c r="AD180"/>
  <c r="AL180"/>
  <c r="AA15"/>
  <c r="B15" s="1"/>
  <c r="AB19"/>
  <c r="AN122"/>
  <c r="AN49"/>
  <c r="AM56"/>
  <c r="AM149"/>
  <c r="AI62"/>
  <c r="AL42"/>
  <c r="AD134"/>
  <c r="AE10"/>
  <c r="AJ13"/>
  <c r="AG17"/>
  <c r="AL20"/>
  <c r="AH24"/>
  <c r="AD28"/>
  <c r="AI31"/>
  <c r="AE36"/>
  <c r="AJ44"/>
  <c r="AF49"/>
  <c r="AK52"/>
  <c r="AG56"/>
  <c r="AL58"/>
  <c r="AJ60"/>
  <c r="AE64"/>
  <c r="AL65"/>
  <c r="AJ67"/>
  <c r="AH69"/>
  <c r="AF75"/>
  <c r="AD77"/>
  <c r="AK78"/>
  <c r="AI80"/>
  <c r="AG82"/>
  <c r="AE84"/>
  <c r="AL85"/>
  <c r="AJ87"/>
  <c r="AH89"/>
  <c r="AF91"/>
  <c r="AH92"/>
  <c r="AJ93"/>
  <c r="AK94"/>
  <c r="AD97"/>
  <c r="AF98"/>
  <c r="AG99"/>
  <c r="AI100"/>
  <c r="AK101"/>
  <c r="AK102"/>
  <c r="AJ103"/>
  <c r="AI104"/>
  <c r="AH105"/>
  <c r="AG106"/>
  <c r="AF107"/>
  <c r="AE108"/>
  <c r="AG111"/>
  <c r="AE112"/>
  <c r="AD113"/>
  <c r="AL113"/>
  <c r="AK114"/>
  <c r="AF117"/>
  <c r="AE140"/>
  <c r="AD159"/>
  <c r="AL159"/>
  <c r="AK124"/>
  <c r="AJ125"/>
  <c r="AI132"/>
  <c r="AK141"/>
  <c r="AJ142"/>
  <c r="AI143"/>
  <c r="AH144"/>
  <c r="AG145"/>
  <c r="AF146"/>
  <c r="AE147"/>
  <c r="AD148"/>
  <c r="AL148"/>
  <c r="AK149"/>
  <c r="AJ150"/>
  <c r="AI151"/>
  <c r="AH152"/>
  <c r="AD153"/>
  <c r="AL153"/>
  <c r="AK154"/>
  <c r="AJ155"/>
  <c r="AI156"/>
  <c r="AH157"/>
  <c r="AG158"/>
  <c r="AH160"/>
  <c r="AE161"/>
  <c r="AI161"/>
  <c r="AD162"/>
  <c r="AH162"/>
  <c r="AL162"/>
  <c r="AG163"/>
  <c r="AK163"/>
  <c r="AF164"/>
  <c r="AJ164"/>
  <c r="AE165"/>
  <c r="AI165"/>
  <c r="AD166"/>
  <c r="AH166"/>
  <c r="AL166"/>
  <c r="AG167"/>
  <c r="AK167"/>
  <c r="AF168"/>
  <c r="AJ168"/>
  <c r="AE170"/>
  <c r="AI170"/>
  <c r="AD171"/>
  <c r="AH171"/>
  <c r="AL171"/>
  <c r="AG172"/>
  <c r="AK172"/>
  <c r="AF173"/>
  <c r="AJ173"/>
  <c r="AE178"/>
  <c r="AI178"/>
  <c r="AD179"/>
  <c r="AH179"/>
  <c r="AL179"/>
  <c r="AG180"/>
  <c r="AK180"/>
  <c r="AC9"/>
  <c r="C9" s="1"/>
  <c r="AC10"/>
  <c r="C10" s="1"/>
  <c r="AC11"/>
  <c r="C11" s="1"/>
  <c r="AB12"/>
  <c r="AB13"/>
  <c r="AB14"/>
  <c r="AA16"/>
  <c r="B16" s="1"/>
  <c r="AC17"/>
  <c r="C17" s="1"/>
  <c r="AC18"/>
  <c r="C18" s="1"/>
  <c r="AC19"/>
  <c r="C19" s="1"/>
  <c r="AB20"/>
  <c r="AB21"/>
  <c r="AB22"/>
  <c r="AA24"/>
  <c r="B24" s="1"/>
  <c r="AC25"/>
  <c r="C25" s="1"/>
  <c r="AC26"/>
  <c r="C26" s="1"/>
  <c r="AC27"/>
  <c r="C27" s="1"/>
  <c r="AC28"/>
  <c r="C28" s="1"/>
  <c r="AB29"/>
  <c r="AA31"/>
  <c r="B31" s="1"/>
  <c r="AA32"/>
  <c r="B32" s="1"/>
  <c r="AC33"/>
  <c r="C33" s="1"/>
  <c r="AC34"/>
  <c r="C34" s="1"/>
  <c r="AC35"/>
  <c r="C35" s="1"/>
  <c r="AB36"/>
  <c r="AA38"/>
  <c r="B38" s="1"/>
  <c r="AA39"/>
  <c r="B39" s="1"/>
  <c r="AA40"/>
  <c r="B40" s="1"/>
  <c r="AC41"/>
  <c r="C41" s="1"/>
  <c r="AC44"/>
  <c r="C44" s="1"/>
  <c r="AB45"/>
  <c r="AB48"/>
  <c r="AA50"/>
  <c r="B50" s="1"/>
  <c r="AA51"/>
  <c r="B51" s="1"/>
  <c r="AA52"/>
  <c r="B52" s="1"/>
  <c r="AC53"/>
  <c r="C53" s="1"/>
  <c r="AB56"/>
  <c r="AA58"/>
  <c r="B58" s="1"/>
  <c r="AA59"/>
  <c r="B59" s="1"/>
  <c r="AA60"/>
  <c r="B60" s="1"/>
  <c r="AC61"/>
  <c r="C61" s="1"/>
  <c r="AC64"/>
  <c r="C64" s="1"/>
  <c r="AC65"/>
  <c r="C65" s="1"/>
  <c r="AC68"/>
  <c r="C68" s="1"/>
  <c r="AC69"/>
  <c r="C69" s="1"/>
  <c r="AC72"/>
  <c r="C72" s="1"/>
  <c r="AC73"/>
  <c r="C73" s="1"/>
  <c r="AC76"/>
  <c r="C76" s="1"/>
  <c r="AC77"/>
  <c r="C77" s="1"/>
  <c r="AC80"/>
  <c r="C80" s="1"/>
  <c r="AC81"/>
  <c r="C81" s="1"/>
  <c r="AC84"/>
  <c r="C84" s="1"/>
  <c r="AB87"/>
  <c r="AA89"/>
  <c r="B89" s="1"/>
  <c r="AA90"/>
  <c r="B90" s="1"/>
  <c r="AA91"/>
  <c r="B91" s="1"/>
  <c r="AC92"/>
  <c r="C92" s="1"/>
  <c r="AB95"/>
  <c r="AF96"/>
  <c r="AJ96"/>
  <c r="AA97"/>
  <c r="B97" s="1"/>
  <c r="AA98"/>
  <c r="B98" s="1"/>
  <c r="AC99"/>
  <c r="C99" s="1"/>
  <c r="AC100"/>
  <c r="C100" s="1"/>
  <c r="AC101"/>
  <c r="C101" s="1"/>
  <c r="AB102"/>
  <c r="AB103"/>
  <c r="AB104"/>
  <c r="AA106"/>
  <c r="B106" s="1"/>
  <c r="AC109"/>
  <c r="C109" s="1"/>
  <c r="AG110"/>
  <c r="AK110"/>
  <c r="AC114"/>
  <c r="C114" s="1"/>
  <c r="AC115"/>
  <c r="C115" s="1"/>
  <c r="AG115"/>
  <c r="AK115"/>
  <c r="AD116"/>
  <c r="AH116"/>
  <c r="AL116"/>
  <c r="AC117"/>
  <c r="C117" s="1"/>
  <c r="B121"/>
  <c r="AA122"/>
  <c r="B122" s="1"/>
  <c r="C124"/>
  <c r="C125"/>
  <c r="AA129"/>
  <c r="B129" s="1"/>
  <c r="AA130"/>
  <c r="B130" s="1"/>
  <c r="C132"/>
  <c r="AA141"/>
  <c r="B141" s="1"/>
  <c r="AA142"/>
  <c r="B142" s="1"/>
  <c r="AC143"/>
  <c r="C143" s="1"/>
  <c r="AC144"/>
  <c r="C144" s="1"/>
  <c r="AB146"/>
  <c r="AB147"/>
  <c r="AA149"/>
  <c r="B149" s="1"/>
  <c r="AA150"/>
  <c r="B150" s="1"/>
  <c r="AC151"/>
  <c r="C151" s="1"/>
  <c r="AC152"/>
  <c r="C152" s="1"/>
  <c r="AB154"/>
  <c r="AA156"/>
  <c r="B156" s="1"/>
  <c r="AA157"/>
  <c r="B157" s="1"/>
  <c r="AC158"/>
  <c r="C158" s="1"/>
  <c r="AC159"/>
  <c r="C159" s="1"/>
  <c r="AB162"/>
  <c r="AA164"/>
  <c r="B164" s="1"/>
  <c r="AC166"/>
  <c r="C166" s="1"/>
  <c r="AC167"/>
  <c r="C167" s="1"/>
  <c r="AB168"/>
  <c r="AB169"/>
  <c r="AA171"/>
  <c r="B171" s="1"/>
  <c r="AA172"/>
  <c r="B172" s="1"/>
  <c r="AC174"/>
  <c r="C174" s="1"/>
  <c r="AC175"/>
  <c r="C175" s="1"/>
  <c r="AB176"/>
  <c r="AB178"/>
  <c r="AA180"/>
  <c r="B180" s="1"/>
  <c r="AO101"/>
  <c r="AM171"/>
  <c r="AL72"/>
  <c r="AK118"/>
  <c r="AL134"/>
  <c r="AK9"/>
  <c r="AJ14"/>
  <c r="AK21"/>
  <c r="AL28"/>
  <c r="AD37"/>
  <c r="AE50"/>
  <c r="AF57"/>
  <c r="AI64"/>
  <c r="AE68"/>
  <c r="AJ75"/>
  <c r="AD81"/>
  <c r="AI84"/>
  <c r="AE88"/>
  <c r="AI91"/>
  <c r="AL93"/>
  <c r="AG97"/>
  <c r="AJ99"/>
  <c r="AD102"/>
  <c r="AL103"/>
  <c r="AJ105"/>
  <c r="AH107"/>
  <c r="AG112"/>
  <c r="AE114"/>
  <c r="AH117"/>
  <c r="AF159"/>
  <c r="AD125"/>
  <c r="AK132"/>
  <c r="AE141"/>
  <c r="AL142"/>
  <c r="AJ144"/>
  <c r="AH146"/>
  <c r="AF148"/>
  <c r="AD150"/>
  <c r="AK151"/>
  <c r="AF153"/>
  <c r="AD155"/>
  <c r="AK156"/>
  <c r="AI158"/>
  <c r="AF161"/>
  <c r="AE162"/>
  <c r="AD163"/>
  <c r="AL163"/>
  <c r="AK164"/>
  <c r="AJ165"/>
  <c r="AI166"/>
  <c r="AH167"/>
  <c r="AG168"/>
  <c r="AF170"/>
  <c r="AE171"/>
  <c r="AD172"/>
  <c r="AL172"/>
  <c r="AK173"/>
  <c r="AJ178"/>
  <c r="AI179"/>
  <c r="AH180"/>
  <c r="AB11"/>
  <c r="AA13"/>
  <c r="B13" s="1"/>
  <c r="AA14"/>
  <c r="B14" s="1"/>
  <c r="AC16"/>
  <c r="C16" s="1"/>
  <c r="AC180"/>
  <c r="C180" s="1"/>
  <c r="AA175"/>
  <c r="B175" s="1"/>
  <c r="AC170"/>
  <c r="C170" s="1"/>
  <c r="AB165"/>
  <c r="AA161"/>
  <c r="B161" s="1"/>
  <c r="AB158"/>
  <c r="AA154"/>
  <c r="B154" s="1"/>
  <c r="AB151"/>
  <c r="AC147"/>
  <c r="C147" s="1"/>
  <c r="AB142"/>
  <c r="B134"/>
  <c r="C129"/>
  <c r="AC111"/>
  <c r="C111" s="1"/>
  <c r="AB109"/>
  <c r="AA105"/>
  <c r="B105" s="1"/>
  <c r="AA103"/>
  <c r="B103" s="1"/>
  <c r="AB100"/>
  <c r="AC98"/>
  <c r="C98" s="1"/>
  <c r="AK96"/>
  <c r="AA96"/>
  <c r="B96" s="1"/>
  <c r="AC91"/>
  <c r="C91" s="1"/>
  <c r="AC78"/>
  <c r="C78" s="1"/>
  <c r="AC74"/>
  <c r="C74" s="1"/>
  <c r="AC66"/>
  <c r="C66" s="1"/>
  <c r="AC62"/>
  <c r="C62" s="1"/>
  <c r="AC58"/>
  <c r="C58" s="1"/>
  <c r="AB53"/>
  <c r="AA49"/>
  <c r="B49" s="1"/>
  <c r="AB41"/>
  <c r="AA37"/>
  <c r="B37" s="1"/>
  <c r="AC32"/>
  <c r="C32" s="1"/>
  <c r="AA21"/>
  <c r="B21" s="1"/>
  <c r="AA12"/>
  <c r="B12" s="1"/>
  <c r="AI180"/>
  <c r="AD173"/>
  <c r="AH168"/>
  <c r="AL164"/>
  <c r="AG161"/>
  <c r="AE156"/>
  <c r="AJ146"/>
  <c r="AG124"/>
  <c r="AI112"/>
  <c r="AF103"/>
  <c r="AD93"/>
  <c r="AJ79"/>
  <c r="AD51"/>
  <c r="AI15"/>
  <c r="AH40"/>
  <c r="AC179"/>
  <c r="C179" s="1"/>
  <c r="AA176"/>
  <c r="B176" s="1"/>
  <c r="AB173"/>
  <c r="AC171"/>
  <c r="C171" s="1"/>
  <c r="AA167"/>
  <c r="B167" s="1"/>
  <c r="AB164"/>
  <c r="AA162"/>
  <c r="B162" s="1"/>
  <c r="AA160"/>
  <c r="B160" s="1"/>
  <c r="AB157"/>
  <c r="AC155"/>
  <c r="C155" s="1"/>
  <c r="AA153"/>
  <c r="B153" s="1"/>
  <c r="AB150"/>
  <c r="AC148"/>
  <c r="C148" s="1"/>
  <c r="AA146"/>
  <c r="B146" s="1"/>
  <c r="AB143"/>
  <c r="AA133"/>
  <c r="B133" s="1"/>
  <c r="C128"/>
  <c r="AA126"/>
  <c r="B126" s="1"/>
  <c r="C121"/>
  <c r="AA117"/>
  <c r="B117" s="1"/>
  <c r="AF116"/>
  <c r="AC116"/>
  <c r="C116" s="1"/>
  <c r="AH115"/>
  <c r="AB114"/>
  <c r="AC112"/>
  <c r="C112" s="1"/>
  <c r="AL110"/>
  <c r="AD110"/>
  <c r="AC108"/>
  <c r="C108" s="1"/>
  <c r="AC106"/>
  <c r="C106" s="1"/>
  <c r="AA104"/>
  <c r="B104" s="1"/>
  <c r="AB101"/>
  <c r="AB99"/>
  <c r="AG96"/>
  <c r="AB94"/>
  <c r="AB92"/>
  <c r="AC90"/>
  <c r="C90" s="1"/>
  <c r="AA88"/>
  <c r="B88" s="1"/>
  <c r="AB85"/>
  <c r="AC83"/>
  <c r="C83" s="1"/>
  <c r="AC79"/>
  <c r="C79" s="1"/>
  <c r="AC75"/>
  <c r="C75" s="1"/>
  <c r="AC71"/>
  <c r="C71" s="1"/>
  <c r="AC67"/>
  <c r="C67" s="1"/>
  <c r="AC63"/>
  <c r="C63" s="1"/>
  <c r="AC59"/>
  <c r="C59" s="1"/>
  <c r="AA57"/>
  <c r="B57" s="1"/>
  <c r="AB54"/>
  <c r="AC52"/>
  <c r="C52" s="1"/>
  <c r="AC50"/>
  <c r="C50" s="1"/>
  <c r="AB47"/>
  <c r="AB44"/>
  <c r="AC40"/>
  <c r="C40" s="1"/>
  <c r="AB35"/>
  <c r="AB33"/>
  <c r="AB28"/>
  <c r="AC24"/>
  <c r="C24" s="1"/>
  <c r="AA22"/>
  <c r="B22" s="1"/>
  <c r="AB18"/>
  <c r="AC14"/>
  <c r="C14" s="1"/>
  <c r="AB9"/>
  <c r="AJ179"/>
  <c r="AL173"/>
  <c r="AE172"/>
  <c r="AG170"/>
  <c r="AI167"/>
  <c r="AK165"/>
  <c r="AD164"/>
  <c r="AF162"/>
  <c r="AF160"/>
  <c r="AL157"/>
  <c r="AG154"/>
  <c r="AD152"/>
  <c r="AH148"/>
  <c r="AL144"/>
  <c r="AG141"/>
  <c r="AE132"/>
  <c r="AI140"/>
  <c r="AG114"/>
  <c r="AK111"/>
  <c r="AI108"/>
  <c r="AD105"/>
  <c r="AE101"/>
  <c r="AH95"/>
  <c r="AG90"/>
  <c r="AF83"/>
  <c r="AE76"/>
  <c r="AD65"/>
  <c r="AD58"/>
  <c r="AL37"/>
  <c r="AJ22"/>
  <c r="AJ61"/>
  <c r="AF123"/>
  <c r="AO15"/>
  <c r="O96" i="8"/>
  <c r="X133" i="4"/>
  <c r="N96" i="8"/>
  <c r="N115"/>
  <c r="AN110"/>
  <c r="T110" s="1"/>
  <c r="L34" i="4"/>
  <c r="Q34" s="1"/>
  <c r="Y90"/>
  <c r="S90" i="22" s="1"/>
  <c r="O33" i="4"/>
  <c r="AL115" i="8"/>
  <c r="Y161" i="4"/>
  <c r="R39"/>
  <c r="R39" i="22" s="1"/>
  <c r="R33" i="4"/>
  <c r="S34"/>
  <c r="X34" s="1"/>
  <c r="S10"/>
  <c r="X10" s="1"/>
  <c r="X112"/>
  <c r="S96" i="8"/>
  <c r="R155" i="4"/>
  <c r="R155" i="22" s="1"/>
  <c r="AN111" i="8"/>
  <c r="T111" s="1"/>
  <c r="R58" i="4"/>
  <c r="R58" i="22" s="1"/>
  <c r="X39" i="4"/>
  <c r="M33"/>
  <c r="X79"/>
  <c r="Y79"/>
  <c r="S79" i="22" s="1"/>
  <c r="Q86" i="4"/>
  <c r="R86"/>
  <c r="R86" i="22" s="1"/>
  <c r="Y155" i="4"/>
  <c r="S155" i="22" s="1"/>
  <c r="Q98" i="4"/>
  <c r="K44" i="2"/>
  <c r="X71" i="4"/>
  <c r="Y71"/>
  <c r="S71" i="22" s="1"/>
  <c r="Y98" i="4"/>
  <c r="S98" i="22" s="1"/>
  <c r="S97" i="4"/>
  <c r="X98"/>
  <c r="Y178"/>
  <c r="S178" i="22" s="1"/>
  <c r="R174" i="4"/>
  <c r="R174" i="22" s="1"/>
  <c r="Q174" i="4"/>
  <c r="D65" i="12"/>
  <c r="X63" i="4"/>
  <c r="R14"/>
  <c r="R14" i="22" s="1"/>
  <c r="O115" i="8"/>
  <c r="AI115"/>
  <c r="Q161" i="4"/>
  <c r="R161"/>
  <c r="X146"/>
  <c r="Y146"/>
  <c r="M32"/>
  <c r="L20"/>
  <c r="O32"/>
  <c r="Q32"/>
  <c r="R32"/>
  <c r="R170"/>
  <c r="R170" i="22" s="1"/>
  <c r="X141" i="4"/>
  <c r="Y141"/>
  <c r="X86"/>
  <c r="Y86"/>
  <c r="S86" i="22" s="1"/>
  <c r="L97" i="4"/>
  <c r="R102"/>
  <c r="R102" i="22" s="1"/>
  <c r="Q102" i="4"/>
  <c r="Y21"/>
  <c r="S21" i="22" s="1"/>
  <c r="S20" i="4"/>
  <c r="X21"/>
  <c r="AA127" i="8"/>
  <c r="L127" i="47" s="1"/>
  <c r="Q170" i="4"/>
  <c r="L62"/>
  <c r="Q63"/>
  <c r="R63"/>
  <c r="R63" i="22" s="1"/>
  <c r="S47" i="4"/>
  <c r="X48"/>
  <c r="Y48"/>
  <c r="S48" i="22" s="1"/>
  <c r="Y14" i="4"/>
  <c r="S14" i="22" s="1"/>
  <c r="X14" i="4"/>
  <c r="Y170"/>
  <c r="S170" i="22" s="1"/>
  <c r="Q141" i="4"/>
  <c r="R141"/>
  <c r="S75"/>
  <c r="L75"/>
  <c r="Q79"/>
  <c r="R79"/>
  <c r="R79" i="22" s="1"/>
  <c r="L47" i="4"/>
  <c r="Q48"/>
  <c r="L10"/>
  <c r="Y32"/>
  <c r="X32"/>
  <c r="T32"/>
  <c r="R153"/>
  <c r="R90"/>
  <c r="R90" i="22" s="1"/>
  <c r="Y76" i="4"/>
  <c r="S76" i="22" s="1"/>
  <c r="S62" i="4"/>
  <c r="Y58"/>
  <c r="S58" i="22" s="1"/>
  <c r="X121" i="4"/>
  <c r="AB113" i="8"/>
  <c r="L113" i="22" s="1"/>
  <c r="AO111" i="8"/>
  <c r="U111" s="1"/>
  <c r="AA120"/>
  <c r="L120" i="47" s="1"/>
  <c r="AO110" i="8"/>
  <c r="AB125"/>
  <c r="L125" i="22" s="1"/>
  <c r="AP46"/>
  <c r="AO43"/>
  <c r="AL43"/>
  <c r="AJ43"/>
  <c r="AH43"/>
  <c r="AF43"/>
  <c r="AD43"/>
  <c r="AA43"/>
  <c r="B43" s="1"/>
  <c r="AP44"/>
  <c r="AN43"/>
  <c r="AK43"/>
  <c r="AI43"/>
  <c r="AG43"/>
  <c r="AE43"/>
  <c r="AC43"/>
  <c r="C43" s="1"/>
  <c r="AP43"/>
  <c r="AK46"/>
  <c r="AG46"/>
  <c r="AC46"/>
  <c r="C46" s="1"/>
  <c r="AA42"/>
  <c r="B42" s="1"/>
  <c r="AN46"/>
  <c r="AI46"/>
  <c r="AE46"/>
  <c r="AL46"/>
  <c r="AD46"/>
  <c r="AO46"/>
  <c r="AF46"/>
  <c r="AJ46"/>
  <c r="AI130"/>
  <c r="AH130"/>
  <c r="AL128"/>
  <c r="AK129"/>
  <c r="AG129"/>
  <c r="AF129"/>
  <c r="AE129"/>
  <c r="AD129"/>
  <c r="AH46"/>
  <c r="AI128"/>
  <c r="AH128"/>
  <c r="AL130"/>
  <c r="AK127"/>
  <c r="AK131"/>
  <c r="AG127"/>
  <c r="AG131"/>
  <c r="AF127"/>
  <c r="AF131"/>
  <c r="AE127"/>
  <c r="AE131"/>
  <c r="AD127"/>
  <c r="AD131"/>
  <c r="AI131"/>
  <c r="AH127"/>
  <c r="AL129"/>
  <c r="AK130"/>
  <c r="AF130"/>
  <c r="AD130"/>
  <c r="AH129"/>
  <c r="AL131"/>
  <c r="AG128"/>
  <c r="AE128"/>
  <c r="AJ127"/>
  <c r="AJ131"/>
  <c r="AA46"/>
  <c r="B46" s="1"/>
  <c r="AI127"/>
  <c r="AH131"/>
  <c r="AK128"/>
  <c r="AD128"/>
  <c r="AJ128"/>
  <c r="AI129"/>
  <c r="AL127"/>
  <c r="AE130"/>
  <c r="AJ129"/>
  <c r="AF128"/>
  <c r="V72" i="2"/>
  <c r="W52" s="1"/>
  <c r="O72"/>
  <c r="R124" i="4"/>
  <c r="AC51" i="66" l="1"/>
  <c r="AD51" s="1"/>
  <c r="Y48" i="63"/>
  <c r="Z48" s="1"/>
  <c r="AC52" i="66"/>
  <c r="AD52" s="1"/>
  <c r="Y49" i="63"/>
  <c r="Z49" s="1"/>
  <c r="J43" i="22"/>
  <c r="E44" s="1"/>
  <c r="AL44" i="4" s="1"/>
  <c r="Z66" i="2"/>
  <c r="F33" i="55"/>
  <c r="F33" i="58"/>
  <c r="Z68" i="2"/>
  <c r="F31" i="55"/>
  <c r="F31" i="58"/>
  <c r="F10"/>
  <c r="F10" i="55"/>
  <c r="Z59" i="2"/>
  <c r="F28" i="55"/>
  <c r="F28" i="58"/>
  <c r="Z62" i="2"/>
  <c r="F30" i="58"/>
  <c r="F30" i="55"/>
  <c r="Z52" i="2"/>
  <c r="F26" i="58"/>
  <c r="F26" i="55"/>
  <c r="Z61" i="2"/>
  <c r="F29" i="55"/>
  <c r="F29" i="58"/>
  <c r="U27" i="60"/>
  <c r="L27"/>
  <c r="O27"/>
  <c r="R27"/>
  <c r="Z65" i="2"/>
  <c r="F32" i="58"/>
  <c r="F32" i="55"/>
  <c r="Z54" i="2"/>
  <c r="F27" i="55"/>
  <c r="F27" i="58"/>
  <c r="L28" i="60"/>
  <c r="R28"/>
  <c r="O28"/>
  <c r="U28"/>
  <c r="I43" i="22"/>
  <c r="D44" s="1"/>
  <c r="AE44" i="4" s="1"/>
  <c r="R34"/>
  <c r="R30" i="60"/>
  <c r="O30"/>
  <c r="U30"/>
  <c r="L30"/>
  <c r="R29"/>
  <c r="L29"/>
  <c r="O29"/>
  <c r="U29"/>
  <c r="S66" i="2"/>
  <c r="F33" i="60"/>
  <c r="S52" i="2"/>
  <c r="F26" i="60"/>
  <c r="I40" i="59"/>
  <c r="AF118" i="8" s="1"/>
  <c r="E123" i="47"/>
  <c r="D122"/>
  <c r="D123"/>
  <c r="E130"/>
  <c r="E129"/>
  <c r="E127"/>
  <c r="E131"/>
  <c r="E128"/>
  <c r="Y34" i="4"/>
  <c r="Y10"/>
  <c r="S72" i="2"/>
  <c r="U7" i="47"/>
  <c r="P53" i="2"/>
  <c r="P57"/>
  <c r="P61"/>
  <c r="F13" i="60" s="1"/>
  <c r="P65" i="2"/>
  <c r="F16" i="60" s="1"/>
  <c r="P54" i="2"/>
  <c r="F11" i="60" s="1"/>
  <c r="P58" i="2"/>
  <c r="P62"/>
  <c r="F14" i="60" s="1"/>
  <c r="P66" i="2"/>
  <c r="F17" i="60" s="1"/>
  <c r="P55" i="2"/>
  <c r="P59"/>
  <c r="F12" i="60" s="1"/>
  <c r="P63" i="2"/>
  <c r="P67"/>
  <c r="F18" i="60" s="1"/>
  <c r="P68" i="2"/>
  <c r="F15" i="60" s="1"/>
  <c r="P56" i="2"/>
  <c r="P60"/>
  <c r="P64"/>
  <c r="P52"/>
  <c r="F10" i="60" s="1"/>
  <c r="Z72" i="2"/>
  <c r="AI7" i="22"/>
  <c r="AO7" s="1"/>
  <c r="W67" i="2"/>
  <c r="W63"/>
  <c r="W55"/>
  <c r="W66"/>
  <c r="W62"/>
  <c r="W58"/>
  <c r="W65"/>
  <c r="W61"/>
  <c r="W57"/>
  <c r="W53"/>
  <c r="W68"/>
  <c r="W64"/>
  <c r="W60"/>
  <c r="W56"/>
  <c r="W59"/>
  <c r="W54"/>
  <c r="I51" i="57"/>
  <c r="G97" i="56" s="1"/>
  <c r="H97" s="1"/>
  <c r="N167" i="33"/>
  <c r="R168" s="1"/>
  <c r="N149"/>
  <c r="AK7" i="22"/>
  <c r="V7" i="47"/>
  <c r="AA7"/>
  <c r="AL7" i="22"/>
  <c r="AG7"/>
  <c r="O7" i="21"/>
  <c r="X97" i="4"/>
  <c r="Y97"/>
  <c r="X153"/>
  <c r="Y153"/>
  <c r="Y7" i="47"/>
  <c r="S7"/>
  <c r="W7"/>
  <c r="C19" i="2"/>
  <c r="P7" i="21"/>
  <c r="R7"/>
  <c r="X7" s="1"/>
  <c r="Z7" i="47"/>
  <c r="AF7" i="22"/>
  <c r="Q47" i="4"/>
  <c r="R47"/>
  <c r="Q62"/>
  <c r="R62"/>
  <c r="X20"/>
  <c r="Y20"/>
  <c r="R97"/>
  <c r="Q97"/>
  <c r="Q169"/>
  <c r="R169"/>
  <c r="T7" i="21"/>
  <c r="X7" i="47"/>
  <c r="R75" i="4"/>
  <c r="Q75"/>
  <c r="Y47"/>
  <c r="X47"/>
  <c r="R20"/>
  <c r="Q20"/>
  <c r="AJ7" i="22"/>
  <c r="Q7" i="21"/>
  <c r="W7" s="1"/>
  <c r="S7"/>
  <c r="Y7" s="1"/>
  <c r="AD7" i="22"/>
  <c r="AH7"/>
  <c r="M7" i="21"/>
  <c r="U7"/>
  <c r="H19" i="2"/>
  <c r="U110" i="8"/>
  <c r="Y62" i="4"/>
  <c r="X62"/>
  <c r="Q10"/>
  <c r="R10"/>
  <c r="Y75"/>
  <c r="X75"/>
  <c r="Y169"/>
  <c r="X169"/>
  <c r="E10" i="67" l="1"/>
  <c r="J14" i="66"/>
  <c r="E15" i="62"/>
  <c r="E14" i="66"/>
  <c r="E13" i="63"/>
  <c r="E45" i="22"/>
  <c r="AL45" i="4" s="1"/>
  <c r="S45" i="8" s="1"/>
  <c r="F11" i="55"/>
  <c r="F11" i="58"/>
  <c r="F13" i="55"/>
  <c r="F13" i="58"/>
  <c r="F17" i="55"/>
  <c r="F17" i="58"/>
  <c r="O29"/>
  <c r="L29"/>
  <c r="R29"/>
  <c r="U29"/>
  <c r="U35"/>
  <c r="R35"/>
  <c r="O26"/>
  <c r="U26" s="1"/>
  <c r="F103" i="55"/>
  <c r="F38"/>
  <c r="F12"/>
  <c r="F12" i="58"/>
  <c r="F15" i="55"/>
  <c r="F15" i="58"/>
  <c r="F16" i="55"/>
  <c r="F16" i="58"/>
  <c r="Z73" i="2"/>
  <c r="H21" s="1"/>
  <c r="L32" i="55"/>
  <c r="U32"/>
  <c r="O32"/>
  <c r="R32"/>
  <c r="U29"/>
  <c r="R29"/>
  <c r="L29"/>
  <c r="O29"/>
  <c r="U28" i="58"/>
  <c r="R28"/>
  <c r="L28"/>
  <c r="O28"/>
  <c r="F103"/>
  <c r="F38"/>
  <c r="O33"/>
  <c r="R33"/>
  <c r="L33"/>
  <c r="U33"/>
  <c r="D45" i="22"/>
  <c r="AE45" i="4" s="1"/>
  <c r="O45" i="8" s="1"/>
  <c r="O27" i="58"/>
  <c r="R27"/>
  <c r="L27"/>
  <c r="U27"/>
  <c r="U32"/>
  <c r="L32"/>
  <c r="R32"/>
  <c r="O32"/>
  <c r="U30" i="55"/>
  <c r="R30"/>
  <c r="O30"/>
  <c r="L30"/>
  <c r="L28"/>
  <c r="R28"/>
  <c r="U28"/>
  <c r="O28"/>
  <c r="R31" i="58"/>
  <c r="L31"/>
  <c r="U31"/>
  <c r="O31"/>
  <c r="U33" i="55"/>
  <c r="L33"/>
  <c r="R33"/>
  <c r="O33"/>
  <c r="F14" i="58"/>
  <c r="F14" i="55"/>
  <c r="F18" i="58"/>
  <c r="F18" i="55"/>
  <c r="U27"/>
  <c r="L27"/>
  <c r="R27"/>
  <c r="O27"/>
  <c r="R35"/>
  <c r="U35"/>
  <c r="O26"/>
  <c r="U26" s="1"/>
  <c r="U30" i="58"/>
  <c r="L30"/>
  <c r="O30"/>
  <c r="R30"/>
  <c r="U31" i="55"/>
  <c r="R31"/>
  <c r="L31"/>
  <c r="O31"/>
  <c r="H9" i="21"/>
  <c r="E9" s="1"/>
  <c r="H11"/>
  <c r="H12"/>
  <c r="H10"/>
  <c r="H138"/>
  <c r="H135"/>
  <c r="H119"/>
  <c r="H120"/>
  <c r="H137"/>
  <c r="H134"/>
  <c r="H139"/>
  <c r="H136"/>
  <c r="H121"/>
  <c r="F86" i="60"/>
  <c r="F111"/>
  <c r="F110"/>
  <c r="F80"/>
  <c r="F109"/>
  <c r="F74"/>
  <c r="F107"/>
  <c r="F62"/>
  <c r="F56"/>
  <c r="F106"/>
  <c r="S73" i="2"/>
  <c r="C21" s="1"/>
  <c r="U33" i="60"/>
  <c r="L33"/>
  <c r="R33"/>
  <c r="O33"/>
  <c r="F50"/>
  <c r="F105"/>
  <c r="U35"/>
  <c r="R35"/>
  <c r="O26"/>
  <c r="U26" s="1"/>
  <c r="E7" i="47"/>
  <c r="D7" s="1"/>
  <c r="F38" i="60"/>
  <c r="F103"/>
  <c r="O24"/>
  <c r="O133" s="1"/>
  <c r="D9" i="15" s="1"/>
  <c r="S39" i="63" s="1"/>
  <c r="F108" i="60"/>
  <c r="F68"/>
  <c r="F104"/>
  <c r="F44"/>
  <c r="AM44" i="8"/>
  <c r="S44"/>
  <c r="AM45"/>
  <c r="O44"/>
  <c r="AI44"/>
  <c r="T7" i="47"/>
  <c r="AB7"/>
  <c r="I56" i="56"/>
  <c r="J51" i="57"/>
  <c r="R151" i="33"/>
  <c r="R152"/>
  <c r="J120" i="60"/>
  <c r="J120" i="55"/>
  <c r="J120" i="58"/>
  <c r="AM7" i="22"/>
  <c r="V7" i="21"/>
  <c r="AE7" i="22"/>
  <c r="N7" i="21"/>
  <c r="R165" i="33"/>
  <c r="R169"/>
  <c r="R159"/>
  <c r="R162"/>
  <c r="R157"/>
  <c r="R160"/>
  <c r="R154"/>
  <c r="R155"/>
  <c r="R158"/>
  <c r="R156"/>
  <c r="R170"/>
  <c r="J125" i="58" s="1"/>
  <c r="L125" s="1"/>
  <c r="R163" i="33"/>
  <c r="R166"/>
  <c r="R161"/>
  <c r="R164"/>
  <c r="R153"/>
  <c r="AB6" i="4"/>
  <c r="AM6" i="8"/>
  <c r="H81" i="21"/>
  <c r="H83"/>
  <c r="H85"/>
  <c r="H79"/>
  <c r="H82"/>
  <c r="H174"/>
  <c r="H75"/>
  <c r="H84"/>
  <c r="H177"/>
  <c r="H169"/>
  <c r="H124"/>
  <c r="H125"/>
  <c r="H179"/>
  <c r="H176"/>
  <c r="H109"/>
  <c r="E109" s="1"/>
  <c r="H107"/>
  <c r="H105"/>
  <c r="H103"/>
  <c r="H101"/>
  <c r="H99"/>
  <c r="H86"/>
  <c r="H72"/>
  <c r="H69"/>
  <c r="H67"/>
  <c r="H65"/>
  <c r="H63"/>
  <c r="H60"/>
  <c r="H58"/>
  <c r="H56"/>
  <c r="H54"/>
  <c r="H52"/>
  <c r="H50"/>
  <c r="H48"/>
  <c r="H20"/>
  <c r="H18"/>
  <c r="H172"/>
  <c r="H170"/>
  <c r="H167"/>
  <c r="H165"/>
  <c r="H163"/>
  <c r="H161"/>
  <c r="H159"/>
  <c r="E159" s="1"/>
  <c r="H157"/>
  <c r="H155"/>
  <c r="H153"/>
  <c r="H151"/>
  <c r="H149"/>
  <c r="H147"/>
  <c r="H145"/>
  <c r="H143"/>
  <c r="H141"/>
  <c r="H133"/>
  <c r="H131"/>
  <c r="H129"/>
  <c r="H127"/>
  <c r="H123"/>
  <c r="H117"/>
  <c r="E117" s="1"/>
  <c r="H115"/>
  <c r="H113"/>
  <c r="H111"/>
  <c r="E111" s="1"/>
  <c r="H96"/>
  <c r="H94"/>
  <c r="H92"/>
  <c r="H90"/>
  <c r="H88"/>
  <c r="H78"/>
  <c r="H76"/>
  <c r="H71"/>
  <c r="H62"/>
  <c r="H47"/>
  <c r="H45"/>
  <c r="H43"/>
  <c r="H41"/>
  <c r="H39"/>
  <c r="H37"/>
  <c r="H35"/>
  <c r="H32"/>
  <c r="H30"/>
  <c r="H28"/>
  <c r="H26"/>
  <c r="H24"/>
  <c r="H22"/>
  <c r="H17"/>
  <c r="H15"/>
  <c r="H13"/>
  <c r="H180"/>
  <c r="H178"/>
  <c r="H175"/>
  <c r="H108"/>
  <c r="H106"/>
  <c r="H104"/>
  <c r="H102"/>
  <c r="H100"/>
  <c r="H98"/>
  <c r="H80"/>
  <c r="H74"/>
  <c r="H70"/>
  <c r="H68"/>
  <c r="H66"/>
  <c r="H64"/>
  <c r="H61"/>
  <c r="E61" s="1"/>
  <c r="H59"/>
  <c r="H57"/>
  <c r="H55"/>
  <c r="H53"/>
  <c r="H51"/>
  <c r="H49"/>
  <c r="H34"/>
  <c r="H19"/>
  <c r="H173"/>
  <c r="H164"/>
  <c r="H156"/>
  <c r="H148"/>
  <c r="H140"/>
  <c r="E140" s="1"/>
  <c r="H128"/>
  <c r="H118"/>
  <c r="E118" s="1"/>
  <c r="H110"/>
  <c r="E110" s="1"/>
  <c r="H93"/>
  <c r="H46"/>
  <c r="H38"/>
  <c r="H27"/>
  <c r="H16"/>
  <c r="H171"/>
  <c r="H162"/>
  <c r="H154"/>
  <c r="H146"/>
  <c r="H126"/>
  <c r="H116"/>
  <c r="H91"/>
  <c r="H44"/>
  <c r="H36"/>
  <c r="H33"/>
  <c r="H25"/>
  <c r="H14"/>
  <c r="H168"/>
  <c r="H160"/>
  <c r="E160" s="1"/>
  <c r="H152"/>
  <c r="H144"/>
  <c r="H132"/>
  <c r="H122"/>
  <c r="H114"/>
  <c r="H97"/>
  <c r="H89"/>
  <c r="H77"/>
  <c r="H73"/>
  <c r="H42"/>
  <c r="H31"/>
  <c r="H23"/>
  <c r="H150"/>
  <c r="H112"/>
  <c r="H21"/>
  <c r="H142"/>
  <c r="H95"/>
  <c r="H166"/>
  <c r="H130"/>
  <c r="H87"/>
  <c r="H40"/>
  <c r="H29"/>
  <c r="H158"/>
  <c r="AC7" i="47"/>
  <c r="AN7" i="22"/>
  <c r="AP7"/>
  <c r="AD7" i="47"/>
  <c r="D6" i="13"/>
  <c r="E6" s="1"/>
  <c r="D6" i="12"/>
  <c r="E6" s="1"/>
  <c r="D6" i="16"/>
  <c r="E6" s="1"/>
  <c r="D6" i="15"/>
  <c r="E6" s="1"/>
  <c r="AE7" i="47"/>
  <c r="L120" i="58" l="1"/>
  <c r="O120"/>
  <c r="O120" i="55"/>
  <c r="L120"/>
  <c r="O120" i="60"/>
  <c r="L120"/>
  <c r="C3" i="3"/>
  <c r="D5" i="12"/>
  <c r="E5" s="1"/>
  <c r="O24" i="55"/>
  <c r="O133" s="1"/>
  <c r="D9" i="12" s="1"/>
  <c r="S39" i="62" s="1"/>
  <c r="AI45" i="8"/>
  <c r="F62" i="58"/>
  <c r="F107"/>
  <c r="F68"/>
  <c r="F108"/>
  <c r="F56"/>
  <c r="F106"/>
  <c r="F111" i="55"/>
  <c r="F86"/>
  <c r="F108"/>
  <c r="F68"/>
  <c r="F43"/>
  <c r="F41"/>
  <c r="F42"/>
  <c r="F39"/>
  <c r="F40"/>
  <c r="F106"/>
  <c r="F56"/>
  <c r="O35"/>
  <c r="D8" i="12" s="1"/>
  <c r="F111" i="58"/>
  <c r="F86"/>
  <c r="O24"/>
  <c r="O133" s="1"/>
  <c r="F74"/>
  <c r="F109"/>
  <c r="F105"/>
  <c r="F50"/>
  <c r="F80"/>
  <c r="F110"/>
  <c r="F104"/>
  <c r="F44"/>
  <c r="D5" i="13"/>
  <c r="E5" s="1"/>
  <c r="F62" i="55"/>
  <c r="F107"/>
  <c r="F42" i="58"/>
  <c r="F39"/>
  <c r="F43"/>
  <c r="F40"/>
  <c r="F41"/>
  <c r="F109" i="55"/>
  <c r="F74"/>
  <c r="F105"/>
  <c r="F50"/>
  <c r="O35" i="58"/>
  <c r="F110" i="55"/>
  <c r="F80"/>
  <c r="F104"/>
  <c r="F44"/>
  <c r="X11" i="22"/>
  <c r="E11" i="21"/>
  <c r="X136" i="22"/>
  <c r="G12" i="21"/>
  <c r="M10" i="47"/>
  <c r="AA10" i="4" s="1"/>
  <c r="Y10" i="8" s="1"/>
  <c r="X135" i="22"/>
  <c r="X121"/>
  <c r="X137"/>
  <c r="X119"/>
  <c r="Y11"/>
  <c r="V11" s="1"/>
  <c r="S11" s="1"/>
  <c r="Y120"/>
  <c r="Y119"/>
  <c r="Y137"/>
  <c r="Y135"/>
  <c r="Y138"/>
  <c r="Y139"/>
  <c r="Y134"/>
  <c r="Y136"/>
  <c r="Y121"/>
  <c r="E121" i="21"/>
  <c r="E120"/>
  <c r="G139"/>
  <c r="G134"/>
  <c r="G120"/>
  <c r="G11"/>
  <c r="E136"/>
  <c r="E138"/>
  <c r="E139"/>
  <c r="E135"/>
  <c r="M12" i="47"/>
  <c r="G12" s="1"/>
  <c r="G137" i="21"/>
  <c r="G135"/>
  <c r="G9"/>
  <c r="D9" s="1"/>
  <c r="G26"/>
  <c r="X139" i="22"/>
  <c r="X120"/>
  <c r="E125" i="21"/>
  <c r="E126"/>
  <c r="G138"/>
  <c r="G126"/>
  <c r="G10"/>
  <c r="E78" i="13"/>
  <c r="E80"/>
  <c r="G136" i="21"/>
  <c r="G119"/>
  <c r="G121"/>
  <c r="X134" i="22"/>
  <c r="X138"/>
  <c r="N11" i="47"/>
  <c r="H11" s="1"/>
  <c r="N13"/>
  <c r="H13" s="1"/>
  <c r="N12"/>
  <c r="H12" s="1"/>
  <c r="M13"/>
  <c r="G13" s="1"/>
  <c r="E78" i="16"/>
  <c r="E80"/>
  <c r="M11" i="47"/>
  <c r="G11" s="1"/>
  <c r="J126" i="55"/>
  <c r="L126" s="1"/>
  <c r="D62" i="12"/>
  <c r="J126" i="60"/>
  <c r="L126" s="1"/>
  <c r="D62" i="15"/>
  <c r="M126" i="47"/>
  <c r="M137"/>
  <c r="M136"/>
  <c r="D5" i="15"/>
  <c r="E5" s="1"/>
  <c r="F49" i="60"/>
  <c r="F48"/>
  <c r="F45"/>
  <c r="F46"/>
  <c r="F47"/>
  <c r="O35"/>
  <c r="D8" i="15" s="1"/>
  <c r="F78" i="60"/>
  <c r="F75"/>
  <c r="F79"/>
  <c r="F76"/>
  <c r="F77"/>
  <c r="M135" i="47"/>
  <c r="M120"/>
  <c r="G120" s="1"/>
  <c r="N119"/>
  <c r="AH119" i="4" s="1"/>
  <c r="AC119" i="8" s="1"/>
  <c r="P119" s="1"/>
  <c r="N135" i="47"/>
  <c r="N137"/>
  <c r="AH137" i="4" s="1"/>
  <c r="N139" i="47"/>
  <c r="N121"/>
  <c r="AH121" i="4" s="1"/>
  <c r="AC121" i="8" s="1"/>
  <c r="P121" s="1"/>
  <c r="N136" i="47"/>
  <c r="N138"/>
  <c r="N120"/>
  <c r="H120" s="1"/>
  <c r="O113" i="60"/>
  <c r="O134" s="1"/>
  <c r="D34" i="15" s="1"/>
  <c r="T39" i="63" s="1"/>
  <c r="F52" i="60"/>
  <c r="F51"/>
  <c r="F54"/>
  <c r="F55"/>
  <c r="F53"/>
  <c r="F58"/>
  <c r="F59"/>
  <c r="F57"/>
  <c r="F60"/>
  <c r="F61"/>
  <c r="F91"/>
  <c r="F89"/>
  <c r="F88"/>
  <c r="F87"/>
  <c r="F90"/>
  <c r="M121" i="47"/>
  <c r="AA121" i="4" s="1"/>
  <c r="Y121" i="8" s="1"/>
  <c r="L121" s="1"/>
  <c r="M119" i="47"/>
  <c r="AA119" i="4" s="1"/>
  <c r="Y119" i="8" s="1"/>
  <c r="D5" i="16"/>
  <c r="E5" s="1"/>
  <c r="F70" i="60"/>
  <c r="F69"/>
  <c r="F73"/>
  <c r="F72"/>
  <c r="F71"/>
  <c r="F43"/>
  <c r="F41"/>
  <c r="F39"/>
  <c r="F40"/>
  <c r="F42"/>
  <c r="L93"/>
  <c r="E14" i="15" s="1"/>
  <c r="O93" i="60"/>
  <c r="D14" i="15" s="1"/>
  <c r="F67" i="60"/>
  <c r="F66"/>
  <c r="F64"/>
  <c r="F63"/>
  <c r="F65"/>
  <c r="F81"/>
  <c r="F83"/>
  <c r="F85"/>
  <c r="F82"/>
  <c r="F84"/>
  <c r="M139" i="47"/>
  <c r="M138"/>
  <c r="I57" i="56"/>
  <c r="W132" i="8"/>
  <c r="K132" i="47" s="1"/>
  <c r="X132" i="8"/>
  <c r="K132" i="22" s="1"/>
  <c r="J126" i="58"/>
  <c r="L126" s="1"/>
  <c r="L116" i="59"/>
  <c r="L116" i="54"/>
  <c r="L116" i="56"/>
  <c r="L108" i="59"/>
  <c r="L108" i="54"/>
  <c r="L108" i="56"/>
  <c r="L107" i="59"/>
  <c r="L107" i="54"/>
  <c r="L107" i="56"/>
  <c r="L115" i="59"/>
  <c r="L115" i="54"/>
  <c r="L115" i="56"/>
  <c r="L102" i="59"/>
  <c r="L102" i="54"/>
  <c r="L102" i="56"/>
  <c r="L103" i="59"/>
  <c r="L103" i="54"/>
  <c r="L103" i="56"/>
  <c r="L113" i="59"/>
  <c r="L113" i="56"/>
  <c r="L113" i="54"/>
  <c r="L105" i="59"/>
  <c r="L105" i="56"/>
  <c r="L105" i="54"/>
  <c r="L112" i="59"/>
  <c r="L112" i="54"/>
  <c r="L112" i="56"/>
  <c r="L101" i="59"/>
  <c r="L101" i="56"/>
  <c r="L101" i="54"/>
  <c r="L117" s="1"/>
  <c r="L114" i="59"/>
  <c r="L114" i="54"/>
  <c r="L114" i="56"/>
  <c r="L104" i="59"/>
  <c r="L104" i="54"/>
  <c r="L104" i="56"/>
  <c r="L109" i="59"/>
  <c r="L109" i="56"/>
  <c r="L109" i="54"/>
  <c r="L111" i="59"/>
  <c r="L111" i="54"/>
  <c r="L111" i="56"/>
  <c r="L106" i="59"/>
  <c r="L106" i="54"/>
  <c r="L106" i="56"/>
  <c r="L110" i="59"/>
  <c r="L110" i="54"/>
  <c r="L110" i="56"/>
  <c r="J121" i="60"/>
  <c r="J121" i="58"/>
  <c r="J121" i="55"/>
  <c r="L123" i="58"/>
  <c r="M31" i="47"/>
  <c r="AA31" i="4" s="1"/>
  <c r="Y31" i="8" s="1"/>
  <c r="M90" i="47"/>
  <c r="AA90" i="4" s="1"/>
  <c r="Y90" i="8" s="1"/>
  <c r="M77" i="47"/>
  <c r="G77" s="1"/>
  <c r="M114"/>
  <c r="M128"/>
  <c r="M131"/>
  <c r="M106"/>
  <c r="M69"/>
  <c r="G69" s="1"/>
  <c r="M88"/>
  <c r="M45"/>
  <c r="M22"/>
  <c r="M180"/>
  <c r="G180" s="1"/>
  <c r="M164"/>
  <c r="AA164" i="4" s="1"/>
  <c r="Y164" i="8" s="1"/>
  <c r="M129" i="47"/>
  <c r="M42"/>
  <c r="G42" s="1"/>
  <c r="M171"/>
  <c r="M55"/>
  <c r="G55" s="1"/>
  <c r="M39"/>
  <c r="AA39" i="4" s="1"/>
  <c r="Y39" i="8" s="1"/>
  <c r="M9" i="47"/>
  <c r="AA9" i="4" s="1"/>
  <c r="Y9" i="8" s="1"/>
  <c r="M161" i="47"/>
  <c r="AA161" i="4" s="1"/>
  <c r="Y161" i="8" s="1"/>
  <c r="M38" i="47"/>
  <c r="M163"/>
  <c r="M173"/>
  <c r="M107"/>
  <c r="M20"/>
  <c r="AA20" i="4" s="1"/>
  <c r="Y20" i="8" s="1"/>
  <c r="M53" i="47"/>
  <c r="AA53" i="4" s="1"/>
  <c r="Y53" i="8" s="1"/>
  <c r="M75" i="47"/>
  <c r="AA75" i="4" s="1"/>
  <c r="Y75" i="8" s="1"/>
  <c r="M127" i="47"/>
  <c r="M178"/>
  <c r="AA178" i="4" s="1"/>
  <c r="Y178" i="8" s="1"/>
  <c r="M37" i="47"/>
  <c r="G37" s="1"/>
  <c r="M72"/>
  <c r="M104"/>
  <c r="M162"/>
  <c r="M113"/>
  <c r="G113" s="1"/>
  <c r="M29"/>
  <c r="G29" s="1"/>
  <c r="M65"/>
  <c r="M124"/>
  <c r="AA124" i="4" s="1"/>
  <c r="Y124" i="8" s="1"/>
  <c r="M179" i="47"/>
  <c r="M83"/>
  <c r="M36"/>
  <c r="G36" s="1"/>
  <c r="M95"/>
  <c r="G95" s="1"/>
  <c r="M105"/>
  <c r="G105" s="1"/>
  <c r="M49"/>
  <c r="M175"/>
  <c r="M28"/>
  <c r="M61"/>
  <c r="AA61" i="4" s="1"/>
  <c r="Y61" i="8" s="1"/>
  <c r="M110" i="47"/>
  <c r="M147"/>
  <c r="M14"/>
  <c r="AA14" i="4" s="1"/>
  <c r="Y14" i="8" s="1"/>
  <c r="M48" i="47"/>
  <c r="AA48" i="4" s="1"/>
  <c r="Y48" i="8" s="1"/>
  <c r="M96" i="47"/>
  <c r="M141"/>
  <c r="AA141" i="4" s="1"/>
  <c r="Y141" i="8" s="1"/>
  <c r="M170" i="47"/>
  <c r="AA170" i="4" s="1"/>
  <c r="Y170" i="8" s="1"/>
  <c r="M21" i="47"/>
  <c r="AA21" i="4" s="1"/>
  <c r="Y21" i="8" s="1"/>
  <c r="M56" i="47"/>
  <c r="G56" s="1"/>
  <c r="M78"/>
  <c r="G78" s="1"/>
  <c r="M148"/>
  <c r="M87"/>
  <c r="G87" s="1"/>
  <c r="M133"/>
  <c r="AA126" i="4"/>
  <c r="Y126" i="8" s="1"/>
  <c r="L126" s="1"/>
  <c r="M101" i="47"/>
  <c r="G101" s="1"/>
  <c r="M103"/>
  <c r="G103" s="1"/>
  <c r="M140"/>
  <c r="AA140" i="4" s="1"/>
  <c r="Y140" i="8" s="1"/>
  <c r="M70" i="47"/>
  <c r="G70" s="1"/>
  <c r="M30"/>
  <c r="G30" s="1"/>
  <c r="M63"/>
  <c r="AA63" i="4" s="1"/>
  <c r="Y63" i="8" s="1"/>
  <c r="M112" i="47"/>
  <c r="AA112" i="4" s="1"/>
  <c r="Y112" i="8" s="1"/>
  <c r="M149" i="47"/>
  <c r="G149" s="1"/>
  <c r="M17"/>
  <c r="G17" s="1"/>
  <c r="M50"/>
  <c r="M98"/>
  <c r="AA98" i="4" s="1"/>
  <c r="Y98" i="8" s="1"/>
  <c r="M156" i="47"/>
  <c r="G156" s="1"/>
  <c r="M172"/>
  <c r="M23"/>
  <c r="G23" s="1"/>
  <c r="M58"/>
  <c r="AA58" i="4" s="1"/>
  <c r="Y58" i="8" s="1"/>
  <c r="M111" i="47"/>
  <c r="M150"/>
  <c r="M43"/>
  <c r="G43" s="1"/>
  <c r="M40"/>
  <c r="M134"/>
  <c r="M122"/>
  <c r="G122" s="1"/>
  <c r="N125"/>
  <c r="H125" s="1"/>
  <c r="N128"/>
  <c r="H128" s="1"/>
  <c r="N130"/>
  <c r="H130" s="1"/>
  <c r="N129"/>
  <c r="H129" s="1"/>
  <c r="N41"/>
  <c r="H41" s="1"/>
  <c r="N127"/>
  <c r="H127" s="1"/>
  <c r="N40"/>
  <c r="H40" s="1"/>
  <c r="N126"/>
  <c r="AH126" i="4" s="1"/>
  <c r="AC126" i="8" s="1"/>
  <c r="P126" s="1"/>
  <c r="N42" i="47"/>
  <c r="H42" s="1"/>
  <c r="N131"/>
  <c r="H131" s="1"/>
  <c r="N87"/>
  <c r="H87" s="1"/>
  <c r="N124"/>
  <c r="AH124" i="4" s="1"/>
  <c r="AC124" i="8" s="1"/>
  <c r="P124" s="1"/>
  <c r="N88" i="47"/>
  <c r="H88" s="1"/>
  <c r="N89"/>
  <c r="H89" s="1"/>
  <c r="N43"/>
  <c r="H43" s="1"/>
  <c r="N154"/>
  <c r="H154" s="1"/>
  <c r="N180"/>
  <c r="H180" s="1"/>
  <c r="N178"/>
  <c r="AH178" i="4" s="1"/>
  <c r="AC178" i="8" s="1"/>
  <c r="P178" s="1"/>
  <c r="N176" i="47"/>
  <c r="H176" s="1"/>
  <c r="N174"/>
  <c r="AH174" i="4" s="1"/>
  <c r="AC174" i="8" s="1"/>
  <c r="P174" s="1"/>
  <c r="N172" i="47"/>
  <c r="H172" s="1"/>
  <c r="N170"/>
  <c r="AH170" i="4" s="1"/>
  <c r="AC170" i="8" s="1"/>
  <c r="P170" s="1"/>
  <c r="N168" i="47"/>
  <c r="H168" s="1"/>
  <c r="N166"/>
  <c r="H166" s="1"/>
  <c r="N164"/>
  <c r="AH164" i="4" s="1"/>
  <c r="AC164" i="8" s="1"/>
  <c r="P164" s="1"/>
  <c r="N162" i="47"/>
  <c r="H162" s="1"/>
  <c r="N160"/>
  <c r="H160" s="1"/>
  <c r="N158"/>
  <c r="H158" s="1"/>
  <c r="N156"/>
  <c r="H156" s="1"/>
  <c r="N141"/>
  <c r="AH141" i="4" s="1"/>
  <c r="AC141" i="8" s="1"/>
  <c r="P141" s="1"/>
  <c r="N132" i="47"/>
  <c r="H132" s="1"/>
  <c r="N111"/>
  <c r="H111" s="1"/>
  <c r="N109"/>
  <c r="H109" s="1"/>
  <c r="N107"/>
  <c r="H107" s="1"/>
  <c r="N105"/>
  <c r="H105" s="1"/>
  <c r="N103"/>
  <c r="H103" s="1"/>
  <c r="N101"/>
  <c r="H101" s="1"/>
  <c r="N99"/>
  <c r="H99" s="1"/>
  <c r="N94"/>
  <c r="H94" s="1"/>
  <c r="N92"/>
  <c r="H92" s="1"/>
  <c r="N90"/>
  <c r="AH90" i="4" s="1"/>
  <c r="AC90" i="8" s="1"/>
  <c r="P90" s="1"/>
  <c r="N74" i="47"/>
  <c r="H74" s="1"/>
  <c r="N72"/>
  <c r="H72" s="1"/>
  <c r="N70"/>
  <c r="H70" s="1"/>
  <c r="N68"/>
  <c r="H68" s="1"/>
  <c r="N66"/>
  <c r="H66" s="1"/>
  <c r="N64"/>
  <c r="H64" s="1"/>
  <c r="N45"/>
  <c r="H45" s="1"/>
  <c r="N32"/>
  <c r="H32" s="1"/>
  <c r="N30"/>
  <c r="H30" s="1"/>
  <c r="N28"/>
  <c r="H28" s="1"/>
  <c r="N26"/>
  <c r="H26" s="1"/>
  <c r="N24"/>
  <c r="H24" s="1"/>
  <c r="N22"/>
  <c r="H22" s="1"/>
  <c r="N19"/>
  <c r="H19" s="1"/>
  <c r="N15"/>
  <c r="H15" s="1"/>
  <c r="N134"/>
  <c r="AH134" i="4" s="1"/>
  <c r="N122" i="47"/>
  <c r="H122" s="1"/>
  <c r="N114"/>
  <c r="H114" s="1"/>
  <c r="N153"/>
  <c r="AH153" i="4" s="1"/>
  <c r="AC153" i="8" s="1"/>
  <c r="P153" s="1"/>
  <c r="N151" i="47"/>
  <c r="H151" s="1"/>
  <c r="N149"/>
  <c r="H149" s="1"/>
  <c r="N147"/>
  <c r="H147" s="1"/>
  <c r="N145"/>
  <c r="H145" s="1"/>
  <c r="N143"/>
  <c r="AH143" i="4" s="1"/>
  <c r="AC143" i="8" s="1"/>
  <c r="P143" s="1"/>
  <c r="N118" i="47"/>
  <c r="H118" s="1"/>
  <c r="N116"/>
  <c r="H116" s="1"/>
  <c r="N86"/>
  <c r="AH86" i="4" s="1"/>
  <c r="AC86" i="8" s="1"/>
  <c r="P86" s="1"/>
  <c r="N84" i="47"/>
  <c r="H84" s="1"/>
  <c r="N82"/>
  <c r="H82" s="1"/>
  <c r="N80"/>
  <c r="H80" s="1"/>
  <c r="N78"/>
  <c r="H78" s="1"/>
  <c r="N76"/>
  <c r="AH76" i="4" s="1"/>
  <c r="AC76" i="8" s="1"/>
  <c r="P76" s="1"/>
  <c r="N61" i="47"/>
  <c r="H61" s="1"/>
  <c r="N59"/>
  <c r="H59" s="1"/>
  <c r="N57"/>
  <c r="H57" s="1"/>
  <c r="N55"/>
  <c r="H55" s="1"/>
  <c r="N53"/>
  <c r="AH53" i="4" s="1"/>
  <c r="AC53" i="8" s="1"/>
  <c r="N51" i="47"/>
  <c r="H51" s="1"/>
  <c r="N49"/>
  <c r="H49" s="1"/>
  <c r="N38"/>
  <c r="H38" s="1"/>
  <c r="N36"/>
  <c r="H36" s="1"/>
  <c r="N18"/>
  <c r="H18" s="1"/>
  <c r="N14"/>
  <c r="AH14" i="4" s="1"/>
  <c r="AC14" i="8" s="1"/>
  <c r="N142" i="47"/>
  <c r="H142" s="1"/>
  <c r="N179"/>
  <c r="H179" s="1"/>
  <c r="N177"/>
  <c r="H177" s="1"/>
  <c r="N175"/>
  <c r="H175" s="1"/>
  <c r="N173"/>
  <c r="H173" s="1"/>
  <c r="N171"/>
  <c r="H171" s="1"/>
  <c r="N169"/>
  <c r="AH169" i="4" s="1"/>
  <c r="AC169" i="8" s="1"/>
  <c r="P169" s="1"/>
  <c r="N167" i="47"/>
  <c r="H167" s="1"/>
  <c r="N165"/>
  <c r="H165" s="1"/>
  <c r="N163"/>
  <c r="H163" s="1"/>
  <c r="N161"/>
  <c r="AH161" i="4" s="1"/>
  <c r="AC161" i="8" s="1"/>
  <c r="P161" s="1"/>
  <c r="N159" i="47"/>
  <c r="H159" s="1"/>
  <c r="N157"/>
  <c r="H157" s="1"/>
  <c r="N155"/>
  <c r="AH155" i="4" s="1"/>
  <c r="AC155" i="8" s="1"/>
  <c r="P155" s="1"/>
  <c r="N140" i="47"/>
  <c r="H140" s="1"/>
  <c r="N133"/>
  <c r="N112"/>
  <c r="AH112" i="4" s="1"/>
  <c r="AC112" i="8" s="1"/>
  <c r="P112" s="1"/>
  <c r="N110" i="47"/>
  <c r="H110" s="1"/>
  <c r="N108"/>
  <c r="H108" s="1"/>
  <c r="N106"/>
  <c r="H106" s="1"/>
  <c r="N104"/>
  <c r="H104" s="1"/>
  <c r="N102"/>
  <c r="AH102" i="4" s="1"/>
  <c r="AC102" i="8" s="1"/>
  <c r="P102" s="1"/>
  <c r="N100" i="47"/>
  <c r="H100" s="1"/>
  <c r="N98"/>
  <c r="AH98" i="4" s="1"/>
  <c r="AC98" i="8" s="1"/>
  <c r="N95" i="47"/>
  <c r="H95" s="1"/>
  <c r="N93"/>
  <c r="H93" s="1"/>
  <c r="N91"/>
  <c r="H91" s="1"/>
  <c r="N73"/>
  <c r="H73" s="1"/>
  <c r="N71"/>
  <c r="AH71" i="4" s="1"/>
  <c r="AC71" i="8" s="1"/>
  <c r="P71" s="1"/>
  <c r="N69" i="47"/>
  <c r="H69" s="1"/>
  <c r="N67"/>
  <c r="AH67" i="4" s="1"/>
  <c r="AC67" i="8" s="1"/>
  <c r="N65" i="47"/>
  <c r="H65" s="1"/>
  <c r="N63"/>
  <c r="AH63" i="4" s="1"/>
  <c r="AC63" i="8" s="1"/>
  <c r="N46" i="47"/>
  <c r="H46" s="1"/>
  <c r="N44"/>
  <c r="H44" s="1"/>
  <c r="N33"/>
  <c r="H33" s="1"/>
  <c r="N31"/>
  <c r="AH31" i="4" s="1"/>
  <c r="AC31" i="8" s="1"/>
  <c r="P31" s="1"/>
  <c r="N29" i="47"/>
  <c r="H29" s="1"/>
  <c r="N27"/>
  <c r="H27" s="1"/>
  <c r="N25"/>
  <c r="H25" s="1"/>
  <c r="N23"/>
  <c r="H23" s="1"/>
  <c r="N21"/>
  <c r="AH21" i="4" s="1"/>
  <c r="AC21" i="8" s="1"/>
  <c r="N17" i="47"/>
  <c r="H17" s="1"/>
  <c r="N150"/>
  <c r="H150" s="1"/>
  <c r="N81"/>
  <c r="H81" s="1"/>
  <c r="N58"/>
  <c r="AH58" i="4" s="1"/>
  <c r="AC58" i="8" s="1"/>
  <c r="P58" s="1"/>
  <c r="N50" i="47"/>
  <c r="H50" s="1"/>
  <c r="N148"/>
  <c r="H148" s="1"/>
  <c r="N79"/>
  <c r="AH79" i="4" s="1"/>
  <c r="AC79" i="8" s="1"/>
  <c r="P79" s="1"/>
  <c r="N56" i="47"/>
  <c r="H56" s="1"/>
  <c r="N48"/>
  <c r="AH48" i="4" s="1"/>
  <c r="AC48" i="8" s="1"/>
  <c r="N39" i="47"/>
  <c r="AH39" i="4" s="1"/>
  <c r="AC39" i="8" s="1"/>
  <c r="N9" i="47"/>
  <c r="AH9" i="4" s="1"/>
  <c r="AC9" i="8" s="1"/>
  <c r="N146" i="47"/>
  <c r="AH146" i="4" s="1"/>
  <c r="AC146" i="8" s="1"/>
  <c r="P146" s="1"/>
  <c r="N117" i="47"/>
  <c r="H117" s="1"/>
  <c r="N85"/>
  <c r="H85" s="1"/>
  <c r="N77"/>
  <c r="H77" s="1"/>
  <c r="N54"/>
  <c r="H54" s="1"/>
  <c r="N37"/>
  <c r="H37" s="1"/>
  <c r="N16"/>
  <c r="H16" s="1"/>
  <c r="N52"/>
  <c r="H52" s="1"/>
  <c r="N113"/>
  <c r="H113" s="1"/>
  <c r="N152"/>
  <c r="H152" s="1"/>
  <c r="N144"/>
  <c r="H144" s="1"/>
  <c r="J143" s="1"/>
  <c r="N60"/>
  <c r="H60" s="1"/>
  <c r="N83"/>
  <c r="H83" s="1"/>
  <c r="N123"/>
  <c r="H123" s="1"/>
  <c r="N35"/>
  <c r="AH35" i="4" s="1"/>
  <c r="AC35" i="8" s="1"/>
  <c r="E18" i="21"/>
  <c r="E15"/>
  <c r="E19"/>
  <c r="E16"/>
  <c r="E17"/>
  <c r="E23"/>
  <c r="E25"/>
  <c r="E29"/>
  <c r="E26"/>
  <c r="E30"/>
  <c r="E22"/>
  <c r="E27"/>
  <c r="E32"/>
  <c r="E33"/>
  <c r="E24"/>
  <c r="E28"/>
  <c r="E177"/>
  <c r="E172"/>
  <c r="E179"/>
  <c r="E173"/>
  <c r="E180"/>
  <c r="E175"/>
  <c r="E171"/>
  <c r="E176"/>
  <c r="AA6" i="4"/>
  <c r="AI6" i="8"/>
  <c r="E113" i="21"/>
  <c r="E114"/>
  <c r="E52"/>
  <c r="E57"/>
  <c r="E49"/>
  <c r="E54"/>
  <c r="E59"/>
  <c r="E50"/>
  <c r="E55"/>
  <c r="E60"/>
  <c r="E51"/>
  <c r="E56"/>
  <c r="E156"/>
  <c r="E157"/>
  <c r="E158"/>
  <c r="E154"/>
  <c r="E162"/>
  <c r="E163"/>
  <c r="M118" i="47"/>
  <c r="AA118" i="4" s="1"/>
  <c r="Y118" i="8" s="1"/>
  <c r="L118" s="1"/>
  <c r="M93" i="47"/>
  <c r="G93" s="1"/>
  <c r="M123"/>
  <c r="G123" s="1"/>
  <c r="M66"/>
  <c r="G66" s="1"/>
  <c r="M132"/>
  <c r="M47"/>
  <c r="AA47" i="4" s="1"/>
  <c r="Y47" i="8" s="1"/>
  <c r="M157" i="47"/>
  <c r="G157" s="1"/>
  <c r="M15"/>
  <c r="G15" s="1"/>
  <c r="M91"/>
  <c r="G91" s="1"/>
  <c r="M159"/>
  <c r="AA159" i="4" s="1"/>
  <c r="Y159" i="8" s="1"/>
  <c r="M24" i="47"/>
  <c r="G24" s="1"/>
  <c r="M33"/>
  <c r="G33" s="1"/>
  <c r="M57"/>
  <c r="G57" s="1"/>
  <c r="M67"/>
  <c r="AA67" i="4" s="1"/>
  <c r="Y67" i="8" s="1"/>
  <c r="M79" i="47"/>
  <c r="AA79" i="4" s="1"/>
  <c r="Y79" i="8" s="1"/>
  <c r="M115" i="47"/>
  <c r="G115" s="1"/>
  <c r="M143"/>
  <c r="AA143" i="4" s="1"/>
  <c r="Y143" i="8" s="1"/>
  <c r="M151" i="47"/>
  <c r="G151" s="1"/>
  <c r="M154"/>
  <c r="G154" s="1"/>
  <c r="M32"/>
  <c r="G32" s="1"/>
  <c r="I31" s="1"/>
  <c r="M44"/>
  <c r="G44" s="1"/>
  <c r="M64"/>
  <c r="G64" s="1"/>
  <c r="M92"/>
  <c r="G92" s="1"/>
  <c r="M100"/>
  <c r="G100" s="1"/>
  <c r="M108"/>
  <c r="G108" s="1"/>
  <c r="M158"/>
  <c r="G158" s="1"/>
  <c r="M166"/>
  <c r="G166" s="1"/>
  <c r="M174"/>
  <c r="AA174" i="4" s="1"/>
  <c r="Y174" i="8" s="1"/>
  <c r="M25" i="47"/>
  <c r="G25" s="1"/>
  <c r="M52"/>
  <c r="G52" s="1"/>
  <c r="M60"/>
  <c r="G60" s="1"/>
  <c r="M73"/>
  <c r="G73" s="1"/>
  <c r="M116"/>
  <c r="AA116" i="4" s="1"/>
  <c r="Y116" i="8" s="1"/>
  <c r="M144" i="47"/>
  <c r="G144" s="1"/>
  <c r="M152"/>
  <c r="G152" s="1"/>
  <c r="M142"/>
  <c r="G142" s="1"/>
  <c r="M89"/>
  <c r="G89" s="1"/>
  <c r="M84"/>
  <c r="G84" s="1"/>
  <c r="M85"/>
  <c r="G85" s="1"/>
  <c r="M109"/>
  <c r="AA109" i="4" s="1"/>
  <c r="Y109" i="8" s="1"/>
  <c r="E103" i="21"/>
  <c r="E107"/>
  <c r="E99"/>
  <c r="E104"/>
  <c r="E108"/>
  <c r="E100"/>
  <c r="E105"/>
  <c r="E101"/>
  <c r="E106"/>
  <c r="E42"/>
  <c r="E40"/>
  <c r="E46"/>
  <c r="E36"/>
  <c r="E41"/>
  <c r="E37"/>
  <c r="E44"/>
  <c r="E38"/>
  <c r="E45"/>
  <c r="E65"/>
  <c r="E70"/>
  <c r="E74"/>
  <c r="E66"/>
  <c r="E73"/>
  <c r="E68"/>
  <c r="E72"/>
  <c r="E69"/>
  <c r="E64"/>
  <c r="E168"/>
  <c r="E165"/>
  <c r="E166"/>
  <c r="E167"/>
  <c r="Y43" i="22"/>
  <c r="Y109"/>
  <c r="V109" s="1"/>
  <c r="S109" s="1"/>
  <c r="Y177"/>
  <c r="Y173"/>
  <c r="Y169"/>
  <c r="Y165"/>
  <c r="Y161"/>
  <c r="Y157"/>
  <c r="Y153"/>
  <c r="Y149"/>
  <c r="Y145"/>
  <c r="Y141"/>
  <c r="Y133"/>
  <c r="Y129"/>
  <c r="Y125"/>
  <c r="Y117"/>
  <c r="V117" s="1"/>
  <c r="S117" s="1"/>
  <c r="Y113"/>
  <c r="Y44"/>
  <c r="Y54"/>
  <c r="Y56"/>
  <c r="Y58"/>
  <c r="Y12"/>
  <c r="Y14"/>
  <c r="Y23"/>
  <c r="Y25"/>
  <c r="Y27"/>
  <c r="Y29"/>
  <c r="Y31"/>
  <c r="Y178"/>
  <c r="Y172"/>
  <c r="Y167"/>
  <c r="Y162"/>
  <c r="Y156"/>
  <c r="Y151"/>
  <c r="Y146"/>
  <c r="Y140"/>
  <c r="V140" s="1"/>
  <c r="S140" s="1"/>
  <c r="Y131"/>
  <c r="Y126"/>
  <c r="Y115"/>
  <c r="Y110"/>
  <c r="V110" s="1"/>
  <c r="S110" s="1"/>
  <c r="Y37"/>
  <c r="Y39"/>
  <c r="Y45"/>
  <c r="Y53"/>
  <c r="Y15"/>
  <c r="Y26"/>
  <c r="Y32"/>
  <c r="Y9"/>
  <c r="V9" s="1"/>
  <c r="S9" s="1"/>
  <c r="Y46"/>
  <c r="V46" s="1"/>
  <c r="S46" s="1"/>
  <c r="Y180"/>
  <c r="Y175"/>
  <c r="Y170"/>
  <c r="Y164"/>
  <c r="Y159"/>
  <c r="V159" s="1"/>
  <c r="S159" s="1"/>
  <c r="Y154"/>
  <c r="Y148"/>
  <c r="Y143"/>
  <c r="Y128"/>
  <c r="Y123"/>
  <c r="Y118"/>
  <c r="V118" s="1"/>
  <c r="S118" s="1"/>
  <c r="Y112"/>
  <c r="Y36"/>
  <c r="Y38"/>
  <c r="Y49"/>
  <c r="Y52"/>
  <c r="Y55"/>
  <c r="Y13"/>
  <c r="Y16"/>
  <c r="Y19"/>
  <c r="V19" s="1"/>
  <c r="S19" s="1"/>
  <c r="Y22"/>
  <c r="Y30"/>
  <c r="V30" s="1"/>
  <c r="S30" s="1"/>
  <c r="Y33"/>
  <c r="Y171"/>
  <c r="Y160"/>
  <c r="V160" s="1"/>
  <c r="S160" s="1"/>
  <c r="Y150"/>
  <c r="Y124"/>
  <c r="Y114"/>
  <c r="Y50"/>
  <c r="Y17"/>
  <c r="Y28"/>
  <c r="Y174"/>
  <c r="Y163"/>
  <c r="Y152"/>
  <c r="Y142"/>
  <c r="Y127"/>
  <c r="Y116"/>
  <c r="Y42"/>
  <c r="Y48"/>
  <c r="Y60"/>
  <c r="Y21"/>
  <c r="Y168"/>
  <c r="Y147"/>
  <c r="Y122"/>
  <c r="Y176"/>
  <c r="Y155"/>
  <c r="Y130"/>
  <c r="Y35"/>
  <c r="Y41"/>
  <c r="Y51"/>
  <c r="Y24"/>
  <c r="Y158"/>
  <c r="Y111"/>
  <c r="V111" s="1"/>
  <c r="S111" s="1"/>
  <c r="Q111" s="1"/>
  <c r="Y144"/>
  <c r="Y57"/>
  <c r="Y179"/>
  <c r="Y132"/>
  <c r="Y40"/>
  <c r="Y59"/>
  <c r="Y166"/>
  <c r="Y18"/>
  <c r="Y96"/>
  <c r="Y95"/>
  <c r="Y94"/>
  <c r="Y93"/>
  <c r="Y92"/>
  <c r="Y91"/>
  <c r="Y90"/>
  <c r="Y86"/>
  <c r="Y85"/>
  <c r="Y74"/>
  <c r="Y73"/>
  <c r="Y72"/>
  <c r="Y71"/>
  <c r="Y70"/>
  <c r="Y69"/>
  <c r="Y68"/>
  <c r="Y67"/>
  <c r="Y66"/>
  <c r="Y65"/>
  <c r="Y64"/>
  <c r="Y63"/>
  <c r="Y108"/>
  <c r="Y107"/>
  <c r="Y106"/>
  <c r="Y105"/>
  <c r="Y104"/>
  <c r="Y103"/>
  <c r="Y102"/>
  <c r="Y101"/>
  <c r="V101" s="1"/>
  <c r="S101" s="1"/>
  <c r="Y100"/>
  <c r="Y99"/>
  <c r="Y98"/>
  <c r="Y89"/>
  <c r="Y84"/>
  <c r="Y83"/>
  <c r="Y82"/>
  <c r="Y81"/>
  <c r="Y80"/>
  <c r="Y79"/>
  <c r="Y78"/>
  <c r="Y77"/>
  <c r="Y76"/>
  <c r="Y88"/>
  <c r="Y87"/>
  <c r="Y61"/>
  <c r="V61" s="1"/>
  <c r="S61" s="1"/>
  <c r="M125" i="47"/>
  <c r="AA125" i="4" s="1"/>
  <c r="Y125" i="8" s="1"/>
  <c r="L125" s="1"/>
  <c r="M169" i="47"/>
  <c r="AA169" i="4" s="1"/>
  <c r="Y169" i="8" s="1"/>
  <c r="M19" i="47"/>
  <c r="G19" s="1"/>
  <c r="M74"/>
  <c r="G74" s="1"/>
  <c r="M155"/>
  <c r="AA155" i="4" s="1"/>
  <c r="Y155" i="8" s="1"/>
  <c r="M97" i="47"/>
  <c r="AA97" i="4" s="1"/>
  <c r="Y97" i="8" s="1"/>
  <c r="M165" i="47"/>
  <c r="G165" s="1"/>
  <c r="M34"/>
  <c r="AA34" i="4" s="1"/>
  <c r="Y34" i="8" s="1"/>
  <c r="M99" i="47"/>
  <c r="G99" s="1"/>
  <c r="M167"/>
  <c r="G167" s="1"/>
  <c r="M16"/>
  <c r="G16" s="1"/>
  <c r="M26"/>
  <c r="G26" s="1"/>
  <c r="M51"/>
  <c r="G51" s="1"/>
  <c r="M59"/>
  <c r="G59" s="1"/>
  <c r="M71"/>
  <c r="AA71" i="4" s="1"/>
  <c r="Y71" i="8" s="1"/>
  <c r="M86" i="47"/>
  <c r="AA86" i="4" s="1"/>
  <c r="Y86" i="8" s="1"/>
  <c r="M117" i="47"/>
  <c r="AA117" i="4" s="1"/>
  <c r="Y117" i="8" s="1"/>
  <c r="M145" i="47"/>
  <c r="G145" s="1"/>
  <c r="M153"/>
  <c r="AA153" i="4" s="1"/>
  <c r="Y153" i="8" s="1"/>
  <c r="M35" i="47"/>
  <c r="AA35" i="4" s="1"/>
  <c r="Y35" i="8" s="1"/>
  <c r="M46" i="47"/>
  <c r="G46" s="1"/>
  <c r="M68"/>
  <c r="G68" s="1"/>
  <c r="M94"/>
  <c r="G94" s="1"/>
  <c r="M102"/>
  <c r="AA102" i="4" s="1"/>
  <c r="Y102" i="8" s="1"/>
  <c r="M130" i="47"/>
  <c r="G130" s="1"/>
  <c r="M160"/>
  <c r="AA160" i="4" s="1"/>
  <c r="Y160" i="8" s="1"/>
  <c r="M168" i="47"/>
  <c r="G168" s="1"/>
  <c r="M177"/>
  <c r="G177" s="1"/>
  <c r="M18"/>
  <c r="G18" s="1"/>
  <c r="M27"/>
  <c r="G27" s="1"/>
  <c r="M54"/>
  <c r="G54" s="1"/>
  <c r="M62"/>
  <c r="AA62" i="4" s="1"/>
  <c r="Y62" i="8" s="1"/>
  <c r="M76" i="47"/>
  <c r="AA76" i="4" s="1"/>
  <c r="Y76" i="8" s="1"/>
  <c r="M146" i="47"/>
  <c r="AA146" i="4" s="1"/>
  <c r="Y146" i="8" s="1"/>
  <c r="M176" i="47"/>
  <c r="G176" s="1"/>
  <c r="M82"/>
  <c r="G82" s="1"/>
  <c r="M80"/>
  <c r="G80" s="1"/>
  <c r="M81"/>
  <c r="G81" s="1"/>
  <c r="M41"/>
  <c r="G41" s="1"/>
  <c r="AL6" i="8"/>
  <c r="AH6"/>
  <c r="E148" i="21"/>
  <c r="S148" i="22" s="1"/>
  <c r="E150" i="21"/>
  <c r="E151"/>
  <c r="E147"/>
  <c r="E152"/>
  <c r="E149"/>
  <c r="E123"/>
  <c r="E122"/>
  <c r="E145"/>
  <c r="E142"/>
  <c r="E144"/>
  <c r="E82"/>
  <c r="E85"/>
  <c r="E83"/>
  <c r="E81"/>
  <c r="E84"/>
  <c r="E78"/>
  <c r="E89"/>
  <c r="E94"/>
  <c r="E80"/>
  <c r="E91"/>
  <c r="E95"/>
  <c r="E87"/>
  <c r="E92"/>
  <c r="E88"/>
  <c r="E93"/>
  <c r="E77"/>
  <c r="J127" i="58" l="1"/>
  <c r="L127" s="1"/>
  <c r="L121"/>
  <c r="O121"/>
  <c r="J127" i="55"/>
  <c r="L127" s="1"/>
  <c r="O121"/>
  <c r="L121"/>
  <c r="J127" i="60"/>
  <c r="L127" s="1"/>
  <c r="L121"/>
  <c r="O121"/>
  <c r="L93" i="58"/>
  <c r="O113"/>
  <c r="O134" s="1"/>
  <c r="U121" i="22"/>
  <c r="R121" s="1"/>
  <c r="O113" i="55"/>
  <c r="O134" s="1"/>
  <c r="D34" i="12" s="1"/>
  <c r="T39" i="62" s="1"/>
  <c r="O93" i="58"/>
  <c r="F55" i="55"/>
  <c r="F51"/>
  <c r="F54"/>
  <c r="F52"/>
  <c r="F53"/>
  <c r="F65"/>
  <c r="F63"/>
  <c r="F64"/>
  <c r="F66"/>
  <c r="F67"/>
  <c r="F89" i="58"/>
  <c r="F91"/>
  <c r="F88"/>
  <c r="F87"/>
  <c r="F90"/>
  <c r="F61" i="55"/>
  <c r="F60"/>
  <c r="F59"/>
  <c r="F57"/>
  <c r="F58"/>
  <c r="F70" i="58"/>
  <c r="F73"/>
  <c r="F72"/>
  <c r="F71"/>
  <c r="F69"/>
  <c r="F84" i="55"/>
  <c r="F83"/>
  <c r="F81"/>
  <c r="F85"/>
  <c r="F82"/>
  <c r="F82" i="58"/>
  <c r="F85"/>
  <c r="F84"/>
  <c r="F83"/>
  <c r="F81"/>
  <c r="F72" i="55"/>
  <c r="F70"/>
  <c r="F71"/>
  <c r="F69"/>
  <c r="F73"/>
  <c r="F75"/>
  <c r="F78"/>
  <c r="F79"/>
  <c r="F76"/>
  <c r="F77"/>
  <c r="F46" i="58"/>
  <c r="F45"/>
  <c r="F47"/>
  <c r="F48"/>
  <c r="F49"/>
  <c r="F76"/>
  <c r="F75"/>
  <c r="F78"/>
  <c r="F79"/>
  <c r="F77"/>
  <c r="L93" i="55"/>
  <c r="E14" i="12" s="1"/>
  <c r="F59" i="58"/>
  <c r="F57"/>
  <c r="F58"/>
  <c r="F61"/>
  <c r="F60"/>
  <c r="U120" i="22"/>
  <c r="F47" i="55"/>
  <c r="F48"/>
  <c r="F45"/>
  <c r="F46"/>
  <c r="F49"/>
  <c r="F52" i="58"/>
  <c r="F55"/>
  <c r="F51"/>
  <c r="F54"/>
  <c r="F53"/>
  <c r="O93" i="55"/>
  <c r="D14" i="12" s="1"/>
  <c r="F90" i="55"/>
  <c r="F91"/>
  <c r="F88"/>
  <c r="F89"/>
  <c r="F87"/>
  <c r="F63" i="58"/>
  <c r="F66"/>
  <c r="F67"/>
  <c r="F64"/>
  <c r="F65"/>
  <c r="I98" i="47"/>
  <c r="D99" s="1"/>
  <c r="J43"/>
  <c r="E45" s="1"/>
  <c r="AH11" i="4"/>
  <c r="AC11" i="8" s="1"/>
  <c r="P11" s="1"/>
  <c r="E10" i="21"/>
  <c r="E79" i="13"/>
  <c r="V125" i="22"/>
  <c r="V126"/>
  <c r="S126" s="1"/>
  <c r="V121"/>
  <c r="S121" s="1"/>
  <c r="V120"/>
  <c r="I58" i="47"/>
  <c r="D60" s="1"/>
  <c r="V135" i="22"/>
  <c r="V138"/>
  <c r="S138" s="1"/>
  <c r="V136"/>
  <c r="S136" s="1"/>
  <c r="V139"/>
  <c r="S139" s="1"/>
  <c r="AA11" i="4"/>
  <c r="Y11" i="8" s="1"/>
  <c r="J76" i="47"/>
  <c r="E77" s="1"/>
  <c r="E119" i="21"/>
  <c r="E79" i="16"/>
  <c r="D121" i="21"/>
  <c r="D120"/>
  <c r="D11"/>
  <c r="E124"/>
  <c r="E133"/>
  <c r="J178" i="47"/>
  <c r="E180" s="1"/>
  <c r="J39"/>
  <c r="E42" s="1"/>
  <c r="G132"/>
  <c r="J98"/>
  <c r="E100" s="1"/>
  <c r="J112"/>
  <c r="E113" s="1"/>
  <c r="J53"/>
  <c r="E57" s="1"/>
  <c r="J170"/>
  <c r="E172" s="1"/>
  <c r="J35"/>
  <c r="E37" s="1"/>
  <c r="J63"/>
  <c r="E64" s="1"/>
  <c r="J71"/>
  <c r="E73" s="1"/>
  <c r="J86"/>
  <c r="AA134" i="4"/>
  <c r="Y134" i="8" s="1"/>
  <c r="I155" i="47"/>
  <c r="AA148" i="4"/>
  <c r="Y148" i="8" s="1"/>
  <c r="L148" s="1"/>
  <c r="G148" i="47"/>
  <c r="AA162" i="4"/>
  <c r="Y162" i="8" s="1"/>
  <c r="L162" s="1"/>
  <c r="G162" i="47"/>
  <c r="AA88" i="4"/>
  <c r="Y88" i="8" s="1"/>
  <c r="L88" s="1"/>
  <c r="G88" i="47"/>
  <c r="I86" s="1"/>
  <c r="AA12" i="4"/>
  <c r="Y12" i="8" s="1"/>
  <c r="L12" s="1"/>
  <c r="J21" i="47"/>
  <c r="J164"/>
  <c r="AA40" i="4"/>
  <c r="Y40" i="8" s="1"/>
  <c r="L40" s="1"/>
  <c r="G40" i="47"/>
  <c r="I39" s="1"/>
  <c r="AA175" i="4"/>
  <c r="Y175" i="8" s="1"/>
  <c r="L175" s="1"/>
  <c r="G175" i="47"/>
  <c r="I174" s="1"/>
  <c r="AA65" i="4"/>
  <c r="Y65" i="8" s="1"/>
  <c r="L65" s="1"/>
  <c r="G65" i="47"/>
  <c r="I63" s="1"/>
  <c r="AA127" i="4"/>
  <c r="Y127" i="8" s="1"/>
  <c r="L127" s="1"/>
  <c r="G127" i="47"/>
  <c r="O96" i="60"/>
  <c r="D17" i="15" s="1"/>
  <c r="L96" i="60"/>
  <c r="E17" i="15" s="1"/>
  <c r="H138" i="47"/>
  <c r="AH138" i="4"/>
  <c r="AC138" i="8" s="1"/>
  <c r="P138" s="1"/>
  <c r="I67" i="47"/>
  <c r="I164"/>
  <c r="D33"/>
  <c r="D32"/>
  <c r="I90"/>
  <c r="E144"/>
  <c r="E145"/>
  <c r="AH133" i="4"/>
  <c r="AC133" i="8" s="1"/>
  <c r="P133" s="1"/>
  <c r="J174" i="47"/>
  <c r="J48"/>
  <c r="J31"/>
  <c r="J67"/>
  <c r="J155"/>
  <c r="AA50" i="4"/>
  <c r="Y50" i="8" s="1"/>
  <c r="L50" s="1"/>
  <c r="G50" i="47"/>
  <c r="AA133" i="4"/>
  <c r="Y133" i="8" s="1"/>
  <c r="AA96" i="4"/>
  <c r="Y96" i="8" s="1"/>
  <c r="L96" s="1"/>
  <c r="G96" i="47"/>
  <c r="AA110" i="4"/>
  <c r="Y110" i="8" s="1"/>
  <c r="L110" s="1"/>
  <c r="G110" i="47"/>
  <c r="AA49" i="4"/>
  <c r="Y49" i="8" s="1"/>
  <c r="L49" s="1"/>
  <c r="G49" i="47"/>
  <c r="AA83" i="4"/>
  <c r="Y83" i="8" s="1"/>
  <c r="L83" s="1"/>
  <c r="G83" i="47"/>
  <c r="I79" s="1"/>
  <c r="AA72" i="4"/>
  <c r="Y72" i="8" s="1"/>
  <c r="L72" s="1"/>
  <c r="G72" i="47"/>
  <c r="I71" s="1"/>
  <c r="AA173" i="4"/>
  <c r="Y173" i="8" s="1"/>
  <c r="L173" s="1"/>
  <c r="G173" i="47"/>
  <c r="AA22" i="4"/>
  <c r="Y22" i="8" s="1"/>
  <c r="L22" s="1"/>
  <c r="G22" i="47"/>
  <c r="AA106" i="4"/>
  <c r="Y106" i="8" s="1"/>
  <c r="L106" s="1"/>
  <c r="G106" i="47"/>
  <c r="I76"/>
  <c r="O97" i="60"/>
  <c r="D18" i="15" s="1"/>
  <c r="L97" i="60"/>
  <c r="E18" i="15" s="1"/>
  <c r="O98" i="60"/>
  <c r="D19" i="15" s="1"/>
  <c r="L98" i="60"/>
  <c r="E19" i="15" s="1"/>
  <c r="H136" i="47"/>
  <c r="AH136" i="4"/>
  <c r="AC136" i="8" s="1"/>
  <c r="P136" s="1"/>
  <c r="H135" i="47"/>
  <c r="AH135" i="4"/>
  <c r="AC135" i="8" s="1"/>
  <c r="P135" s="1"/>
  <c r="G136" i="47"/>
  <c r="AA136" i="4"/>
  <c r="Y136" i="8" s="1"/>
  <c r="L136" s="1"/>
  <c r="AA111" i="4"/>
  <c r="Y111" i="8" s="1"/>
  <c r="L111" s="1"/>
  <c r="G111" i="47"/>
  <c r="AA28" i="4"/>
  <c r="Y28" i="8" s="1"/>
  <c r="L28" s="1"/>
  <c r="G28" i="47"/>
  <c r="AA38" i="4"/>
  <c r="Y38" i="8" s="1"/>
  <c r="L38" s="1"/>
  <c r="G38" i="47"/>
  <c r="I35" s="1"/>
  <c r="AA128" i="4"/>
  <c r="Y128" i="8" s="1"/>
  <c r="L128" s="1"/>
  <c r="G128" i="47"/>
  <c r="G138"/>
  <c r="AA138" i="4"/>
  <c r="Y138" i="8" s="1"/>
  <c r="L138" s="1"/>
  <c r="O94" i="60"/>
  <c r="D15" i="15" s="1"/>
  <c r="L94" i="60"/>
  <c r="E15" i="15" s="1"/>
  <c r="H139" i="47"/>
  <c r="AH139" i="4"/>
  <c r="AC139" i="8" s="1"/>
  <c r="P139" s="1"/>
  <c r="I53" i="47"/>
  <c r="AA147" i="4"/>
  <c r="Y147" i="8" s="1"/>
  <c r="L147" s="1"/>
  <c r="G147" i="47"/>
  <c r="AA104" i="4"/>
  <c r="Y104" i="8" s="1"/>
  <c r="L104" s="1"/>
  <c r="G104" i="47"/>
  <c r="AA107" i="4"/>
  <c r="Y107" i="8" s="1"/>
  <c r="L107" s="1"/>
  <c r="G107" i="47"/>
  <c r="AA171" i="4"/>
  <c r="Y171" i="8" s="1"/>
  <c r="L171" s="1"/>
  <c r="G171" i="47"/>
  <c r="AA114" i="4"/>
  <c r="Y114" i="8" s="1"/>
  <c r="L114" s="1"/>
  <c r="G114" i="47"/>
  <c r="I112" s="1"/>
  <c r="G139"/>
  <c r="AA139" i="4"/>
  <c r="Y139" i="8" s="1"/>
  <c r="L139" s="1"/>
  <c r="G135" i="47"/>
  <c r="AA135" i="4"/>
  <c r="Y135" i="8" s="1"/>
  <c r="L135" s="1"/>
  <c r="I143" i="47"/>
  <c r="I14"/>
  <c r="J90"/>
  <c r="J116"/>
  <c r="J58"/>
  <c r="J79"/>
  <c r="J146"/>
  <c r="J14"/>
  <c r="J102"/>
  <c r="AA150" i="4"/>
  <c r="Y150" i="8" s="1"/>
  <c r="L150" s="1"/>
  <c r="G150" i="47"/>
  <c r="AA172" i="4"/>
  <c r="Y172" i="8" s="1"/>
  <c r="L172" s="1"/>
  <c r="G172" i="47"/>
  <c r="AA179" i="4"/>
  <c r="Y179" i="8" s="1"/>
  <c r="L179" s="1"/>
  <c r="G179" i="47"/>
  <c r="I178" s="1"/>
  <c r="AA163" i="4"/>
  <c r="Y163" i="8" s="1"/>
  <c r="L163" s="1"/>
  <c r="G163" i="47"/>
  <c r="AA129" i="4"/>
  <c r="Y129" i="8" s="1"/>
  <c r="L129" s="1"/>
  <c r="G129" i="47"/>
  <c r="AA45" i="4"/>
  <c r="Y45" i="8" s="1"/>
  <c r="L45" s="1"/>
  <c r="G45" i="47"/>
  <c r="I43" s="1"/>
  <c r="AA131" i="4"/>
  <c r="Y131" i="8" s="1"/>
  <c r="L131" s="1"/>
  <c r="G131" i="47"/>
  <c r="L95" i="60"/>
  <c r="E16" i="15" s="1"/>
  <c r="O95" i="60"/>
  <c r="D16" i="15" s="1"/>
  <c r="AG124" i="8"/>
  <c r="AF124"/>
  <c r="L124" s="1"/>
  <c r="AA120" i="4"/>
  <c r="Y120" i="8" s="1"/>
  <c r="L120" s="1"/>
  <c r="AA137" i="4"/>
  <c r="Y137" i="8" s="1"/>
  <c r="L135" i="58"/>
  <c r="J118" i="55"/>
  <c r="L117" i="56"/>
  <c r="J118" i="58" s="1"/>
  <c r="L117" i="59"/>
  <c r="J118" i="60" s="1"/>
  <c r="D61" i="15" s="1"/>
  <c r="G71" i="21"/>
  <c r="G72"/>
  <c r="G177"/>
  <c r="G125"/>
  <c r="G168"/>
  <c r="G160"/>
  <c r="D160" s="1"/>
  <c r="G152"/>
  <c r="G144"/>
  <c r="G132"/>
  <c r="G122"/>
  <c r="G114"/>
  <c r="G93"/>
  <c r="G79"/>
  <c r="G42"/>
  <c r="G33"/>
  <c r="G25"/>
  <c r="G14"/>
  <c r="G176"/>
  <c r="G103"/>
  <c r="G81"/>
  <c r="G63"/>
  <c r="G54"/>
  <c r="G20"/>
  <c r="G165"/>
  <c r="G157"/>
  <c r="G149"/>
  <c r="G141"/>
  <c r="G129"/>
  <c r="G111"/>
  <c r="D111" s="1"/>
  <c r="G90"/>
  <c r="G76"/>
  <c r="G41"/>
  <c r="G32"/>
  <c r="G24"/>
  <c r="G13"/>
  <c r="G68"/>
  <c r="G100"/>
  <c r="G180"/>
  <c r="G61"/>
  <c r="D61" s="1"/>
  <c r="G59"/>
  <c r="G86"/>
  <c r="G74"/>
  <c r="G87"/>
  <c r="G110"/>
  <c r="D110" s="1"/>
  <c r="G166"/>
  <c r="G158"/>
  <c r="G150"/>
  <c r="G142"/>
  <c r="G130"/>
  <c r="G112"/>
  <c r="G91"/>
  <c r="G77"/>
  <c r="G40"/>
  <c r="G31"/>
  <c r="G23"/>
  <c r="G109"/>
  <c r="D109" s="1"/>
  <c r="G101"/>
  <c r="G69"/>
  <c r="G60"/>
  <c r="G52"/>
  <c r="G172"/>
  <c r="G163"/>
  <c r="G155"/>
  <c r="G147"/>
  <c r="G127"/>
  <c r="G117"/>
  <c r="D117" s="1"/>
  <c r="G96"/>
  <c r="G88"/>
  <c r="G47"/>
  <c r="G39"/>
  <c r="G30"/>
  <c r="G22"/>
  <c r="G57"/>
  <c r="G80"/>
  <c r="G106"/>
  <c r="G53"/>
  <c r="G178"/>
  <c r="G124"/>
  <c r="G169"/>
  <c r="G73"/>
  <c r="G162"/>
  <c r="G146"/>
  <c r="G95"/>
  <c r="G44"/>
  <c r="G27"/>
  <c r="G179"/>
  <c r="G85"/>
  <c r="G56"/>
  <c r="G167"/>
  <c r="G151"/>
  <c r="G131"/>
  <c r="G113"/>
  <c r="G78"/>
  <c r="G35"/>
  <c r="G15"/>
  <c r="G108"/>
  <c r="G64"/>
  <c r="G70"/>
  <c r="G175"/>
  <c r="G173"/>
  <c r="G156"/>
  <c r="G140"/>
  <c r="D140" s="1"/>
  <c r="G118"/>
  <c r="D118" s="1"/>
  <c r="G89"/>
  <c r="G38"/>
  <c r="G21"/>
  <c r="G107"/>
  <c r="G67"/>
  <c r="G50"/>
  <c r="G161"/>
  <c r="G145"/>
  <c r="G123"/>
  <c r="G94"/>
  <c r="G45"/>
  <c r="G28"/>
  <c r="G102"/>
  <c r="G66"/>
  <c r="G34"/>
  <c r="G75"/>
  <c r="G171"/>
  <c r="G154"/>
  <c r="G116"/>
  <c r="G82"/>
  <c r="G36"/>
  <c r="G16"/>
  <c r="G105"/>
  <c r="G65"/>
  <c r="G48"/>
  <c r="G159"/>
  <c r="D159" s="1"/>
  <c r="G143"/>
  <c r="G92"/>
  <c r="G43"/>
  <c r="G83"/>
  <c r="G55"/>
  <c r="G19"/>
  <c r="D19" s="1"/>
  <c r="G51"/>
  <c r="G174"/>
  <c r="G62"/>
  <c r="G164"/>
  <c r="G148"/>
  <c r="G128"/>
  <c r="G97"/>
  <c r="G46"/>
  <c r="G29"/>
  <c r="G18"/>
  <c r="G99"/>
  <c r="G58"/>
  <c r="G170"/>
  <c r="G153"/>
  <c r="G133"/>
  <c r="G115"/>
  <c r="G84"/>
  <c r="G37"/>
  <c r="G17"/>
  <c r="G49"/>
  <c r="G98"/>
  <c r="G104"/>
  <c r="X41" i="22"/>
  <c r="X39"/>
  <c r="X112"/>
  <c r="X122"/>
  <c r="X133"/>
  <c r="U138" s="1"/>
  <c r="R138" s="1"/>
  <c r="X132"/>
  <c r="X127"/>
  <c r="X164"/>
  <c r="X166"/>
  <c r="X12"/>
  <c r="X27"/>
  <c r="X48"/>
  <c r="X65"/>
  <c r="X76"/>
  <c r="X104"/>
  <c r="X144"/>
  <c r="X81"/>
  <c r="X178"/>
  <c r="X37"/>
  <c r="X53"/>
  <c r="X70"/>
  <c r="X97"/>
  <c r="X148"/>
  <c r="X156"/>
  <c r="X82"/>
  <c r="X167"/>
  <c r="X179"/>
  <c r="X21"/>
  <c r="X38"/>
  <c r="X58"/>
  <c r="X78"/>
  <c r="X103"/>
  <c r="X146"/>
  <c r="X168"/>
  <c r="X99"/>
  <c r="X20"/>
  <c r="X140"/>
  <c r="U140" s="1"/>
  <c r="R140" s="1"/>
  <c r="X40"/>
  <c r="X109"/>
  <c r="U109" s="1"/>
  <c r="R109" s="1"/>
  <c r="X46"/>
  <c r="X15"/>
  <c r="X114"/>
  <c r="X113"/>
  <c r="X123"/>
  <c r="X118"/>
  <c r="U118" s="1"/>
  <c r="R118" s="1"/>
  <c r="X129"/>
  <c r="X80"/>
  <c r="X171"/>
  <c r="X16"/>
  <c r="X31"/>
  <c r="X55"/>
  <c r="X67"/>
  <c r="X87"/>
  <c r="X106"/>
  <c r="X155"/>
  <c r="X85"/>
  <c r="X24"/>
  <c r="X44"/>
  <c r="X60"/>
  <c r="X77"/>
  <c r="X100"/>
  <c r="X150"/>
  <c r="X158"/>
  <c r="X75"/>
  <c r="X169"/>
  <c r="X13"/>
  <c r="X25"/>
  <c r="X45"/>
  <c r="X64"/>
  <c r="X89"/>
  <c r="X105"/>
  <c r="X154"/>
  <c r="X175"/>
  <c r="X143"/>
  <c r="X50"/>
  <c r="X177"/>
  <c r="X69"/>
  <c r="X30"/>
  <c r="X34"/>
  <c r="X43"/>
  <c r="X126"/>
  <c r="X84"/>
  <c r="X18"/>
  <c r="X57"/>
  <c r="X91"/>
  <c r="X117"/>
  <c r="U117" s="1"/>
  <c r="R117" s="1"/>
  <c r="X28"/>
  <c r="X63"/>
  <c r="X102"/>
  <c r="X9"/>
  <c r="U9" s="1"/>
  <c r="R9" s="1"/>
  <c r="X172"/>
  <c r="X29"/>
  <c r="X66"/>
  <c r="X107"/>
  <c r="X35"/>
  <c r="X94"/>
  <c r="X86"/>
  <c r="X170"/>
  <c r="X90"/>
  <c r="X157"/>
  <c r="X10"/>
  <c r="X111"/>
  <c r="U111" s="1"/>
  <c r="R111" s="1"/>
  <c r="P111" s="1"/>
  <c r="X125"/>
  <c r="X124"/>
  <c r="X163"/>
  <c r="X23"/>
  <c r="X62"/>
  <c r="X95"/>
  <c r="X61"/>
  <c r="U61" s="1"/>
  <c r="R61" s="1"/>
  <c r="X32"/>
  <c r="X68"/>
  <c r="X142"/>
  <c r="X161"/>
  <c r="X174"/>
  <c r="X33"/>
  <c r="X73"/>
  <c r="X145"/>
  <c r="X52"/>
  <c r="X149"/>
  <c r="X14"/>
  <c r="X128"/>
  <c r="X131"/>
  <c r="X173"/>
  <c r="X36"/>
  <c r="X72"/>
  <c r="X108"/>
  <c r="X49"/>
  <c r="X88"/>
  <c r="X152"/>
  <c r="X162"/>
  <c r="X17"/>
  <c r="X54"/>
  <c r="X93"/>
  <c r="X159"/>
  <c r="U159" s="1"/>
  <c r="R159" s="1"/>
  <c r="X151"/>
  <c r="X79"/>
  <c r="X47"/>
  <c r="X83"/>
  <c r="X110"/>
  <c r="U110" s="1"/>
  <c r="R110" s="1"/>
  <c r="P110" s="1"/>
  <c r="X130"/>
  <c r="X180"/>
  <c r="X42"/>
  <c r="X74"/>
  <c r="X141"/>
  <c r="X176"/>
  <c r="X51"/>
  <c r="X92"/>
  <c r="X153"/>
  <c r="X165"/>
  <c r="X19"/>
  <c r="X56"/>
  <c r="X98"/>
  <c r="X115"/>
  <c r="X116"/>
  <c r="X22"/>
  <c r="X71"/>
  <c r="X101"/>
  <c r="X147"/>
  <c r="X160"/>
  <c r="U160" s="1"/>
  <c r="R160" s="1"/>
  <c r="X59"/>
  <c r="X26"/>
  <c r="X96"/>
  <c r="AA77" i="4"/>
  <c r="Y77" i="8" s="1"/>
  <c r="L77" s="1"/>
  <c r="AA69" i="4"/>
  <c r="Y69" i="8" s="1"/>
  <c r="L69" s="1"/>
  <c r="AA17" i="4"/>
  <c r="Y17" i="8" s="1"/>
  <c r="L17" s="1"/>
  <c r="AA180" i="4"/>
  <c r="Y180" i="8" s="1"/>
  <c r="L180" s="1"/>
  <c r="AA30" i="4"/>
  <c r="Y30" i="8" s="1"/>
  <c r="L30" s="1"/>
  <c r="AA29" i="4"/>
  <c r="Y29" i="8" s="1"/>
  <c r="L29" s="1"/>
  <c r="AA103" i="4"/>
  <c r="Y103" i="8" s="1"/>
  <c r="L103" s="1"/>
  <c r="AA56" i="4"/>
  <c r="Y56" i="8" s="1"/>
  <c r="L56" s="1"/>
  <c r="AA78" i="4"/>
  <c r="Y78" i="8" s="1"/>
  <c r="L78" s="1"/>
  <c r="AA23" i="4"/>
  <c r="Y23" i="8" s="1"/>
  <c r="L23" s="1"/>
  <c r="AA87" i="4"/>
  <c r="Y87" i="8" s="1"/>
  <c r="L87" s="1"/>
  <c r="AA149" i="4"/>
  <c r="Y149" i="8" s="1"/>
  <c r="L149" s="1"/>
  <c r="AA101" i="4"/>
  <c r="Y101" i="8" s="1"/>
  <c r="L101" s="1"/>
  <c r="AA105" i="4"/>
  <c r="Y105" i="8" s="1"/>
  <c r="L105" s="1"/>
  <c r="AA37" i="4"/>
  <c r="Y37" i="8" s="1"/>
  <c r="L37" s="1"/>
  <c r="AA36" i="4"/>
  <c r="Y36" i="8" s="1"/>
  <c r="L36" s="1"/>
  <c r="AA156" i="4"/>
  <c r="Y156" i="8" s="1"/>
  <c r="L156" s="1"/>
  <c r="AA55" i="4"/>
  <c r="Y55" i="8" s="1"/>
  <c r="L55" s="1"/>
  <c r="AA42" i="4"/>
  <c r="Y42" i="8" s="1"/>
  <c r="L42" s="1"/>
  <c r="AA113" i="4"/>
  <c r="Y113" i="8" s="1"/>
  <c r="L113" s="1"/>
  <c r="AA43" i="4"/>
  <c r="Y43" i="8" s="1"/>
  <c r="L43" s="1"/>
  <c r="AA95" i="4"/>
  <c r="Y95" i="8" s="1"/>
  <c r="L95" s="1"/>
  <c r="AA70" i="4"/>
  <c r="Y70" i="8" s="1"/>
  <c r="L70" s="1"/>
  <c r="E62" i="21"/>
  <c r="AA99" i="4"/>
  <c r="Y99" i="8" s="1"/>
  <c r="L99" s="1"/>
  <c r="E97" i="21"/>
  <c r="AA66" i="4"/>
  <c r="Y66" i="8" s="1"/>
  <c r="L66" s="1"/>
  <c r="AH60" i="4"/>
  <c r="AC60" i="8" s="1"/>
  <c r="P60" s="1"/>
  <c r="AH29" i="4"/>
  <c r="AC29" i="8" s="1"/>
  <c r="P29" s="1"/>
  <c r="AH118" i="4"/>
  <c r="AC118" i="8" s="1"/>
  <c r="P118" s="1"/>
  <c r="AH15" i="4"/>
  <c r="AC15" i="8" s="1"/>
  <c r="P15" s="1"/>
  <c r="AH45" i="4"/>
  <c r="AC45" i="8" s="1"/>
  <c r="P45" s="1"/>
  <c r="AH103" i="4"/>
  <c r="AC103" i="8" s="1"/>
  <c r="P103" s="1"/>
  <c r="AH158" i="4"/>
  <c r="AC158" i="8" s="1"/>
  <c r="P158" s="1"/>
  <c r="AH129" i="4"/>
  <c r="AC129" i="8" s="1"/>
  <c r="P129" s="1"/>
  <c r="AA54" i="4"/>
  <c r="Y54" i="8" s="1"/>
  <c r="L54" s="1"/>
  <c r="AA74" i="4"/>
  <c r="Y74" i="8" s="1"/>
  <c r="L74" s="1"/>
  <c r="V66" i="22"/>
  <c r="S66" s="1"/>
  <c r="V64"/>
  <c r="V65"/>
  <c r="S65" s="1"/>
  <c r="V68"/>
  <c r="S68" s="1"/>
  <c r="V70"/>
  <c r="S70" s="1"/>
  <c r="V69"/>
  <c r="S69" s="1"/>
  <c r="V73"/>
  <c r="S73" s="1"/>
  <c r="V72"/>
  <c r="S72" s="1"/>
  <c r="V74"/>
  <c r="S74" s="1"/>
  <c r="V49"/>
  <c r="V51"/>
  <c r="S51" s="1"/>
  <c r="V50"/>
  <c r="S50" s="1"/>
  <c r="V52"/>
  <c r="S52" s="1"/>
  <c r="S127"/>
  <c r="S129"/>
  <c r="S131"/>
  <c r="S128"/>
  <c r="S130"/>
  <c r="S132"/>
  <c r="V113"/>
  <c r="V114"/>
  <c r="S114" s="1"/>
  <c r="V33"/>
  <c r="S33" s="1"/>
  <c r="V32"/>
  <c r="S32" s="1"/>
  <c r="Q116"/>
  <c r="V158"/>
  <c r="S158" s="1"/>
  <c r="V157"/>
  <c r="S157" s="1"/>
  <c r="V154"/>
  <c r="V156"/>
  <c r="S156" s="1"/>
  <c r="V175"/>
  <c r="S175" s="1"/>
  <c r="V173"/>
  <c r="S173" s="1"/>
  <c r="V177"/>
  <c r="S177" s="1"/>
  <c r="V180"/>
  <c r="S180" s="1"/>
  <c r="V172"/>
  <c r="S172" s="1"/>
  <c r="V179"/>
  <c r="S179" s="1"/>
  <c r="V176"/>
  <c r="S176" s="1"/>
  <c r="V171"/>
  <c r="V43"/>
  <c r="S43" s="1"/>
  <c r="V45"/>
  <c r="S45" s="1"/>
  <c r="V44"/>
  <c r="S44" s="1"/>
  <c r="AA89" i="4"/>
  <c r="Y89" i="8" s="1"/>
  <c r="L89" s="1"/>
  <c r="AA25" i="4"/>
  <c r="Y25" i="8" s="1"/>
  <c r="L25" s="1"/>
  <c r="AA158" i="4"/>
  <c r="Y158" i="8" s="1"/>
  <c r="L158" s="1"/>
  <c r="AA64" i="4"/>
  <c r="Y64" i="8" s="1"/>
  <c r="L64" s="1"/>
  <c r="AA151" i="4"/>
  <c r="Y151" i="8" s="1"/>
  <c r="L151" s="1"/>
  <c r="AA13" i="4"/>
  <c r="Y13" i="8" s="1"/>
  <c r="L13" s="1"/>
  <c r="AA157" i="4"/>
  <c r="Y157" i="8" s="1"/>
  <c r="L157" s="1"/>
  <c r="AA123" i="4"/>
  <c r="Y123" i="8" s="1"/>
  <c r="L123" s="1"/>
  <c r="E161" i="21"/>
  <c r="AH144" i="4"/>
  <c r="AC144" i="8" s="1"/>
  <c r="P144" s="1"/>
  <c r="AH16" i="4"/>
  <c r="AC16" i="8" s="1"/>
  <c r="P16" s="1"/>
  <c r="AH85" i="4"/>
  <c r="AC85" i="8" s="1"/>
  <c r="P85" s="1"/>
  <c r="AH12" i="4"/>
  <c r="AC12" i="8" s="1"/>
  <c r="P12" s="1"/>
  <c r="AH150" i="4"/>
  <c r="AC150" i="8" s="1"/>
  <c r="P150" s="1"/>
  <c r="AH23" i="4"/>
  <c r="AC23" i="8" s="1"/>
  <c r="P23" s="1"/>
  <c r="AH95" i="4"/>
  <c r="AC95" i="8" s="1"/>
  <c r="P95" s="1"/>
  <c r="AH104" i="4"/>
  <c r="AC104" i="8" s="1"/>
  <c r="P104" s="1"/>
  <c r="AH157" i="4"/>
  <c r="AC157" i="8" s="1"/>
  <c r="P157" s="1"/>
  <c r="AH165" i="4"/>
  <c r="AC165" i="8" s="1"/>
  <c r="P165" s="1"/>
  <c r="AH173" i="4"/>
  <c r="AC173" i="8" s="1"/>
  <c r="P173" s="1"/>
  <c r="AH142" i="4"/>
  <c r="AC142" i="8" s="1"/>
  <c r="P142" s="1"/>
  <c r="AH38" i="4"/>
  <c r="AC38" i="8" s="1"/>
  <c r="P38" s="1"/>
  <c r="AH55" i="4"/>
  <c r="AC55" i="8" s="1"/>
  <c r="P55" s="1"/>
  <c r="AH84" i="4"/>
  <c r="AC84" i="8" s="1"/>
  <c r="P84" s="1"/>
  <c r="AH151" i="4"/>
  <c r="AC151" i="8" s="1"/>
  <c r="P151" s="1"/>
  <c r="AH122" i="4"/>
  <c r="AC122" i="8" s="1"/>
  <c r="P122" s="1"/>
  <c r="AH19" i="4"/>
  <c r="AC19" i="8" s="1"/>
  <c r="P19" s="1"/>
  <c r="AH28" i="4"/>
  <c r="AC28" i="8" s="1"/>
  <c r="P28" s="1"/>
  <c r="AH64" i="4"/>
  <c r="AC64" i="8" s="1"/>
  <c r="P64" s="1"/>
  <c r="AH72" i="4"/>
  <c r="AC72" i="8" s="1"/>
  <c r="P72" s="1"/>
  <c r="AH94" i="4"/>
  <c r="AC94" i="8" s="1"/>
  <c r="P94" s="1"/>
  <c r="AH105" i="4"/>
  <c r="AC105" i="8" s="1"/>
  <c r="P105" s="1"/>
  <c r="AH132" i="4"/>
  <c r="AC132" i="8" s="1"/>
  <c r="P132" s="1"/>
  <c r="AH160" i="4"/>
  <c r="AC160" i="8" s="1"/>
  <c r="P160" s="1"/>
  <c r="AH168" i="4"/>
  <c r="AC168" i="8" s="1"/>
  <c r="P168" s="1"/>
  <c r="AH176" i="4"/>
  <c r="AC176" i="8" s="1"/>
  <c r="P176" s="1"/>
  <c r="AH43" i="4"/>
  <c r="AC43" i="8" s="1"/>
  <c r="P43" s="1"/>
  <c r="AH87" i="4"/>
  <c r="AC87" i="8" s="1"/>
  <c r="P87" s="1"/>
  <c r="AH40" i="4"/>
  <c r="AC40" i="8" s="1"/>
  <c r="P40" s="1"/>
  <c r="AH130" i="4"/>
  <c r="AC130" i="8" s="1"/>
  <c r="P130" s="1"/>
  <c r="AA177" i="4"/>
  <c r="Y177" i="8" s="1"/>
  <c r="L177" s="1"/>
  <c r="Q110" i="22"/>
  <c r="AA84" i="4"/>
  <c r="Y84" i="8" s="1"/>
  <c r="L84" s="1"/>
  <c r="AA52" i="4"/>
  <c r="Y52" i="8" s="1"/>
  <c r="L52" s="1"/>
  <c r="AA154" i="4"/>
  <c r="Y154" i="8" s="1"/>
  <c r="L154" s="1"/>
  <c r="AA24" i="4"/>
  <c r="Y24" i="8" s="1"/>
  <c r="L24" s="1"/>
  <c r="AH77" i="4"/>
  <c r="AC77" i="8" s="1"/>
  <c r="P77" s="1"/>
  <c r="AH46" i="4"/>
  <c r="AC46" i="8" s="1"/>
  <c r="P46" s="1"/>
  <c r="AH93" i="4"/>
  <c r="AC93" i="8" s="1"/>
  <c r="P93" s="1"/>
  <c r="AH110" i="4"/>
  <c r="AC110" i="8" s="1"/>
  <c r="P110" s="1"/>
  <c r="AH163" i="4"/>
  <c r="AC163" i="8" s="1"/>
  <c r="P163" s="1"/>
  <c r="AH179" i="4"/>
  <c r="AC179" i="8" s="1"/>
  <c r="P179" s="1"/>
  <c r="AH61" i="4"/>
  <c r="AC61" i="8" s="1"/>
  <c r="AH149" i="4"/>
  <c r="AC149" i="8" s="1"/>
  <c r="P149" s="1"/>
  <c r="AH26" i="4"/>
  <c r="AC26" i="8" s="1"/>
  <c r="P26" s="1"/>
  <c r="AH92" i="4"/>
  <c r="AC92" i="8" s="1"/>
  <c r="P92" s="1"/>
  <c r="AH111" i="4"/>
  <c r="AC111" i="8" s="1"/>
  <c r="P111" s="1"/>
  <c r="AH166" i="4"/>
  <c r="AC166" i="8" s="1"/>
  <c r="P166" s="1"/>
  <c r="AA122" i="4"/>
  <c r="Y122" i="8" s="1"/>
  <c r="L122" s="1"/>
  <c r="E75" i="21"/>
  <c r="E141"/>
  <c r="AA80" i="4"/>
  <c r="Y80" i="8" s="1"/>
  <c r="L80" s="1"/>
  <c r="K10" i="60" s="1"/>
  <c r="AA27" i="4"/>
  <c r="Y27" i="8" s="1"/>
  <c r="L27" s="1"/>
  <c r="AA68" i="4"/>
  <c r="Y68" i="8" s="1"/>
  <c r="L68" s="1"/>
  <c r="AA16" i="4"/>
  <c r="Y16" i="8" s="1"/>
  <c r="L16" s="1"/>
  <c r="AA165" i="4"/>
  <c r="Y165" i="8" s="1"/>
  <c r="L165" s="1"/>
  <c r="AA19" i="4"/>
  <c r="Y19" i="8" s="1"/>
  <c r="L19" s="1"/>
  <c r="V100" i="22"/>
  <c r="S100" s="1"/>
  <c r="V99"/>
  <c r="V104"/>
  <c r="S104" s="1"/>
  <c r="V108"/>
  <c r="S108" s="1"/>
  <c r="V106"/>
  <c r="S106" s="1"/>
  <c r="V107"/>
  <c r="S107" s="1"/>
  <c r="V105"/>
  <c r="S105" s="1"/>
  <c r="V103"/>
  <c r="S103" s="1"/>
  <c r="V88"/>
  <c r="S88" s="1"/>
  <c r="V87"/>
  <c r="S87" s="1"/>
  <c r="V89"/>
  <c r="S89" s="1"/>
  <c r="V40"/>
  <c r="S40" s="1"/>
  <c r="V41"/>
  <c r="S41" s="1"/>
  <c r="V42"/>
  <c r="S42" s="1"/>
  <c r="V147"/>
  <c r="V151"/>
  <c r="S151" s="1"/>
  <c r="V150"/>
  <c r="S150" s="1"/>
  <c r="V149"/>
  <c r="S149" s="1"/>
  <c r="V152"/>
  <c r="S152" s="1"/>
  <c r="V148"/>
  <c r="V16"/>
  <c r="S16" s="1"/>
  <c r="V18"/>
  <c r="S18" s="1"/>
  <c r="V17"/>
  <c r="S17" s="1"/>
  <c r="V15"/>
  <c r="S15" s="1"/>
  <c r="V144"/>
  <c r="S144" s="1"/>
  <c r="V145"/>
  <c r="S145" s="1"/>
  <c r="V142"/>
  <c r="E34" i="21"/>
  <c r="AA142" i="4"/>
  <c r="Y142" i="8" s="1"/>
  <c r="L142" s="1"/>
  <c r="AA73" i="4"/>
  <c r="Y73" i="8" s="1"/>
  <c r="L73" s="1"/>
  <c r="AA108" i="4"/>
  <c r="Y108" i="8" s="1"/>
  <c r="L108" s="1"/>
  <c r="AA44" i="4"/>
  <c r="Y44" i="8" s="1"/>
  <c r="L44" s="1"/>
  <c r="AA57" i="4"/>
  <c r="Y57" i="8" s="1"/>
  <c r="L57" s="1"/>
  <c r="AA93" i="4"/>
  <c r="Y93" i="8" s="1"/>
  <c r="L93" s="1"/>
  <c r="E153" i="21"/>
  <c r="AH123" i="4"/>
  <c r="AC123" i="8" s="1"/>
  <c r="P123" s="1"/>
  <c r="AH152" i="4"/>
  <c r="AC152" i="8" s="1"/>
  <c r="P152" s="1"/>
  <c r="AH37" i="4"/>
  <c r="AC37" i="8" s="1"/>
  <c r="P37" s="1"/>
  <c r="AH117" i="4"/>
  <c r="AC117" i="8" s="1"/>
  <c r="AH50" i="4"/>
  <c r="AC50" i="8" s="1"/>
  <c r="P50" s="1"/>
  <c r="AH13" i="4"/>
  <c r="AC13" i="8" s="1"/>
  <c r="P13" s="1"/>
  <c r="AH25" i="4"/>
  <c r="AC25" i="8" s="1"/>
  <c r="P25" s="1"/>
  <c r="AH33" i="4"/>
  <c r="AC33" i="8" s="1"/>
  <c r="P33" s="1"/>
  <c r="AH65" i="4"/>
  <c r="AC65" i="8" s="1"/>
  <c r="P65" s="1"/>
  <c r="AH73" i="4"/>
  <c r="AC73" i="8" s="1"/>
  <c r="P73" s="1"/>
  <c r="AH106" i="4"/>
  <c r="AC106" i="8" s="1"/>
  <c r="P106" s="1"/>
  <c r="AH159" i="4"/>
  <c r="AC159" i="8" s="1"/>
  <c r="AH167" i="4"/>
  <c r="AC167" i="8" s="1"/>
  <c r="P167" s="1"/>
  <c r="AH175" i="4"/>
  <c r="AC175" i="8" s="1"/>
  <c r="P175" s="1"/>
  <c r="AH49" i="4"/>
  <c r="AC49" i="8" s="1"/>
  <c r="P49" s="1"/>
  <c r="AH57" i="4"/>
  <c r="AC57" i="8" s="1"/>
  <c r="P57" s="1"/>
  <c r="AH78" i="4"/>
  <c r="AC78" i="8" s="1"/>
  <c r="P78" s="1"/>
  <c r="AH145" i="4"/>
  <c r="AC145" i="8" s="1"/>
  <c r="P145" s="1"/>
  <c r="AC134"/>
  <c r="P134" s="1"/>
  <c r="AH22" i="4"/>
  <c r="AC22" i="8" s="1"/>
  <c r="P22" s="1"/>
  <c r="AH30" i="4"/>
  <c r="AC30" i="8" s="1"/>
  <c r="P30" s="1"/>
  <c r="AH66" i="4"/>
  <c r="AC66" i="8" s="1"/>
  <c r="P66" s="1"/>
  <c r="AH74" i="4"/>
  <c r="AC74" i="8" s="1"/>
  <c r="P74" s="1"/>
  <c r="AH99" i="4"/>
  <c r="AC99" i="8" s="1"/>
  <c r="P99" s="1"/>
  <c r="AH107" i="4"/>
  <c r="AC107" i="8" s="1"/>
  <c r="P107" s="1"/>
  <c r="AH162" i="4"/>
  <c r="AC162" i="8" s="1"/>
  <c r="P162" s="1"/>
  <c r="AH89" i="4"/>
  <c r="AC89" i="8" s="1"/>
  <c r="P89" s="1"/>
  <c r="AH131" i="4"/>
  <c r="AC131" i="8" s="1"/>
  <c r="P131" s="1"/>
  <c r="AH127" i="4"/>
  <c r="AC127" i="8" s="1"/>
  <c r="P127" s="1"/>
  <c r="AH128" i="4"/>
  <c r="AC128" i="8" s="1"/>
  <c r="P128" s="1"/>
  <c r="AA41" i="4"/>
  <c r="Y41" i="8" s="1"/>
  <c r="L41" s="1"/>
  <c r="AA176" i="4"/>
  <c r="Y176" i="8" s="1"/>
  <c r="L176" s="1"/>
  <c r="AA51" i="4"/>
  <c r="Y51" i="8" s="1"/>
  <c r="L51" s="1"/>
  <c r="V78" i="22"/>
  <c r="S78" s="1"/>
  <c r="V77"/>
  <c r="V36"/>
  <c r="V37"/>
  <c r="S37" s="1"/>
  <c r="V38"/>
  <c r="S38" s="1"/>
  <c r="V56"/>
  <c r="S56" s="1"/>
  <c r="V57"/>
  <c r="S57" s="1"/>
  <c r="V55"/>
  <c r="S55" s="1"/>
  <c r="V54"/>
  <c r="S54" s="1"/>
  <c r="V60"/>
  <c r="S60" s="1"/>
  <c r="V59"/>
  <c r="S59" s="1"/>
  <c r="AA144" i="4"/>
  <c r="Y144" i="8" s="1"/>
  <c r="L144" s="1"/>
  <c r="AA166" i="4"/>
  <c r="Y166" i="8" s="1"/>
  <c r="L166" s="1"/>
  <c r="AA92" i="4"/>
  <c r="Y92" i="8" s="1"/>
  <c r="L92" s="1"/>
  <c r="AA15" i="4"/>
  <c r="Y15" i="8" s="1"/>
  <c r="L15" s="1"/>
  <c r="AH52" i="4"/>
  <c r="AC52" i="8" s="1"/>
  <c r="P52" s="1"/>
  <c r="AC137"/>
  <c r="P137" s="1"/>
  <c r="AH56" i="4"/>
  <c r="AC56" i="8" s="1"/>
  <c r="P56" s="1"/>
  <c r="AH81" i="4"/>
  <c r="AC81" i="8" s="1"/>
  <c r="P81" s="1"/>
  <c r="AH69" i="4"/>
  <c r="AC69" i="8" s="1"/>
  <c r="P69" s="1"/>
  <c r="AH171" i="4"/>
  <c r="AC171" i="8" s="1"/>
  <c r="P171" s="1"/>
  <c r="AH36" i="4"/>
  <c r="AC36" i="8" s="1"/>
  <c r="P36" s="1"/>
  <c r="AH82" i="4"/>
  <c r="AC82" i="8" s="1"/>
  <c r="P82" s="1"/>
  <c r="AH120" i="4"/>
  <c r="AC120" i="8" s="1"/>
  <c r="P120" s="1"/>
  <c r="AH70" i="4"/>
  <c r="AC70" i="8" s="1"/>
  <c r="P70" s="1"/>
  <c r="AH154" i="4"/>
  <c r="AC154" i="8" s="1"/>
  <c r="P154" s="1"/>
  <c r="E146" i="21"/>
  <c r="AA81" i="4"/>
  <c r="Y81" i="8" s="1"/>
  <c r="L81" s="1"/>
  <c r="AA168" i="4"/>
  <c r="Y168" i="8" s="1"/>
  <c r="L168" s="1"/>
  <c r="AA94" i="4"/>
  <c r="Y94" i="8" s="1"/>
  <c r="L94" s="1"/>
  <c r="AA26" i="4"/>
  <c r="Y26" i="8" s="1"/>
  <c r="L26" s="1"/>
  <c r="AA82" i="4"/>
  <c r="Y82" i="8" s="1"/>
  <c r="L82" s="1"/>
  <c r="AA18" i="4"/>
  <c r="Y18" i="8" s="1"/>
  <c r="L18" s="1"/>
  <c r="AA130" i="4"/>
  <c r="Y130" i="8" s="1"/>
  <c r="L130" s="1"/>
  <c r="AA46" i="4"/>
  <c r="Y46" i="8" s="1"/>
  <c r="L46" s="1"/>
  <c r="AA145" i="4"/>
  <c r="Y145" i="8" s="1"/>
  <c r="L145" s="1"/>
  <c r="AA59" i="4"/>
  <c r="Y59" i="8" s="1"/>
  <c r="L59" s="1"/>
  <c r="AA167" i="4"/>
  <c r="Y167" i="8" s="1"/>
  <c r="L167" s="1"/>
  <c r="V82" i="22"/>
  <c r="S82" s="1"/>
  <c r="V85"/>
  <c r="S85" s="1"/>
  <c r="V80"/>
  <c r="S80" s="1"/>
  <c r="V83"/>
  <c r="S83" s="1"/>
  <c r="V91"/>
  <c r="S91" s="1"/>
  <c r="V95"/>
  <c r="S95" s="1"/>
  <c r="V93"/>
  <c r="S93" s="1"/>
  <c r="V92"/>
  <c r="S92" s="1"/>
  <c r="V94"/>
  <c r="S94" s="1"/>
  <c r="S123"/>
  <c r="V23"/>
  <c r="S23" s="1"/>
  <c r="V28"/>
  <c r="S28" s="1"/>
  <c r="V24"/>
  <c r="S24" s="1"/>
  <c r="V27"/>
  <c r="S27" s="1"/>
  <c r="V22"/>
  <c r="V26"/>
  <c r="S26" s="1"/>
  <c r="V25"/>
  <c r="S25" s="1"/>
  <c r="V29"/>
  <c r="S29" s="1"/>
  <c r="V167"/>
  <c r="S167" s="1"/>
  <c r="V166"/>
  <c r="S166" s="1"/>
  <c r="V168"/>
  <c r="S168" s="1"/>
  <c r="V165"/>
  <c r="S165" s="1"/>
  <c r="Q8"/>
  <c r="S13"/>
  <c r="V163"/>
  <c r="S163" s="1"/>
  <c r="V162"/>
  <c r="AA85" i="4"/>
  <c r="Y85" i="8" s="1"/>
  <c r="L85" s="1"/>
  <c r="AA152" i="4"/>
  <c r="Y152" i="8" s="1"/>
  <c r="L152" s="1"/>
  <c r="AA60" i="4"/>
  <c r="Y60" i="8" s="1"/>
  <c r="L60" s="1"/>
  <c r="AA100" i="4"/>
  <c r="Y100" i="8" s="1"/>
  <c r="L100" s="1"/>
  <c r="AA32" i="4"/>
  <c r="Y32" i="8" s="1"/>
  <c r="L32" s="1"/>
  <c r="AA115" i="4"/>
  <c r="Y115" i="8" s="1"/>
  <c r="L115" s="1"/>
  <c r="AA33" i="4"/>
  <c r="Y33" i="8" s="1"/>
  <c r="L33" s="1"/>
  <c r="AA91" i="4"/>
  <c r="Y91" i="8" s="1"/>
  <c r="L91" s="1"/>
  <c r="AA132" i="4"/>
  <c r="Y132" i="8" s="1"/>
  <c r="L132" s="1"/>
  <c r="E57" i="16"/>
  <c r="E47" i="21"/>
  <c r="E112"/>
  <c r="E169"/>
  <c r="E20"/>
  <c r="AH83" i="4"/>
  <c r="AC83" i="8" s="1"/>
  <c r="P83" s="1"/>
  <c r="AH113" i="4"/>
  <c r="AC113" i="8" s="1"/>
  <c r="P113" s="1"/>
  <c r="AH54" i="4"/>
  <c r="AC54" i="8" s="1"/>
  <c r="P54" s="1"/>
  <c r="AH148" i="4"/>
  <c r="AC148" i="8" s="1"/>
  <c r="P148" s="1"/>
  <c r="AH17" i="4"/>
  <c r="AC17" i="8" s="1"/>
  <c r="P17" s="1"/>
  <c r="AH27" i="4"/>
  <c r="AC27" i="8" s="1"/>
  <c r="P27" s="1"/>
  <c r="AH44" i="4"/>
  <c r="AC44" i="8" s="1"/>
  <c r="P44" s="1"/>
  <c r="AH91" i="4"/>
  <c r="AC91" i="8" s="1"/>
  <c r="P91" s="1"/>
  <c r="AH100" i="4"/>
  <c r="AC100" i="8" s="1"/>
  <c r="P100" s="1"/>
  <c r="AH108" i="4"/>
  <c r="AC108" i="8" s="1"/>
  <c r="P108" s="1"/>
  <c r="AH140" i="4"/>
  <c r="AC140" i="8" s="1"/>
  <c r="AH177" i="4"/>
  <c r="AC177" i="8" s="1"/>
  <c r="P177" s="1"/>
  <c r="AH18" i="4"/>
  <c r="AC18" i="8" s="1"/>
  <c r="P18" s="1"/>
  <c r="AH51" i="4"/>
  <c r="AC51" i="8" s="1"/>
  <c r="P51" s="1"/>
  <c r="AH59" i="4"/>
  <c r="AC59" i="8" s="1"/>
  <c r="P59" s="1"/>
  <c r="AH80" i="4"/>
  <c r="AC80" i="8" s="1"/>
  <c r="P80" s="1"/>
  <c r="AH116" i="4"/>
  <c r="AC116" i="8" s="1"/>
  <c r="AH147" i="4"/>
  <c r="AC147" i="8" s="1"/>
  <c r="P147" s="1"/>
  <c r="AH114" i="4"/>
  <c r="AC114" i="8" s="1"/>
  <c r="P114" s="1"/>
  <c r="AH24" i="4"/>
  <c r="AC24" i="8" s="1"/>
  <c r="P24" s="1"/>
  <c r="AH32" i="4"/>
  <c r="AC32" i="8" s="1"/>
  <c r="P32" s="1"/>
  <c r="AH68" i="4"/>
  <c r="AC68" i="8" s="1"/>
  <c r="P68" s="1"/>
  <c r="AH101" i="4"/>
  <c r="AC101" i="8" s="1"/>
  <c r="P101" s="1"/>
  <c r="AH109" i="4"/>
  <c r="AC109" i="8" s="1"/>
  <c r="AH156" i="4"/>
  <c r="AC156" i="8" s="1"/>
  <c r="P156" s="1"/>
  <c r="AH172" i="4"/>
  <c r="AC172" i="8" s="1"/>
  <c r="P172" s="1"/>
  <c r="AH180" i="4"/>
  <c r="AC180" i="8" s="1"/>
  <c r="P180" s="1"/>
  <c r="AH88" i="4"/>
  <c r="AC88" i="8" s="1"/>
  <c r="P88" s="1"/>
  <c r="AH42" i="4"/>
  <c r="AC42" i="8" s="1"/>
  <c r="P42" s="1"/>
  <c r="AH41" i="4"/>
  <c r="AC41" i="8" s="1"/>
  <c r="P41" s="1"/>
  <c r="AH125" i="4"/>
  <c r="AC125" i="8" s="1"/>
  <c r="P125" s="1"/>
  <c r="U119" i="22" l="1"/>
  <c r="E44" i="47"/>
  <c r="AJ44" i="4" s="1"/>
  <c r="R120" i="22"/>
  <c r="P119" s="1"/>
  <c r="N120" s="1"/>
  <c r="G120" s="1"/>
  <c r="L96" i="55"/>
  <c r="E17" i="12" s="1"/>
  <c r="E171" i="47"/>
  <c r="L95" i="58"/>
  <c r="O97" i="55"/>
  <c r="D18" i="12" s="1"/>
  <c r="E179" i="47"/>
  <c r="I134"/>
  <c r="D135" s="1"/>
  <c r="AC135" i="4" s="1"/>
  <c r="D100" i="47"/>
  <c r="O96" i="58"/>
  <c r="L94" i="55"/>
  <c r="E15" i="12" s="1"/>
  <c r="L97" i="58"/>
  <c r="O94" i="55"/>
  <c r="D15" i="12" s="1"/>
  <c r="O97" i="58"/>
  <c r="O98" i="55"/>
  <c r="D19" i="12" s="1"/>
  <c r="L98" i="55"/>
  <c r="E19" i="12" s="1"/>
  <c r="L94" i="58"/>
  <c r="O94"/>
  <c r="O95" i="55"/>
  <c r="D16" i="12" s="1"/>
  <c r="L98" i="58"/>
  <c r="O95"/>
  <c r="O96" i="55"/>
  <c r="D17" i="12" s="1"/>
  <c r="L97" i="55"/>
  <c r="E18" i="12" s="1"/>
  <c r="L96" i="58"/>
  <c r="L95" i="55"/>
  <c r="E16" i="12" s="1"/>
  <c r="O98" i="58"/>
  <c r="E74" i="47"/>
  <c r="E41"/>
  <c r="E78"/>
  <c r="D59"/>
  <c r="E36"/>
  <c r="D18" i="21"/>
  <c r="Q137" i="22"/>
  <c r="O139" s="1"/>
  <c r="U139"/>
  <c r="R139" s="1"/>
  <c r="P137" s="1"/>
  <c r="V119"/>
  <c r="S119" s="1"/>
  <c r="S120"/>
  <c r="Q119" s="1"/>
  <c r="E40" i="47"/>
  <c r="E38"/>
  <c r="D119" i="21"/>
  <c r="U19" i="22"/>
  <c r="R19" s="1"/>
  <c r="U11"/>
  <c r="U15"/>
  <c r="R15" s="1"/>
  <c r="U136"/>
  <c r="R136" s="1"/>
  <c r="U135"/>
  <c r="D139" i="21"/>
  <c r="D138"/>
  <c r="D135"/>
  <c r="D136"/>
  <c r="D125"/>
  <c r="D126"/>
  <c r="E99" i="47"/>
  <c r="S135" i="22"/>
  <c r="V133"/>
  <c r="S133" s="1"/>
  <c r="U126"/>
  <c r="R126" s="1"/>
  <c r="U125"/>
  <c r="E72" i="47"/>
  <c r="J125" i="55"/>
  <c r="D61" i="12"/>
  <c r="E54" i="47"/>
  <c r="E56"/>
  <c r="AJ56" i="4" s="1"/>
  <c r="E55" i="47"/>
  <c r="E66"/>
  <c r="E114"/>
  <c r="E173"/>
  <c r="AJ173" i="4" s="1"/>
  <c r="I48" i="47"/>
  <c r="D49" s="1"/>
  <c r="E65"/>
  <c r="I102"/>
  <c r="D103" s="1"/>
  <c r="I170"/>
  <c r="D173" s="1"/>
  <c r="J134"/>
  <c r="E136" s="1"/>
  <c r="AJ136" i="4" s="1"/>
  <c r="I21" i="47"/>
  <c r="D25" s="1"/>
  <c r="D36"/>
  <c r="AC36" i="4" s="1"/>
  <c r="D38" i="47"/>
  <c r="AC38" i="4" s="1"/>
  <c r="D37" i="47"/>
  <c r="AC37" i="4" s="1"/>
  <c r="D44" i="47"/>
  <c r="AC44" i="4" s="1"/>
  <c r="D45" i="47"/>
  <c r="D66"/>
  <c r="AC66" i="4" s="1"/>
  <c r="D65" i="47"/>
  <c r="D64"/>
  <c r="E92"/>
  <c r="E93"/>
  <c r="E95"/>
  <c r="AJ95" i="4" s="1"/>
  <c r="E94" i="47"/>
  <c r="E91"/>
  <c r="I146"/>
  <c r="E135"/>
  <c r="AJ135" i="4" s="1"/>
  <c r="D73" i="47"/>
  <c r="AC73" i="4" s="1"/>
  <c r="D72" i="47"/>
  <c r="D74"/>
  <c r="E69"/>
  <c r="E70"/>
  <c r="E68"/>
  <c r="D93"/>
  <c r="D94"/>
  <c r="D95"/>
  <c r="D92"/>
  <c r="D91"/>
  <c r="D68"/>
  <c r="AC68" i="4" s="1"/>
  <c r="D70" i="47"/>
  <c r="AC70" i="4" s="1"/>
  <c r="D69" i="47"/>
  <c r="AC69" i="4" s="1"/>
  <c r="D42" i="47"/>
  <c r="D41"/>
  <c r="AC41" i="4" s="1"/>
  <c r="D40" i="47"/>
  <c r="D158"/>
  <c r="AC158" i="4" s="1"/>
  <c r="D157" i="47"/>
  <c r="AC157" i="4" s="1"/>
  <c r="D156" i="47"/>
  <c r="AC156" i="4" s="1"/>
  <c r="D78" i="47"/>
  <c r="AC78" i="4" s="1"/>
  <c r="AH78" i="8" s="1"/>
  <c r="D77" i="47"/>
  <c r="AC77" i="4" s="1"/>
  <c r="N77" i="8" s="1"/>
  <c r="E27" i="47"/>
  <c r="E23"/>
  <c r="E25"/>
  <c r="E24"/>
  <c r="E26"/>
  <c r="E22"/>
  <c r="E29"/>
  <c r="E28"/>
  <c r="D179"/>
  <c r="AC179" i="4" s="1"/>
  <c r="D180" i="47"/>
  <c r="AC180" i="4" s="1"/>
  <c r="E108" i="47"/>
  <c r="E104"/>
  <c r="E107"/>
  <c r="E105"/>
  <c r="E103"/>
  <c r="E106"/>
  <c r="E59"/>
  <c r="AJ59" i="4" s="1"/>
  <c r="E60" i="47"/>
  <c r="I137"/>
  <c r="E49"/>
  <c r="E50"/>
  <c r="E52"/>
  <c r="E51"/>
  <c r="D176"/>
  <c r="D175"/>
  <c r="AC175" i="4" s="1"/>
  <c r="D177" i="47"/>
  <c r="E148"/>
  <c r="E150"/>
  <c r="E149"/>
  <c r="E151"/>
  <c r="E152"/>
  <c r="AJ152" i="4" s="1"/>
  <c r="E147" i="47"/>
  <c r="D145"/>
  <c r="D144"/>
  <c r="E165"/>
  <c r="E167"/>
  <c r="E168"/>
  <c r="E166"/>
  <c r="D114"/>
  <c r="AC114" i="4" s="1"/>
  <c r="D113" i="47"/>
  <c r="AC113" i="4" s="1"/>
  <c r="E80" i="47"/>
  <c r="E82"/>
  <c r="E83"/>
  <c r="E85"/>
  <c r="E87"/>
  <c r="E84"/>
  <c r="E81"/>
  <c r="E89"/>
  <c r="E88"/>
  <c r="E32"/>
  <c r="AJ32" i="4" s="1"/>
  <c r="E33" i="47"/>
  <c r="D80"/>
  <c r="D84"/>
  <c r="D85"/>
  <c r="D87"/>
  <c r="D89"/>
  <c r="D83"/>
  <c r="D88"/>
  <c r="AC88" i="4" s="1"/>
  <c r="D82" i="47"/>
  <c r="D81"/>
  <c r="E16"/>
  <c r="AJ16" i="4" s="1"/>
  <c r="E17" i="47"/>
  <c r="E15"/>
  <c r="E18"/>
  <c r="E140"/>
  <c r="E159"/>
  <c r="E117"/>
  <c r="D17"/>
  <c r="D18"/>
  <c r="AC18" i="4" s="1"/>
  <c r="D15" i="47"/>
  <c r="D16"/>
  <c r="D57"/>
  <c r="D56"/>
  <c r="D54"/>
  <c r="D55"/>
  <c r="E157"/>
  <c r="E158"/>
  <c r="AJ158" i="4" s="1"/>
  <c r="E156" i="47"/>
  <c r="E177"/>
  <c r="E175"/>
  <c r="E176"/>
  <c r="D165"/>
  <c r="D168"/>
  <c r="D167"/>
  <c r="D166"/>
  <c r="J137"/>
  <c r="S122" i="22"/>
  <c r="K103" i="60"/>
  <c r="O118" i="55"/>
  <c r="O116" s="1"/>
  <c r="O135" s="1"/>
  <c r="O136" s="1"/>
  <c r="J125" i="60"/>
  <c r="O118"/>
  <c r="O116" s="1"/>
  <c r="O135" s="1"/>
  <c r="O136" s="1"/>
  <c r="L119" i="58"/>
  <c r="L116" s="1"/>
  <c r="U166" i="22"/>
  <c r="R166" s="1"/>
  <c r="U165"/>
  <c r="R165" s="1"/>
  <c r="U168"/>
  <c r="R168" s="1"/>
  <c r="U162"/>
  <c r="U163"/>
  <c r="R163" s="1"/>
  <c r="U167"/>
  <c r="R167" s="1"/>
  <c r="R13"/>
  <c r="U16"/>
  <c r="R16" s="1"/>
  <c r="U17"/>
  <c r="R17" s="1"/>
  <c r="U18"/>
  <c r="R18" s="1"/>
  <c r="U113"/>
  <c r="U114"/>
  <c r="R114" s="1"/>
  <c r="D156" i="21"/>
  <c r="D157"/>
  <c r="D158"/>
  <c r="D154"/>
  <c r="D147"/>
  <c r="D151"/>
  <c r="D152"/>
  <c r="D149"/>
  <c r="D148"/>
  <c r="R148" i="22" s="1"/>
  <c r="D150" i="21"/>
  <c r="U157" i="22"/>
  <c r="R157" s="1"/>
  <c r="U156"/>
  <c r="R156" s="1"/>
  <c r="U158"/>
  <c r="R158" s="1"/>
  <c r="U154"/>
  <c r="U144"/>
  <c r="R144" s="1"/>
  <c r="U142"/>
  <c r="U145"/>
  <c r="R145" s="1"/>
  <c r="R127"/>
  <c r="R128"/>
  <c r="R129"/>
  <c r="R130"/>
  <c r="R131"/>
  <c r="R132"/>
  <c r="U177"/>
  <c r="R177" s="1"/>
  <c r="U176"/>
  <c r="R176" s="1"/>
  <c r="U171"/>
  <c r="U172"/>
  <c r="R172" s="1"/>
  <c r="U173"/>
  <c r="R173" s="1"/>
  <c r="U179"/>
  <c r="R179" s="1"/>
  <c r="U175"/>
  <c r="R175" s="1"/>
  <c r="U180"/>
  <c r="R180" s="1"/>
  <c r="U106"/>
  <c r="R106" s="1"/>
  <c r="U105"/>
  <c r="R105" s="1"/>
  <c r="U99"/>
  <c r="U108"/>
  <c r="R108" s="1"/>
  <c r="U103"/>
  <c r="R103" s="1"/>
  <c r="U101"/>
  <c r="R101" s="1"/>
  <c r="U100"/>
  <c r="R100" s="1"/>
  <c r="U104"/>
  <c r="R104" s="1"/>
  <c r="U107"/>
  <c r="R107" s="1"/>
  <c r="D91" i="21"/>
  <c r="D81"/>
  <c r="D93"/>
  <c r="D89"/>
  <c r="D87"/>
  <c r="D95"/>
  <c r="D77"/>
  <c r="D94"/>
  <c r="D80"/>
  <c r="D85"/>
  <c r="D82"/>
  <c r="D78"/>
  <c r="D84"/>
  <c r="D92"/>
  <c r="D88"/>
  <c r="D83"/>
  <c r="D142"/>
  <c r="D144"/>
  <c r="D145"/>
  <c r="D28"/>
  <c r="D26"/>
  <c r="D27"/>
  <c r="D33"/>
  <c r="D30"/>
  <c r="D22"/>
  <c r="D25"/>
  <c r="D32"/>
  <c r="D24"/>
  <c r="D29"/>
  <c r="D23"/>
  <c r="U50" i="22"/>
  <c r="R50" s="1"/>
  <c r="U57"/>
  <c r="U54"/>
  <c r="R54" s="1"/>
  <c r="U52"/>
  <c r="U49"/>
  <c r="U56"/>
  <c r="R56" s="1"/>
  <c r="U59"/>
  <c r="R59" s="1"/>
  <c r="U51"/>
  <c r="U55"/>
  <c r="R55" s="1"/>
  <c r="U60"/>
  <c r="R60" s="1"/>
  <c r="U65"/>
  <c r="R65" s="1"/>
  <c r="U70"/>
  <c r="R70" s="1"/>
  <c r="U72"/>
  <c r="R72" s="1"/>
  <c r="U66"/>
  <c r="R66" s="1"/>
  <c r="U74"/>
  <c r="R74" s="1"/>
  <c r="U64"/>
  <c r="U69"/>
  <c r="R69" s="1"/>
  <c r="U68"/>
  <c r="R68" s="1"/>
  <c r="U73"/>
  <c r="R73" s="1"/>
  <c r="U80"/>
  <c r="R80" s="1"/>
  <c r="U77"/>
  <c r="U78"/>
  <c r="R78" s="1"/>
  <c r="U92"/>
  <c r="R92" s="1"/>
  <c r="U81"/>
  <c r="R81" s="1"/>
  <c r="U88"/>
  <c r="R88" s="1"/>
  <c r="U89"/>
  <c r="R89" s="1"/>
  <c r="U91"/>
  <c r="R91" s="1"/>
  <c r="U83"/>
  <c r="R83" s="1"/>
  <c r="U93"/>
  <c r="R93" s="1"/>
  <c r="U94"/>
  <c r="R94" s="1"/>
  <c r="U95"/>
  <c r="R95" s="1"/>
  <c r="U85"/>
  <c r="R85" s="1"/>
  <c r="U82"/>
  <c r="R82" s="1"/>
  <c r="U84"/>
  <c r="R84" s="1"/>
  <c r="U87"/>
  <c r="R87" s="1"/>
  <c r="U149"/>
  <c r="R149" s="1"/>
  <c r="U152"/>
  <c r="R152" s="1"/>
  <c r="U151"/>
  <c r="R151" s="1"/>
  <c r="U148"/>
  <c r="U147"/>
  <c r="U150"/>
  <c r="R150" s="1"/>
  <c r="D44" i="21"/>
  <c r="D41"/>
  <c r="D40"/>
  <c r="D46"/>
  <c r="D38"/>
  <c r="D42"/>
  <c r="D45"/>
  <c r="D37"/>
  <c r="D36"/>
  <c r="D57"/>
  <c r="D60"/>
  <c r="D51"/>
  <c r="D49"/>
  <c r="D50"/>
  <c r="D56"/>
  <c r="D54"/>
  <c r="D55"/>
  <c r="D52"/>
  <c r="D59"/>
  <c r="R123" i="22"/>
  <c r="P8"/>
  <c r="P116"/>
  <c r="U43"/>
  <c r="R43" s="1"/>
  <c r="U40"/>
  <c r="U44"/>
  <c r="R44" s="1"/>
  <c r="U41"/>
  <c r="R41" s="1"/>
  <c r="U36"/>
  <c r="U38"/>
  <c r="R38" s="1"/>
  <c r="U42"/>
  <c r="R42" s="1"/>
  <c r="U46"/>
  <c r="R46" s="1"/>
  <c r="U45"/>
  <c r="R45" s="1"/>
  <c r="U37"/>
  <c r="R37" s="1"/>
  <c r="U25"/>
  <c r="R25" s="1"/>
  <c r="U30"/>
  <c r="R30" s="1"/>
  <c r="U24"/>
  <c r="R24" s="1"/>
  <c r="U29"/>
  <c r="U23"/>
  <c r="U33"/>
  <c r="R33" s="1"/>
  <c r="U26"/>
  <c r="U27"/>
  <c r="U28"/>
  <c r="R28" s="1"/>
  <c r="U22"/>
  <c r="U32"/>
  <c r="R32" s="1"/>
  <c r="D105" i="21"/>
  <c r="D107"/>
  <c r="D101"/>
  <c r="D108"/>
  <c r="D103"/>
  <c r="D106"/>
  <c r="D104"/>
  <c r="D100"/>
  <c r="D99"/>
  <c r="D74"/>
  <c r="D69"/>
  <c r="D68"/>
  <c r="D73"/>
  <c r="D65"/>
  <c r="D64"/>
  <c r="D72"/>
  <c r="D70"/>
  <c r="D66"/>
  <c r="D16"/>
  <c r="D15"/>
  <c r="D17"/>
  <c r="D163"/>
  <c r="D168"/>
  <c r="D165"/>
  <c r="D167"/>
  <c r="D162"/>
  <c r="D166"/>
  <c r="D179"/>
  <c r="D176"/>
  <c r="D175"/>
  <c r="D172"/>
  <c r="D177"/>
  <c r="D180"/>
  <c r="D171"/>
  <c r="D173"/>
  <c r="D114"/>
  <c r="D113"/>
  <c r="D123"/>
  <c r="D122"/>
  <c r="AC12" i="4"/>
  <c r="AC123"/>
  <c r="AC129"/>
  <c r="N129" i="8" s="1"/>
  <c r="AJ77" i="4"/>
  <c r="AJ37"/>
  <c r="Q31" i="22"/>
  <c r="O32" s="1"/>
  <c r="H32" s="1"/>
  <c r="AJ113" i="4"/>
  <c r="AC60"/>
  <c r="Q178" i="22"/>
  <c r="O179" s="1"/>
  <c r="H179" s="1"/>
  <c r="Q164"/>
  <c r="O167" s="1"/>
  <c r="H167" s="1"/>
  <c r="V112"/>
  <c r="S112" s="1"/>
  <c r="Q109" s="1"/>
  <c r="S113"/>
  <c r="Q112" s="1"/>
  <c r="V10"/>
  <c r="S10" s="1"/>
  <c r="S12"/>
  <c r="Q79"/>
  <c r="Q58"/>
  <c r="V34"/>
  <c r="S34" s="1"/>
  <c r="S36"/>
  <c r="Q143"/>
  <c r="Q86"/>
  <c r="S99"/>
  <c r="V97"/>
  <c r="S97" s="1"/>
  <c r="Q174"/>
  <c r="Q71"/>
  <c r="Q67"/>
  <c r="O117"/>
  <c r="H117" s="1"/>
  <c r="O140"/>
  <c r="H140" s="1"/>
  <c r="O159"/>
  <c r="H159" s="1"/>
  <c r="V124"/>
  <c r="S124" s="1"/>
  <c r="S125"/>
  <c r="Q124" s="1"/>
  <c r="O125" s="1"/>
  <c r="V75"/>
  <c r="S75" s="1"/>
  <c r="S77"/>
  <c r="Q14"/>
  <c r="Q39"/>
  <c r="S171"/>
  <c r="V169"/>
  <c r="S169" s="1"/>
  <c r="Q155"/>
  <c r="V161"/>
  <c r="S161" s="1"/>
  <c r="S162"/>
  <c r="Q161" s="1"/>
  <c r="O9"/>
  <c r="AI9" i="4" s="1"/>
  <c r="AD9" i="8" s="1"/>
  <c r="O109" i="22"/>
  <c r="H109" s="1"/>
  <c r="O61"/>
  <c r="H61" s="1"/>
  <c r="V20"/>
  <c r="S20" s="1"/>
  <c r="S22"/>
  <c r="Q90"/>
  <c r="Q53"/>
  <c r="V141"/>
  <c r="S141" s="1"/>
  <c r="S142"/>
  <c r="Q141" s="1"/>
  <c r="V146"/>
  <c r="S146" s="1"/>
  <c r="S147"/>
  <c r="Q146" s="1"/>
  <c r="Q102"/>
  <c r="V153"/>
  <c r="S153" s="1"/>
  <c r="S154"/>
  <c r="Q153" s="1"/>
  <c r="S134"/>
  <c r="V47"/>
  <c r="S47" s="1"/>
  <c r="S49"/>
  <c r="V62"/>
  <c r="S62" s="1"/>
  <c r="S64"/>
  <c r="D136" i="47" l="1"/>
  <c r="AC136" i="4" s="1"/>
  <c r="N121" i="22"/>
  <c r="O138"/>
  <c r="H138" s="1"/>
  <c r="AH77" i="8"/>
  <c r="AF76" s="1"/>
  <c r="R26" i="22"/>
  <c r="R51"/>
  <c r="R52"/>
  <c r="R29"/>
  <c r="D172" i="47"/>
  <c r="AC172" i="4" s="1"/>
  <c r="N172" i="8" s="1"/>
  <c r="D133" i="21"/>
  <c r="J116" i="22"/>
  <c r="E117" s="1"/>
  <c r="D10" i="21"/>
  <c r="R23" i="22"/>
  <c r="R57"/>
  <c r="P53" s="1"/>
  <c r="U141"/>
  <c r="R141" s="1"/>
  <c r="D171" i="47"/>
  <c r="AC171" i="4" s="1"/>
  <c r="N170" i="8" s="1"/>
  <c r="N138" i="22"/>
  <c r="N139"/>
  <c r="U124"/>
  <c r="R124" s="1"/>
  <c r="R125"/>
  <c r="P124" s="1"/>
  <c r="N132" s="1"/>
  <c r="H139"/>
  <c r="AI139" i="4"/>
  <c r="AD139" i="8" s="1"/>
  <c r="Q139" s="1"/>
  <c r="R27" i="22"/>
  <c r="R40"/>
  <c r="P39" s="1"/>
  <c r="D124" i="21"/>
  <c r="D132"/>
  <c r="U10" i="22"/>
  <c r="R10" s="1"/>
  <c r="R11"/>
  <c r="Q134"/>
  <c r="Q133"/>
  <c r="O137" s="1"/>
  <c r="U133"/>
  <c r="R135"/>
  <c r="O121"/>
  <c r="AI121" i="4" s="1"/>
  <c r="AD121" i="8" s="1"/>
  <c r="Q121" s="1"/>
  <c r="O120" i="22"/>
  <c r="H120" s="1"/>
  <c r="D106" i="47"/>
  <c r="AC106" i="4" s="1"/>
  <c r="N106" i="8" s="1"/>
  <c r="D107" i="47"/>
  <c r="AC107" i="4" s="1"/>
  <c r="N107" i="8" s="1"/>
  <c r="D104" i="47"/>
  <c r="AC104" i="4" s="1"/>
  <c r="AH104" i="8" s="1"/>
  <c r="D28" i="47"/>
  <c r="AC28" i="4" s="1"/>
  <c r="AH28" i="8" s="1"/>
  <c r="D27" i="47"/>
  <c r="AC27" i="4" s="1"/>
  <c r="N27" i="8" s="1"/>
  <c r="D24" i="47"/>
  <c r="AC24" i="4" s="1"/>
  <c r="AH24" i="8" s="1"/>
  <c r="D23" i="47"/>
  <c r="AC23" i="4" s="1"/>
  <c r="AH23" i="8" s="1"/>
  <c r="D22" i="47"/>
  <c r="AC22" i="4" s="1"/>
  <c r="N22" i="8" s="1"/>
  <c r="D29" i="47"/>
  <c r="AC29" i="4" s="1"/>
  <c r="N29" i="8" s="1"/>
  <c r="D26" i="47"/>
  <c r="AC26" i="4" s="1"/>
  <c r="N26" i="8" s="1"/>
  <c r="D52" i="47"/>
  <c r="AC52" i="4" s="1"/>
  <c r="N52" i="8" s="1"/>
  <c r="D50" i="47"/>
  <c r="AC50" i="4" s="1"/>
  <c r="AH50" i="8" s="1"/>
  <c r="O132" i="22"/>
  <c r="AI132" i="4" s="1"/>
  <c r="AD132" i="8" s="1"/>
  <c r="Q132" s="1"/>
  <c r="D108" i="47"/>
  <c r="AC108" i="4" s="1"/>
  <c r="AH108" i="8" s="1"/>
  <c r="D105" i="47"/>
  <c r="AC105" i="4" s="1"/>
  <c r="N105" i="8" s="1"/>
  <c r="D51" i="47"/>
  <c r="AC51" i="4" s="1"/>
  <c r="AH51" i="8" s="1"/>
  <c r="E139" i="47"/>
  <c r="AJ139" i="4" s="1"/>
  <c r="E138" i="47"/>
  <c r="AJ138" i="4" s="1"/>
  <c r="R135" i="8"/>
  <c r="AL135"/>
  <c r="D148" i="47"/>
  <c r="AC148" i="4" s="1"/>
  <c r="AH148" i="8" s="1"/>
  <c r="D150" i="47"/>
  <c r="AC150" i="4" s="1"/>
  <c r="AH150" i="8" s="1"/>
  <c r="D151" i="47"/>
  <c r="AC151" i="4" s="1"/>
  <c r="AH151" i="8" s="1"/>
  <c r="D149" i="47"/>
  <c r="AC149" i="4" s="1"/>
  <c r="N149" i="8" s="1"/>
  <c r="D152" i="47"/>
  <c r="AC152" i="4" s="1"/>
  <c r="N152" i="8" s="1"/>
  <c r="D147" i="47"/>
  <c r="AC147" i="4" s="1"/>
  <c r="N147" i="8" s="1"/>
  <c r="AH135"/>
  <c r="N135"/>
  <c r="AH136"/>
  <c r="N136"/>
  <c r="D139" i="47"/>
  <c r="AC139" i="4" s="1"/>
  <c r="D138" i="47"/>
  <c r="AC138" i="4" s="1"/>
  <c r="AL136" i="8"/>
  <c r="R136"/>
  <c r="O126" i="22"/>
  <c r="AI126" i="4" s="1"/>
  <c r="AD126" i="8" s="1"/>
  <c r="Q126" s="1"/>
  <c r="R119" i="22"/>
  <c r="R122"/>
  <c r="K108" i="60"/>
  <c r="L108" s="1"/>
  <c r="K107"/>
  <c r="L107" s="1"/>
  <c r="K104"/>
  <c r="L104" s="1"/>
  <c r="K106"/>
  <c r="L106" s="1"/>
  <c r="K111"/>
  <c r="L111" s="1"/>
  <c r="K105"/>
  <c r="L105" s="1"/>
  <c r="K110"/>
  <c r="L110" s="1"/>
  <c r="K109"/>
  <c r="L109" s="1"/>
  <c r="L103"/>
  <c r="K12"/>
  <c r="K11"/>
  <c r="K17"/>
  <c r="K13"/>
  <c r="K16"/>
  <c r="L10"/>
  <c r="K15"/>
  <c r="K26"/>
  <c r="K18"/>
  <c r="K14"/>
  <c r="P31" i="22"/>
  <c r="P71"/>
  <c r="N73" s="1"/>
  <c r="P155"/>
  <c r="N157" s="1"/>
  <c r="P143"/>
  <c r="D112" i="21"/>
  <c r="D97"/>
  <c r="P58" i="22"/>
  <c r="N61"/>
  <c r="AB61" i="4" s="1"/>
  <c r="Z61" i="8" s="1"/>
  <c r="N9" i="22"/>
  <c r="AB9" i="4" s="1"/>
  <c r="Z9" i="8" s="1"/>
  <c r="N109" i="22"/>
  <c r="AB109" i="4" s="1"/>
  <c r="Z109" i="8" s="1"/>
  <c r="P86" i="22"/>
  <c r="P90"/>
  <c r="D20" i="21"/>
  <c r="D141"/>
  <c r="P178" i="22"/>
  <c r="R154"/>
  <c r="P153" s="1"/>
  <c r="U153"/>
  <c r="R153" s="1"/>
  <c r="D146" i="21"/>
  <c r="P14" i="22"/>
  <c r="R162"/>
  <c r="P161" s="1"/>
  <c r="U161"/>
  <c r="R161" s="1"/>
  <c r="P67"/>
  <c r="P102"/>
  <c r="D153" i="21"/>
  <c r="R12" i="22"/>
  <c r="D62" i="21"/>
  <c r="U34" i="22"/>
  <c r="R34" s="1"/>
  <c r="R36"/>
  <c r="R77"/>
  <c r="U75"/>
  <c r="R75" s="1"/>
  <c r="R49"/>
  <c r="U47"/>
  <c r="R47" s="1"/>
  <c r="D75" i="21"/>
  <c r="R142" i="22"/>
  <c r="P141" s="1"/>
  <c r="U112"/>
  <c r="R112" s="1"/>
  <c r="P109" s="1"/>
  <c r="R113"/>
  <c r="P112" s="1"/>
  <c r="P164"/>
  <c r="D169" i="21"/>
  <c r="D161"/>
  <c r="R22" i="22"/>
  <c r="U20"/>
  <c r="R20" s="1"/>
  <c r="N140"/>
  <c r="AB140" i="4" s="1"/>
  <c r="Z140" i="8" s="1"/>
  <c r="N159" i="22"/>
  <c r="AB159" i="4" s="1"/>
  <c r="Z159" i="8" s="1"/>
  <c r="N117" i="22"/>
  <c r="AB117" i="4" s="1"/>
  <c r="Z117" i="8" s="1"/>
  <c r="D47" i="21"/>
  <c r="D34"/>
  <c r="R147" i="22"/>
  <c r="P146" s="1"/>
  <c r="U146"/>
  <c r="R146" s="1"/>
  <c r="P79"/>
  <c r="R64"/>
  <c r="U62"/>
  <c r="R62" s="1"/>
  <c r="U97"/>
  <c r="R97" s="1"/>
  <c r="R99"/>
  <c r="P174"/>
  <c r="R171"/>
  <c r="U169"/>
  <c r="R169" s="1"/>
  <c r="AC89" i="4"/>
  <c r="N89" i="8" s="1"/>
  <c r="AC122" i="4"/>
  <c r="N122" i="8" s="1"/>
  <c r="AC173" i="4"/>
  <c r="AH173" i="8" s="1"/>
  <c r="AC87" i="4"/>
  <c r="AH87" i="8" s="1"/>
  <c r="AC131" i="4"/>
  <c r="AJ78"/>
  <c r="AL78" i="8" s="1"/>
  <c r="N78"/>
  <c r="AC177" i="4"/>
  <c r="N177" i="8" s="1"/>
  <c r="AC72" i="4"/>
  <c r="N72" i="8" s="1"/>
  <c r="AC13" i="4"/>
  <c r="AH13" i="8" s="1"/>
  <c r="O168" i="22"/>
  <c r="AC103" i="4"/>
  <c r="AH103" i="8" s="1"/>
  <c r="AC45" i="4"/>
  <c r="N45" i="8" s="1"/>
  <c r="AC130" i="4"/>
  <c r="N130" i="8" s="1"/>
  <c r="AC128" i="4"/>
  <c r="AC127"/>
  <c r="AO118" i="8"/>
  <c r="AC59" i="4"/>
  <c r="N59" i="8" s="1"/>
  <c r="AJ94" i="4"/>
  <c r="AL94" i="8" s="1"/>
  <c r="AC49" i="4"/>
  <c r="N49" i="8" s="1"/>
  <c r="AJ57" i="4"/>
  <c r="AL57" i="8" s="1"/>
  <c r="AJ93" i="4"/>
  <c r="R93" i="8" s="1"/>
  <c r="AC42" i="4"/>
  <c r="AH42" i="8" s="1"/>
  <c r="AJ54" i="4"/>
  <c r="AL54" i="8" s="1"/>
  <c r="AC40" i="4"/>
  <c r="AH40" i="8" s="1"/>
  <c r="AC25" i="4"/>
  <c r="N25" i="8" s="1"/>
  <c r="AJ45" i="4"/>
  <c r="R45" i="8" s="1"/>
  <c r="AJ33" i="4"/>
  <c r="AL33" i="8" s="1"/>
  <c r="AC17" i="4"/>
  <c r="AH17" i="8" s="1"/>
  <c r="AC176" i="4"/>
  <c r="AH176" i="8" s="1"/>
  <c r="AC15" i="4"/>
  <c r="N15" i="8" s="1"/>
  <c r="O166" i="22"/>
  <c r="O180"/>
  <c r="H180" s="1"/>
  <c r="J178" s="1"/>
  <c r="AC74" i="4"/>
  <c r="AH74" i="8" s="1"/>
  <c r="AJ114" i="4"/>
  <c r="R114" i="8" s="1"/>
  <c r="AJ147" i="4"/>
  <c r="R147" i="8" s="1"/>
  <c r="AJ151" i="4"/>
  <c r="R151" i="8" s="1"/>
  <c r="AJ150" i="4"/>
  <c r="AL150" i="8" s="1"/>
  <c r="AJ171" i="4"/>
  <c r="R171" i="8" s="1"/>
  <c r="AJ18" i="4"/>
  <c r="AL18" i="8" s="1"/>
  <c r="AJ172" i="4"/>
  <c r="AL172" i="8" s="1"/>
  <c r="AJ60" i="4"/>
  <c r="AL60" i="8" s="1"/>
  <c r="O33" i="22"/>
  <c r="H33" s="1"/>
  <c r="J31" s="1"/>
  <c r="AJ36" i="4"/>
  <c r="R36" i="8" s="1"/>
  <c r="AJ156" i="4"/>
  <c r="AL156" i="8" s="1"/>
  <c r="AC64" i="4"/>
  <c r="AH64" i="8" s="1"/>
  <c r="AJ157" i="4"/>
  <c r="R157" i="8" s="1"/>
  <c r="AJ91" i="4"/>
  <c r="AL91" i="8" s="1"/>
  <c r="O165" i="22"/>
  <c r="AJ55" i="4"/>
  <c r="AL55" i="8" s="1"/>
  <c r="AC16" i="4"/>
  <c r="AH16" i="8" s="1"/>
  <c r="AJ92" i="4"/>
  <c r="AL92" i="8" s="1"/>
  <c r="AJ148" i="4"/>
  <c r="AL148" i="8" s="1"/>
  <c r="AJ38" i="4"/>
  <c r="R38" i="8" s="1"/>
  <c r="AJ15" i="4"/>
  <c r="R15" i="8" s="1"/>
  <c r="AJ17" i="4"/>
  <c r="R17" i="8" s="1"/>
  <c r="AJ149" i="4"/>
  <c r="AL149" i="8" s="1"/>
  <c r="Q159" i="22"/>
  <c r="O160" s="1"/>
  <c r="H160" s="1"/>
  <c r="AC65" i="4"/>
  <c r="N65" i="8" s="1"/>
  <c r="Q61" i="22"/>
  <c r="O75" s="1"/>
  <c r="AI75" i="4" s="1"/>
  <c r="AD75" i="8" s="1"/>
  <c r="Q75" s="1"/>
  <c r="Q117" i="22"/>
  <c r="O119" s="1"/>
  <c r="AJ167" i="4"/>
  <c r="AJ165"/>
  <c r="AJ168"/>
  <c r="AJ166"/>
  <c r="N60" i="8"/>
  <c r="AH60"/>
  <c r="N156"/>
  <c r="AH156"/>
  <c r="R44"/>
  <c r="AL44"/>
  <c r="N18"/>
  <c r="AH18"/>
  <c r="Q48" i="22"/>
  <c r="Q47"/>
  <c r="O57"/>
  <c r="H57" s="1"/>
  <c r="O55"/>
  <c r="H55" s="1"/>
  <c r="O56"/>
  <c r="H56" s="1"/>
  <c r="O54"/>
  <c r="H54" s="1"/>
  <c r="Q21"/>
  <c r="Q20"/>
  <c r="AL113" i="8"/>
  <c r="R113"/>
  <c r="AL152"/>
  <c r="R152"/>
  <c r="AI167" i="4"/>
  <c r="AD167" i="8" s="1"/>
  <c r="Q167" s="1"/>
  <c r="AH113"/>
  <c r="N113"/>
  <c r="O156" i="22"/>
  <c r="H156" s="1"/>
  <c r="O157"/>
  <c r="H157" s="1"/>
  <c r="O158"/>
  <c r="H158" s="1"/>
  <c r="O40"/>
  <c r="H40" s="1"/>
  <c r="O41"/>
  <c r="H41" s="1"/>
  <c r="O42"/>
  <c r="H42" s="1"/>
  <c r="Q76"/>
  <c r="Q75"/>
  <c r="AC144" i="4"/>
  <c r="AC145"/>
  <c r="AI32"/>
  <c r="AD32" i="8" s="1"/>
  <c r="Q32" s="1"/>
  <c r="AJ74" i="4"/>
  <c r="AJ72"/>
  <c r="AJ73"/>
  <c r="N70" i="8"/>
  <c r="AH70"/>
  <c r="Q98" i="22"/>
  <c r="Q97"/>
  <c r="AJ28" i="4"/>
  <c r="AJ26"/>
  <c r="AJ24"/>
  <c r="AJ22"/>
  <c r="AJ29"/>
  <c r="AJ27"/>
  <c r="AJ25"/>
  <c r="AJ23"/>
  <c r="Q10" i="22"/>
  <c r="O11" s="1"/>
  <c r="R32" i="8"/>
  <c r="AL32"/>
  <c r="N38"/>
  <c r="AH38"/>
  <c r="O114" i="22"/>
  <c r="H114" s="1"/>
  <c r="O113"/>
  <c r="H113" s="1"/>
  <c r="N66" i="8"/>
  <c r="AH66"/>
  <c r="N73"/>
  <c r="AH73"/>
  <c r="AI109" i="4"/>
  <c r="AD109" i="8" s="1"/>
  <c r="AL37"/>
  <c r="R37"/>
  <c r="AC91" i="4"/>
  <c r="AC92"/>
  <c r="AC93"/>
  <c r="AC94"/>
  <c r="AC95"/>
  <c r="H125" i="22"/>
  <c r="AI117" i="4"/>
  <c r="AD117" i="8" s="1"/>
  <c r="AJ123" i="4"/>
  <c r="AJ122"/>
  <c r="AC83"/>
  <c r="AC84"/>
  <c r="AC85"/>
  <c r="AC80"/>
  <c r="AC81"/>
  <c r="AC82"/>
  <c r="AJ177"/>
  <c r="AJ176"/>
  <c r="AJ175"/>
  <c r="AL56" i="8"/>
  <c r="R56"/>
  <c r="AJ108" i="4"/>
  <c r="AJ106"/>
  <c r="AJ104"/>
  <c r="AJ103"/>
  <c r="AJ107"/>
  <c r="AJ105"/>
  <c r="AI179"/>
  <c r="AD179" i="8" s="1"/>
  <c r="Q179" s="1"/>
  <c r="AH129"/>
  <c r="AH175"/>
  <c r="N175"/>
  <c r="AC99" i="4"/>
  <c r="AC100"/>
  <c r="O142" i="22"/>
  <c r="H142" s="1"/>
  <c r="O143"/>
  <c r="AI143" i="4" s="1"/>
  <c r="AD143" i="8" s="1"/>
  <c r="Q143" s="1"/>
  <c r="O103" i="22"/>
  <c r="H103" s="1"/>
  <c r="O107"/>
  <c r="H107" s="1"/>
  <c r="O105"/>
  <c r="H105" s="1"/>
  <c r="O106"/>
  <c r="H106" s="1"/>
  <c r="O108"/>
  <c r="H108" s="1"/>
  <c r="O104"/>
  <c r="H104" s="1"/>
  <c r="O162"/>
  <c r="H162" s="1"/>
  <c r="O163"/>
  <c r="H163" s="1"/>
  <c r="O164"/>
  <c r="AI164" i="4" s="1"/>
  <c r="AD164" i="8" s="1"/>
  <c r="Q164" s="1"/>
  <c r="AL95"/>
  <c r="R95"/>
  <c r="AJ70" i="4"/>
  <c r="AJ68"/>
  <c r="AJ69"/>
  <c r="AH123" i="8"/>
  <c r="N123"/>
  <c r="R173"/>
  <c r="AL173"/>
  <c r="AH114"/>
  <c r="N114"/>
  <c r="AH180"/>
  <c r="N180"/>
  <c r="O18" i="22"/>
  <c r="H18" s="1"/>
  <c r="O16"/>
  <c r="H16" s="1"/>
  <c r="O15"/>
  <c r="H15" s="1"/>
  <c r="O17"/>
  <c r="H17" s="1"/>
  <c r="AH44" i="8"/>
  <c r="N44"/>
  <c r="AI159" i="4"/>
  <c r="AD159" i="8" s="1"/>
  <c r="O70" i="22"/>
  <c r="H70" s="1"/>
  <c r="O68"/>
  <c r="H68" s="1"/>
  <c r="O69"/>
  <c r="H69" s="1"/>
  <c r="O177"/>
  <c r="H177" s="1"/>
  <c r="O175"/>
  <c r="H175" s="1"/>
  <c r="O176"/>
  <c r="H176" s="1"/>
  <c r="N88" i="8"/>
  <c r="AH88"/>
  <c r="N69"/>
  <c r="AH69"/>
  <c r="O88" i="22"/>
  <c r="H88" s="1"/>
  <c r="O87"/>
  <c r="H87" s="1"/>
  <c r="O89"/>
  <c r="H89" s="1"/>
  <c r="N158" i="8"/>
  <c r="AH158"/>
  <c r="AJ100" i="4"/>
  <c r="AJ99"/>
  <c r="O60" i="22"/>
  <c r="H60" s="1"/>
  <c r="O59"/>
  <c r="H59" s="1"/>
  <c r="O80"/>
  <c r="H80" s="1"/>
  <c r="O84"/>
  <c r="H84" s="1"/>
  <c r="O82"/>
  <c r="H82" s="1"/>
  <c r="O81"/>
  <c r="H81" s="1"/>
  <c r="O85"/>
  <c r="H85" s="1"/>
  <c r="O83"/>
  <c r="H83" s="1"/>
  <c r="Q9"/>
  <c r="N37" i="8"/>
  <c r="AH37"/>
  <c r="AL16"/>
  <c r="R16"/>
  <c r="O110" i="22"/>
  <c r="H110" s="1"/>
  <c r="O112"/>
  <c r="AI112" i="4" s="1"/>
  <c r="AD112" i="8" s="1"/>
  <c r="Q112" s="1"/>
  <c r="O111" i="22"/>
  <c r="H111" s="1"/>
  <c r="AC32" i="4"/>
  <c r="AC33"/>
  <c r="AJ128"/>
  <c r="R128" i="8" s="1"/>
  <c r="AJ130" i="4"/>
  <c r="R130" i="8" s="1"/>
  <c r="AJ127" i="4"/>
  <c r="R127" i="8" s="1"/>
  <c r="AJ129" i="4"/>
  <c r="R129" i="8" s="1"/>
  <c r="AJ131" i="4"/>
  <c r="R131" i="8" s="1"/>
  <c r="O91" i="22"/>
  <c r="H91" s="1"/>
  <c r="O95"/>
  <c r="H95" s="1"/>
  <c r="O93"/>
  <c r="H93" s="1"/>
  <c r="O92"/>
  <c r="H92" s="1"/>
  <c r="O94"/>
  <c r="H94" s="1"/>
  <c r="AJ179" i="4"/>
  <c r="AJ180"/>
  <c r="Q35" i="22"/>
  <c r="Q34"/>
  <c r="W118" i="8"/>
  <c r="K118" i="47" s="1"/>
  <c r="G118" s="1"/>
  <c r="AN118" i="8"/>
  <c r="AC54" i="4"/>
  <c r="AC56"/>
  <c r="AC55"/>
  <c r="AC57"/>
  <c r="O155" i="22"/>
  <c r="AI155" i="4" s="1"/>
  <c r="AD155" i="8" s="1"/>
  <c r="Q155" s="1"/>
  <c r="O154" i="22"/>
  <c r="H154" s="1"/>
  <c r="AJ66" i="4"/>
  <c r="AJ64"/>
  <c r="AJ65"/>
  <c r="Q140" i="22"/>
  <c r="AJ51" i="4"/>
  <c r="AJ49"/>
  <c r="AJ52"/>
  <c r="AJ50"/>
  <c r="Q63" i="22"/>
  <c r="Q62"/>
  <c r="O127"/>
  <c r="H127" s="1"/>
  <c r="O129"/>
  <c r="H129" s="1"/>
  <c r="O131"/>
  <c r="H131" s="1"/>
  <c r="O128"/>
  <c r="H128" s="1"/>
  <c r="O130"/>
  <c r="H130" s="1"/>
  <c r="AJ12" i="4"/>
  <c r="AJ13"/>
  <c r="AJ42"/>
  <c r="AJ40"/>
  <c r="AJ41"/>
  <c r="AC165"/>
  <c r="AC168"/>
  <c r="AC167"/>
  <c r="AC166"/>
  <c r="O148" i="22"/>
  <c r="H148" s="1"/>
  <c r="O152"/>
  <c r="H152" s="1"/>
  <c r="O149"/>
  <c r="H149" s="1"/>
  <c r="O150"/>
  <c r="H150" s="1"/>
  <c r="O151"/>
  <c r="H151" s="1"/>
  <c r="O147"/>
  <c r="H147" s="1"/>
  <c r="AI61" i="4"/>
  <c r="AD61" i="8" s="1"/>
  <c r="AJ84" i="4"/>
  <c r="AJ82"/>
  <c r="AJ80"/>
  <c r="AJ81"/>
  <c r="AJ85"/>
  <c r="AJ83"/>
  <c r="AL77" i="8"/>
  <c r="R77"/>
  <c r="Q170" i="22"/>
  <c r="Q169"/>
  <c r="AH179" i="8"/>
  <c r="N179"/>
  <c r="O123" i="22"/>
  <c r="H123" s="1"/>
  <c r="O122"/>
  <c r="H122" s="1"/>
  <c r="AI140" i="4"/>
  <c r="AD140" i="8" s="1"/>
  <c r="O73" i="22"/>
  <c r="H73" s="1"/>
  <c r="O72"/>
  <c r="H72" s="1"/>
  <c r="O74"/>
  <c r="H74" s="1"/>
  <c r="AJ144" i="4"/>
  <c r="AJ145"/>
  <c r="AJ87"/>
  <c r="AJ89"/>
  <c r="AJ88"/>
  <c r="N68" i="8"/>
  <c r="AH68"/>
  <c r="O144" i="22"/>
  <c r="H144" s="1"/>
  <c r="O145"/>
  <c r="H145" s="1"/>
  <c r="N157" i="8"/>
  <c r="AH157"/>
  <c r="AJ159" i="4"/>
  <c r="AL159" i="8" s="1"/>
  <c r="AJ140" i="4"/>
  <c r="AL140" i="8" s="1"/>
  <c r="AJ117" i="4"/>
  <c r="AL117" i="8" s="1"/>
  <c r="R59"/>
  <c r="AL59"/>
  <c r="AL158"/>
  <c r="R158"/>
  <c r="AH41"/>
  <c r="N41"/>
  <c r="N36"/>
  <c r="AH36"/>
  <c r="AH12"/>
  <c r="N12"/>
  <c r="E140" i="22" l="1"/>
  <c r="E159"/>
  <c r="J137"/>
  <c r="E138" s="1"/>
  <c r="AL138" i="4" s="1"/>
  <c r="AI138"/>
  <c r="AD138" i="8" s="1"/>
  <c r="Q138" s="1"/>
  <c r="AH106"/>
  <c r="O134" i="22"/>
  <c r="AI134" i="4" s="1"/>
  <c r="AD134" i="8" s="1"/>
  <c r="Q134" s="1"/>
  <c r="J79" i="22"/>
  <c r="E82" s="1"/>
  <c r="J143"/>
  <c r="E145" s="1"/>
  <c r="J67"/>
  <c r="E68" s="1"/>
  <c r="J112"/>
  <c r="E114" s="1"/>
  <c r="AH172" i="8"/>
  <c r="H132" i="22"/>
  <c r="J86"/>
  <c r="J14"/>
  <c r="E18" s="1"/>
  <c r="E180"/>
  <c r="E179"/>
  <c r="AL179" i="4" s="1"/>
  <c r="AI137"/>
  <c r="AD137" i="8" s="1"/>
  <c r="Q137" s="1"/>
  <c r="E32" i="22"/>
  <c r="E33"/>
  <c r="J155"/>
  <c r="AI168" i="4"/>
  <c r="AD168" i="8" s="1"/>
  <c r="Q168" s="1"/>
  <c r="H168" i="22"/>
  <c r="O136"/>
  <c r="O135"/>
  <c r="J146"/>
  <c r="J174"/>
  <c r="AI165" i="4"/>
  <c r="AD165" i="8" s="1"/>
  <c r="Q165" s="1"/>
  <c r="H165" i="22"/>
  <c r="P134"/>
  <c r="P133"/>
  <c r="J102"/>
  <c r="AB157" i="4"/>
  <c r="Z157" i="8" s="1"/>
  <c r="M157" s="1"/>
  <c r="G157" i="22"/>
  <c r="G139"/>
  <c r="AB139" i="4"/>
  <c r="Z139" i="8" s="1"/>
  <c r="M139" s="1"/>
  <c r="J71" i="22"/>
  <c r="E73" s="1"/>
  <c r="J90"/>
  <c r="J58"/>
  <c r="AI166" i="4"/>
  <c r="AD166" i="8" s="1"/>
  <c r="Q166" s="1"/>
  <c r="H166" i="22"/>
  <c r="AB138" i="4"/>
  <c r="Z138" i="8" s="1"/>
  <c r="M138" s="1"/>
  <c r="G138" i="22"/>
  <c r="I137" s="1"/>
  <c r="N143"/>
  <c r="AB143" i="4" s="1"/>
  <c r="Z143" i="8" s="1"/>
  <c r="AH22"/>
  <c r="N51"/>
  <c r="J39" i="22"/>
  <c r="AB73" i="4"/>
  <c r="Z73" i="8" s="1"/>
  <c r="M73" s="1"/>
  <c r="G73" i="22"/>
  <c r="J53"/>
  <c r="AH149" i="8"/>
  <c r="L26" i="60"/>
  <c r="R26" s="1"/>
  <c r="L35" s="1"/>
  <c r="E8" i="15" s="1"/>
  <c r="AH139" i="8"/>
  <c r="N139"/>
  <c r="AF134"/>
  <c r="AJ134"/>
  <c r="AA134" s="1"/>
  <c r="L134" i="47" s="1"/>
  <c r="H134" s="1"/>
  <c r="AL138" i="8"/>
  <c r="R138"/>
  <c r="AH138"/>
  <c r="N138"/>
  <c r="AL139"/>
  <c r="R139"/>
  <c r="N126" i="22"/>
  <c r="N125"/>
  <c r="AB132" i="4"/>
  <c r="Z132" i="8" s="1"/>
  <c r="M132" s="1"/>
  <c r="G132" i="22"/>
  <c r="J126"/>
  <c r="O124"/>
  <c r="AI124" i="4" s="1"/>
  <c r="AD124" i="8" s="1"/>
  <c r="Q124" s="1"/>
  <c r="AH128"/>
  <c r="N128"/>
  <c r="AH127"/>
  <c r="N127"/>
  <c r="AH131"/>
  <c r="N131"/>
  <c r="K30" i="60"/>
  <c r="L14"/>
  <c r="K27"/>
  <c r="L11"/>
  <c r="L18"/>
  <c r="K34"/>
  <c r="L16"/>
  <c r="K32"/>
  <c r="K28"/>
  <c r="L12"/>
  <c r="K29"/>
  <c r="L13"/>
  <c r="L15"/>
  <c r="K31"/>
  <c r="L17"/>
  <c r="K33"/>
  <c r="L113"/>
  <c r="L134" s="1"/>
  <c r="E34" i="15" s="1"/>
  <c r="T40" i="63" s="1"/>
  <c r="N156" i="22"/>
  <c r="G156" s="1"/>
  <c r="AH89" i="8"/>
  <c r="AF86" s="1"/>
  <c r="AH122"/>
  <c r="N74" i="22"/>
  <c r="G74" s="1"/>
  <c r="N72"/>
  <c r="G72" s="1"/>
  <c r="N158"/>
  <c r="G158" s="1"/>
  <c r="N33"/>
  <c r="G33" s="1"/>
  <c r="N32"/>
  <c r="G32" s="1"/>
  <c r="N145"/>
  <c r="G145" s="1"/>
  <c r="N144"/>
  <c r="G144" s="1"/>
  <c r="N60"/>
  <c r="G60" s="1"/>
  <c r="N59"/>
  <c r="G59" s="1"/>
  <c r="N108" i="8"/>
  <c r="N122" i="22"/>
  <c r="G122" s="1"/>
  <c r="N177"/>
  <c r="G177" s="1"/>
  <c r="N176"/>
  <c r="G176" s="1"/>
  <c r="N175"/>
  <c r="G175" s="1"/>
  <c r="P62"/>
  <c r="P63"/>
  <c r="N167"/>
  <c r="G167" s="1"/>
  <c r="N165"/>
  <c r="G165" s="1"/>
  <c r="N166"/>
  <c r="G166" s="1"/>
  <c r="N168"/>
  <c r="G168" s="1"/>
  <c r="P140"/>
  <c r="P159"/>
  <c r="N87"/>
  <c r="G87" s="1"/>
  <c r="N89"/>
  <c r="G89" s="1"/>
  <c r="N88"/>
  <c r="G88" s="1"/>
  <c r="N87" i="8"/>
  <c r="P98" i="22"/>
  <c r="P97"/>
  <c r="N81"/>
  <c r="G81" s="1"/>
  <c r="N85"/>
  <c r="G85" s="1"/>
  <c r="N83"/>
  <c r="G83" s="1"/>
  <c r="N84"/>
  <c r="G84" s="1"/>
  <c r="N80"/>
  <c r="G80" s="1"/>
  <c r="N82"/>
  <c r="G82" s="1"/>
  <c r="N114"/>
  <c r="G114" s="1"/>
  <c r="N113"/>
  <c r="G113" s="1"/>
  <c r="P48"/>
  <c r="P47"/>
  <c r="P10"/>
  <c r="N11" s="1"/>
  <c r="N106"/>
  <c r="G106" s="1"/>
  <c r="N107"/>
  <c r="G107" s="1"/>
  <c r="N104"/>
  <c r="G104" s="1"/>
  <c r="N108"/>
  <c r="G108" s="1"/>
  <c r="N103"/>
  <c r="G103" s="1"/>
  <c r="N105"/>
  <c r="G105" s="1"/>
  <c r="N42"/>
  <c r="G42" s="1"/>
  <c r="N40"/>
  <c r="G40" s="1"/>
  <c r="N41"/>
  <c r="G41" s="1"/>
  <c r="N162"/>
  <c r="G162" s="1"/>
  <c r="N164"/>
  <c r="AB164" i="4" s="1"/>
  <c r="Z164" i="8" s="1"/>
  <c r="N163" i="22"/>
  <c r="G163" s="1"/>
  <c r="N155"/>
  <c r="AB155" i="4" s="1"/>
  <c r="Z155" i="8" s="1"/>
  <c r="N154" i="22"/>
  <c r="G154" s="1"/>
  <c r="P20"/>
  <c r="P21"/>
  <c r="N111"/>
  <c r="G111" s="1"/>
  <c r="N112"/>
  <c r="AB112" i="4" s="1"/>
  <c r="Z112" i="8" s="1"/>
  <c r="N110" i="22"/>
  <c r="G110" s="1"/>
  <c r="P35"/>
  <c r="P34"/>
  <c r="P9"/>
  <c r="N70"/>
  <c r="G70" s="1"/>
  <c r="N68"/>
  <c r="G68" s="1"/>
  <c r="N69"/>
  <c r="G69" s="1"/>
  <c r="N17"/>
  <c r="G17" s="1"/>
  <c r="N18"/>
  <c r="G18" s="1"/>
  <c r="N15"/>
  <c r="G15" s="1"/>
  <c r="N16"/>
  <c r="G16" s="1"/>
  <c r="N131"/>
  <c r="G131" s="1"/>
  <c r="N128"/>
  <c r="G128" s="1"/>
  <c r="N127"/>
  <c r="G127" s="1"/>
  <c r="N130"/>
  <c r="G130" s="1"/>
  <c r="N129"/>
  <c r="G129" s="1"/>
  <c r="N56"/>
  <c r="G56" s="1"/>
  <c r="N57"/>
  <c r="G57" s="1"/>
  <c r="N54"/>
  <c r="G54" s="1"/>
  <c r="N55"/>
  <c r="G55" s="1"/>
  <c r="P169"/>
  <c r="P170"/>
  <c r="P61"/>
  <c r="N148"/>
  <c r="G148" s="1"/>
  <c r="N151"/>
  <c r="G151" s="1"/>
  <c r="N150"/>
  <c r="G150" s="1"/>
  <c r="N147"/>
  <c r="G147" s="1"/>
  <c r="N152"/>
  <c r="G152" s="1"/>
  <c r="N149"/>
  <c r="G149" s="1"/>
  <c r="N142"/>
  <c r="G142" s="1"/>
  <c r="P75"/>
  <c r="P76"/>
  <c r="N179"/>
  <c r="G179" s="1"/>
  <c r="N180"/>
  <c r="G180" s="1"/>
  <c r="N94"/>
  <c r="G94" s="1"/>
  <c r="N95"/>
  <c r="G95" s="1"/>
  <c r="N93"/>
  <c r="G93" s="1"/>
  <c r="N92"/>
  <c r="G92" s="1"/>
  <c r="N91"/>
  <c r="G91" s="1"/>
  <c r="N173" i="8"/>
  <c r="N171"/>
  <c r="AH171"/>
  <c r="N13"/>
  <c r="N24"/>
  <c r="AH105"/>
  <c r="R78"/>
  <c r="AH72"/>
  <c r="AF71" s="1"/>
  <c r="W71" s="1"/>
  <c r="K71" i="47" s="1"/>
  <c r="G71" s="1"/>
  <c r="AH177" i="8"/>
  <c r="AF174" s="1"/>
  <c r="N104"/>
  <c r="AH130"/>
  <c r="R33"/>
  <c r="AH107"/>
  <c r="R54"/>
  <c r="N103"/>
  <c r="AH27"/>
  <c r="AH52"/>
  <c r="AH45"/>
  <c r="AH15"/>
  <c r="AF14" s="1"/>
  <c r="W14" s="1"/>
  <c r="K14" i="47" s="1"/>
  <c r="G14" s="1"/>
  <c r="I10" s="1"/>
  <c r="D11" s="1"/>
  <c r="N40" i="8"/>
  <c r="AI180" i="4"/>
  <c r="AD180" i="8" s="1"/>
  <c r="Q180" s="1"/>
  <c r="AH49"/>
  <c r="R172"/>
  <c r="R57"/>
  <c r="N74"/>
  <c r="N42"/>
  <c r="X118"/>
  <c r="K118" i="22" s="1"/>
  <c r="R94" i="8"/>
  <c r="N50"/>
  <c r="AH59"/>
  <c r="AF58" s="1"/>
  <c r="W58" s="1"/>
  <c r="K58" i="47" s="1"/>
  <c r="G58" s="1"/>
  <c r="N17" i="8"/>
  <c r="N23"/>
  <c r="AL93"/>
  <c r="AJ90" s="1"/>
  <c r="AA90" s="1"/>
  <c r="L90" i="47" s="1"/>
  <c r="H90" s="1"/>
  <c r="AH29" i="8"/>
  <c r="AL147"/>
  <c r="AL151"/>
  <c r="AH26"/>
  <c r="N176"/>
  <c r="N28"/>
  <c r="AL45"/>
  <c r="AH25"/>
  <c r="R92"/>
  <c r="N151"/>
  <c r="AL114"/>
  <c r="AJ112" s="1"/>
  <c r="O169" i="22"/>
  <c r="AI169" i="4" s="1"/>
  <c r="AD169" i="8" s="1"/>
  <c r="Q169" s="1"/>
  <c r="N150"/>
  <c r="AI33" i="4"/>
  <c r="AD33" i="8" s="1"/>
  <c r="Q33" s="1"/>
  <c r="R18"/>
  <c r="N16"/>
  <c r="R156"/>
  <c r="AI119" i="4"/>
  <c r="AD119" i="8" s="1"/>
  <c r="Q119" s="1"/>
  <c r="R170"/>
  <c r="O97" i="22"/>
  <c r="AI97" i="4" s="1"/>
  <c r="AD97" i="8" s="1"/>
  <c r="AL36"/>
  <c r="AL171"/>
  <c r="AJ170" s="1"/>
  <c r="AL157"/>
  <c r="AJ155" s="1"/>
  <c r="AA155" s="1"/>
  <c r="L155" i="47" s="1"/>
  <c r="H155" s="1"/>
  <c r="J153" s="1"/>
  <c r="R149" i="8"/>
  <c r="R55"/>
  <c r="R150"/>
  <c r="N64"/>
  <c r="R60"/>
  <c r="AH152"/>
  <c r="O161" i="22"/>
  <c r="AI161" i="4" s="1"/>
  <c r="AD161" i="8" s="1"/>
  <c r="Q161" s="1"/>
  <c r="AL17"/>
  <c r="AF67"/>
  <c r="L67" s="1"/>
  <c r="R91"/>
  <c r="O118" i="22"/>
  <c r="N148" i="8"/>
  <c r="AH65"/>
  <c r="AF63" s="1"/>
  <c r="L63" s="1"/>
  <c r="AL15"/>
  <c r="AF178"/>
  <c r="L178" s="1"/>
  <c r="AJ76"/>
  <c r="AA76" s="1"/>
  <c r="L76" i="47" s="1"/>
  <c r="H76" s="1"/>
  <c r="R148" i="8"/>
  <c r="AL38"/>
  <c r="AH147"/>
  <c r="AF35"/>
  <c r="L35" s="1"/>
  <c r="O133" i="22"/>
  <c r="AJ58" i="8"/>
  <c r="AA58" s="1"/>
  <c r="L58" i="47" s="1"/>
  <c r="H58" s="1"/>
  <c r="O62" i="22"/>
  <c r="AI62" i="4" s="1"/>
  <c r="AD62" i="8" s="1"/>
  <c r="AI120" i="4"/>
  <c r="AD120" i="8" s="1"/>
  <c r="Q120" s="1"/>
  <c r="AI144" i="4"/>
  <c r="AD144" i="8" s="1"/>
  <c r="Q144" s="1"/>
  <c r="N167"/>
  <c r="AH167"/>
  <c r="O38" i="22"/>
  <c r="H38" s="1"/>
  <c r="O37"/>
  <c r="H37" s="1"/>
  <c r="O36"/>
  <c r="H36" s="1"/>
  <c r="AI93" i="4"/>
  <c r="AD93" i="8" s="1"/>
  <c r="Q93" s="1"/>
  <c r="AL128"/>
  <c r="O10" i="22"/>
  <c r="AI10" i="4" s="1"/>
  <c r="AD10" i="8" s="1"/>
  <c r="O20" i="22"/>
  <c r="AI20" i="4" s="1"/>
  <c r="AD20" i="8" s="1"/>
  <c r="O34" i="22"/>
  <c r="AI34" i="4" s="1"/>
  <c r="AD34" i="8" s="1"/>
  <c r="O47" i="22"/>
  <c r="AI47" i="4" s="1"/>
  <c r="AD47" i="8" s="1"/>
  <c r="AI82" i="4"/>
  <c r="AD82" i="8" s="1"/>
  <c r="Q82" s="1"/>
  <c r="AI60" i="4"/>
  <c r="AD60" i="8" s="1"/>
  <c r="Q60" s="1"/>
  <c r="AI16" i="4"/>
  <c r="AD16" i="8" s="1"/>
  <c r="Q16" s="1"/>
  <c r="AI163" i="4"/>
  <c r="AD163" i="8" s="1"/>
  <c r="Q163" s="1"/>
  <c r="AI108" i="4"/>
  <c r="AD108" i="8" s="1"/>
  <c r="Q108" s="1"/>
  <c r="R177"/>
  <c r="AL177"/>
  <c r="AI114" i="4"/>
  <c r="AD114" i="8" s="1"/>
  <c r="Q114" s="1"/>
  <c r="AL23"/>
  <c r="R23"/>
  <c r="O79" i="22"/>
  <c r="AI79" i="4" s="1"/>
  <c r="AD79" i="8" s="1"/>
  <c r="Q79" s="1"/>
  <c r="O90" i="22"/>
  <c r="AI90" i="4" s="1"/>
  <c r="AD90" i="8" s="1"/>
  <c r="Q90" s="1"/>
  <c r="O76" i="22"/>
  <c r="AI76" i="4" s="1"/>
  <c r="AD76" i="8" s="1"/>
  <c r="Q76" s="1"/>
  <c r="O86" i="22"/>
  <c r="AI86" i="4" s="1"/>
  <c r="AD86" i="8" s="1"/>
  <c r="Q86" s="1"/>
  <c r="AI158" i="4"/>
  <c r="AD158" i="8" s="1"/>
  <c r="Q158" s="1"/>
  <c r="O50" i="22"/>
  <c r="H50" s="1"/>
  <c r="O52"/>
  <c r="H52" s="1"/>
  <c r="O51"/>
  <c r="H51" s="1"/>
  <c r="O49"/>
  <c r="H49" s="1"/>
  <c r="R166" i="8"/>
  <c r="AL166"/>
  <c r="AL145"/>
  <c r="R145"/>
  <c r="AI73" i="4"/>
  <c r="AD73" i="8" s="1"/>
  <c r="Q73" s="1"/>
  <c r="AI122" i="4"/>
  <c r="AD122" i="8" s="1"/>
  <c r="Q122" s="1"/>
  <c r="R80"/>
  <c r="AL80"/>
  <c r="AI160" i="4"/>
  <c r="AD160" i="8" s="1"/>
  <c r="Q160" s="1"/>
  <c r="AI150" i="4"/>
  <c r="AD150" i="8" s="1"/>
  <c r="Q150" s="1"/>
  <c r="N168"/>
  <c r="AH168"/>
  <c r="AL13"/>
  <c r="R13"/>
  <c r="AI130" i="4"/>
  <c r="AD130" i="8" s="1"/>
  <c r="Q130" s="1"/>
  <c r="AI127" i="4"/>
  <c r="AD127" i="8" s="1"/>
  <c r="Q127" s="1"/>
  <c r="AL52"/>
  <c r="R52"/>
  <c r="R65"/>
  <c r="AL65"/>
  <c r="N55"/>
  <c r="AH55"/>
  <c r="AL179"/>
  <c r="R179"/>
  <c r="AI95" i="4"/>
  <c r="AD95" i="8" s="1"/>
  <c r="Q95" s="1"/>
  <c r="AL129"/>
  <c r="N32"/>
  <c r="AH32"/>
  <c r="AI83" i="4"/>
  <c r="AD83" i="8" s="1"/>
  <c r="Q83" s="1"/>
  <c r="AI84" i="4"/>
  <c r="AD84" i="8" s="1"/>
  <c r="Q84" s="1"/>
  <c r="AL99"/>
  <c r="R99"/>
  <c r="AI177" i="4"/>
  <c r="AD177" i="8" s="1"/>
  <c r="Q177" s="1"/>
  <c r="AI18" i="4"/>
  <c r="AD18" i="8" s="1"/>
  <c r="Q18" s="1"/>
  <c r="AL70"/>
  <c r="R70"/>
  <c r="AI162" i="4"/>
  <c r="AD162" i="8" s="1"/>
  <c r="Q162" s="1"/>
  <c r="AI106" i="4"/>
  <c r="AD106" i="8" s="1"/>
  <c r="Q106" s="1"/>
  <c r="AI142" i="4"/>
  <c r="AD142" i="8" s="1"/>
  <c r="Q142" s="1"/>
  <c r="AL104"/>
  <c r="R104"/>
  <c r="AH85"/>
  <c r="N85"/>
  <c r="AL122"/>
  <c r="R122"/>
  <c r="N95"/>
  <c r="AH95"/>
  <c r="N91"/>
  <c r="AH91"/>
  <c r="AJ31"/>
  <c r="AA31" s="1"/>
  <c r="L31" i="47" s="1"/>
  <c r="H31" s="1"/>
  <c r="AL25" i="8"/>
  <c r="R25"/>
  <c r="R24"/>
  <c r="AL24"/>
  <c r="R73"/>
  <c r="AL73"/>
  <c r="O77" i="22"/>
  <c r="H77" s="1"/>
  <c r="O78"/>
  <c r="H78" s="1"/>
  <c r="AI41" i="4"/>
  <c r="AD41" i="8" s="1"/>
  <c r="Q41" s="1"/>
  <c r="AI157" i="4"/>
  <c r="AD157" i="8" s="1"/>
  <c r="Q157" s="1"/>
  <c r="AF112"/>
  <c r="O31" i="22"/>
  <c r="AI31" i="4" s="1"/>
  <c r="AD31" i="8" s="1"/>
  <c r="O21" i="22"/>
  <c r="AI21" i="4" s="1"/>
  <c r="AD21" i="8" s="1"/>
  <c r="O30" i="22"/>
  <c r="H30" s="1"/>
  <c r="AI55" i="4"/>
  <c r="AD55" i="8" s="1"/>
  <c r="Q55" s="1"/>
  <c r="R168"/>
  <c r="AL168"/>
  <c r="W76"/>
  <c r="K76" i="47" s="1"/>
  <c r="G76" s="1"/>
  <c r="L76" i="8"/>
  <c r="R87"/>
  <c r="AL87"/>
  <c r="O171" i="22"/>
  <c r="H171" s="1"/>
  <c r="O172"/>
  <c r="H172" s="1"/>
  <c r="O173"/>
  <c r="H173" s="1"/>
  <c r="AL81" i="8"/>
  <c r="R81"/>
  <c r="AL50"/>
  <c r="R50"/>
  <c r="O146" i="22"/>
  <c r="AI146" i="4" s="1"/>
  <c r="AD146" i="8" s="1"/>
  <c r="Q146" s="1"/>
  <c r="O141" i="22"/>
  <c r="AI141" i="4" s="1"/>
  <c r="AD141" i="8" s="1"/>
  <c r="Q141" s="1"/>
  <c r="O153" i="22"/>
  <c r="AI153" i="4" s="1"/>
  <c r="AD153" i="8" s="1"/>
  <c r="Q153" s="1"/>
  <c r="AL131"/>
  <c r="N33"/>
  <c r="AH33"/>
  <c r="AI111" i="4"/>
  <c r="AD111" i="8" s="1"/>
  <c r="Q111" s="1"/>
  <c r="AI88" i="4"/>
  <c r="AD88" i="8" s="1"/>
  <c r="Q88" s="1"/>
  <c r="AI175" i="4"/>
  <c r="AD175" i="8" s="1"/>
  <c r="Q175" s="1"/>
  <c r="AI70" i="4"/>
  <c r="AD70" i="8" s="1"/>
  <c r="Q70" s="1"/>
  <c r="AL68"/>
  <c r="R68"/>
  <c r="AI103" i="4"/>
  <c r="AD103" i="8" s="1"/>
  <c r="Q103" s="1"/>
  <c r="AL103"/>
  <c r="R103"/>
  <c r="AH80"/>
  <c r="N80"/>
  <c r="AI125" i="4"/>
  <c r="AD125" i="8" s="1"/>
  <c r="Q125" s="1"/>
  <c r="N92"/>
  <c r="AH92"/>
  <c r="AL22"/>
  <c r="R22"/>
  <c r="AI42" i="4"/>
  <c r="AD42" i="8" s="1"/>
  <c r="Q42" s="1"/>
  <c r="AI56" i="4"/>
  <c r="AD56" i="8" s="1"/>
  <c r="Q56" s="1"/>
  <c r="AL88"/>
  <c r="R88"/>
  <c r="R144"/>
  <c r="AL144"/>
  <c r="AI123" i="4"/>
  <c r="AD123" i="8" s="1"/>
  <c r="Q123" s="1"/>
  <c r="AL83"/>
  <c r="R83"/>
  <c r="R82"/>
  <c r="AL82"/>
  <c r="AI149" i="4"/>
  <c r="AD149" i="8" s="1"/>
  <c r="Q149" s="1"/>
  <c r="N165"/>
  <c r="AH165"/>
  <c r="AL41"/>
  <c r="R41"/>
  <c r="R12"/>
  <c r="AL12"/>
  <c r="AI128" i="4"/>
  <c r="AD128" i="8" s="1"/>
  <c r="Q128" s="1"/>
  <c r="O71" i="22"/>
  <c r="AI71" i="4" s="1"/>
  <c r="AD71" i="8" s="1"/>
  <c r="Q71" s="1"/>
  <c r="O63" i="22"/>
  <c r="AI63" i="4" s="1"/>
  <c r="AD63" i="8" s="1"/>
  <c r="O67" i="22"/>
  <c r="AI67" i="4" s="1"/>
  <c r="AD67" i="8" s="1"/>
  <c r="R49"/>
  <c r="AL49"/>
  <c r="R64"/>
  <c r="AL64"/>
  <c r="AI154" i="4"/>
  <c r="AD154" i="8" s="1"/>
  <c r="Q154" s="1"/>
  <c r="N56"/>
  <c r="AH56"/>
  <c r="AI94" i="4"/>
  <c r="AD94" i="8" s="1"/>
  <c r="Q94" s="1"/>
  <c r="AI91" i="4"/>
  <c r="AD91" i="8" s="1"/>
  <c r="Q91" s="1"/>
  <c r="AL127"/>
  <c r="AI110" i="4"/>
  <c r="AD110" i="8" s="1"/>
  <c r="Q110" s="1"/>
  <c r="AI85" i="4"/>
  <c r="AD85" i="8" s="1"/>
  <c r="Q85" s="1"/>
  <c r="AI80" i="4"/>
  <c r="AD80" i="8" s="1"/>
  <c r="Q80" s="1"/>
  <c r="AL100"/>
  <c r="R100"/>
  <c r="AI89" i="4"/>
  <c r="AD89" i="8" s="1"/>
  <c r="Q89" s="1"/>
  <c r="AI69" i="4"/>
  <c r="AD69" i="8" s="1"/>
  <c r="Q69" s="1"/>
  <c r="AI17" i="4"/>
  <c r="AD17" i="8" s="1"/>
  <c r="Q17" s="1"/>
  <c r="AI105" i="4"/>
  <c r="AD105" i="8" s="1"/>
  <c r="Q105" s="1"/>
  <c r="AH100"/>
  <c r="N100"/>
  <c r="AL105"/>
  <c r="R105"/>
  <c r="R106"/>
  <c r="AL106"/>
  <c r="AL175"/>
  <c r="R175"/>
  <c r="AH82"/>
  <c r="N82"/>
  <c r="N84"/>
  <c r="AH84"/>
  <c r="AL123"/>
  <c r="R123"/>
  <c r="N94"/>
  <c r="AH94"/>
  <c r="AJ53"/>
  <c r="O19" i="22"/>
  <c r="H19" s="1"/>
  <c r="AI11" i="4"/>
  <c r="AD11" i="8" s="1"/>
  <c r="Q11" s="1"/>
  <c r="O14" i="22"/>
  <c r="AI14" i="4" s="1"/>
  <c r="AD14" i="8" s="1"/>
  <c r="AL27"/>
  <c r="R27"/>
  <c r="AL26"/>
  <c r="R26"/>
  <c r="O101" i="22"/>
  <c r="H101" s="1"/>
  <c r="O102"/>
  <c r="AI102" i="4" s="1"/>
  <c r="AD102" i="8" s="1"/>
  <c r="Q102" s="1"/>
  <c r="O98" i="22"/>
  <c r="AI98" i="4" s="1"/>
  <c r="AD98" i="8" s="1"/>
  <c r="R72"/>
  <c r="AL72"/>
  <c r="N145"/>
  <c r="AH145"/>
  <c r="AI40" i="4"/>
  <c r="AD40" i="8" s="1"/>
  <c r="Q40" s="1"/>
  <c r="AI156" i="4"/>
  <c r="AD156" i="8" s="1"/>
  <c r="Q156" s="1"/>
  <c r="O22" i="22"/>
  <c r="H22" s="1"/>
  <c r="O24"/>
  <c r="H24" s="1"/>
  <c r="O28"/>
  <c r="H28" s="1"/>
  <c r="O25"/>
  <c r="H25" s="1"/>
  <c r="O29"/>
  <c r="H29" s="1"/>
  <c r="O26"/>
  <c r="H26" s="1"/>
  <c r="O23"/>
  <c r="H23" s="1"/>
  <c r="O27"/>
  <c r="H27" s="1"/>
  <c r="AI57" i="4"/>
  <c r="AD57" i="8" s="1"/>
  <c r="Q57" s="1"/>
  <c r="AL165"/>
  <c r="R165"/>
  <c r="AI72" i="4"/>
  <c r="AD72" i="8" s="1"/>
  <c r="Q72" s="1"/>
  <c r="AI151" i="4"/>
  <c r="AD151" i="8" s="1"/>
  <c r="Q151" s="1"/>
  <c r="AI148" i="4"/>
  <c r="AD148" i="8" s="1"/>
  <c r="Q148" s="1"/>
  <c r="AL42"/>
  <c r="R42"/>
  <c r="AI129" i="4"/>
  <c r="AD129" i="8" s="1"/>
  <c r="Q129" s="1"/>
  <c r="N57"/>
  <c r="AH57"/>
  <c r="R180"/>
  <c r="AL180"/>
  <c r="AI145" i="4"/>
  <c r="AD145" i="8" s="1"/>
  <c r="Q145" s="1"/>
  <c r="AL89"/>
  <c r="R89"/>
  <c r="AI74" i="4"/>
  <c r="AD74" i="8" s="1"/>
  <c r="Q74" s="1"/>
  <c r="O170" i="22"/>
  <c r="AI170" i="4" s="1"/>
  <c r="AD170" i="8" s="1"/>
  <c r="Q170" s="1"/>
  <c r="O174" i="22"/>
  <c r="AI174" i="4" s="1"/>
  <c r="AD174" i="8" s="1"/>
  <c r="Q174" s="1"/>
  <c r="O178" i="22"/>
  <c r="AI178" i="4" s="1"/>
  <c r="AD178" i="8" s="1"/>
  <c r="Q178" s="1"/>
  <c r="AL85"/>
  <c r="R85"/>
  <c r="R84"/>
  <c r="AL84"/>
  <c r="AI147" i="4"/>
  <c r="AD147" i="8" s="1"/>
  <c r="Q147" s="1"/>
  <c r="AI152" i="4"/>
  <c r="AD152" i="8" s="1"/>
  <c r="Q152" s="1"/>
  <c r="N166"/>
  <c r="AH166"/>
  <c r="AL40"/>
  <c r="R40"/>
  <c r="AI131" i="4"/>
  <c r="AD131" i="8" s="1"/>
  <c r="Q131" s="1"/>
  <c r="O64" i="22"/>
  <c r="H64" s="1"/>
  <c r="O66"/>
  <c r="H66" s="1"/>
  <c r="O65"/>
  <c r="H65" s="1"/>
  <c r="R51" i="8"/>
  <c r="AL51"/>
  <c r="AL66"/>
  <c r="R66"/>
  <c r="N54"/>
  <c r="AH54"/>
  <c r="T118"/>
  <c r="O46" i="22"/>
  <c r="H46" s="1"/>
  <c r="O43"/>
  <c r="H43" s="1"/>
  <c r="O39"/>
  <c r="AI39" i="4" s="1"/>
  <c r="AD39" i="8" s="1"/>
  <c r="O35" i="22"/>
  <c r="AI35" i="4" s="1"/>
  <c r="AD35" i="8" s="1"/>
  <c r="AI92" i="4"/>
  <c r="AD92" i="8" s="1"/>
  <c r="Q92" s="1"/>
  <c r="AL130"/>
  <c r="AI81" i="4"/>
  <c r="AD81" i="8" s="1"/>
  <c r="Q81" s="1"/>
  <c r="AI59" i="4"/>
  <c r="AD59" i="8" s="1"/>
  <c r="Q59" s="1"/>
  <c r="U118"/>
  <c r="AI87" i="4"/>
  <c r="AD87" i="8" s="1"/>
  <c r="Q87" s="1"/>
  <c r="AI176" i="4"/>
  <c r="AD176" i="8" s="1"/>
  <c r="Q176" s="1"/>
  <c r="AI68" i="4"/>
  <c r="AD68" i="8" s="1"/>
  <c r="Q68" s="1"/>
  <c r="AI15" i="4"/>
  <c r="AD15" i="8" s="1"/>
  <c r="Q15" s="1"/>
  <c r="AL69"/>
  <c r="R69"/>
  <c r="AI104" i="4"/>
  <c r="AD104" i="8" s="1"/>
  <c r="Q104" s="1"/>
  <c r="AI107" i="4"/>
  <c r="AD107" i="8" s="1"/>
  <c r="Q107" s="1"/>
  <c r="AH99"/>
  <c r="N99"/>
  <c r="AL107"/>
  <c r="R107"/>
  <c r="AL108"/>
  <c r="R108"/>
  <c r="AL176"/>
  <c r="R176"/>
  <c r="AH81"/>
  <c r="N81"/>
  <c r="AH83"/>
  <c r="N83"/>
  <c r="N93"/>
  <c r="AH93"/>
  <c r="AI113" i="4"/>
  <c r="AD113" i="8" s="1"/>
  <c r="Q113" s="1"/>
  <c r="O13" i="22"/>
  <c r="H13" s="1"/>
  <c r="O12"/>
  <c r="H12" s="1"/>
  <c r="AL29" i="8"/>
  <c r="R29"/>
  <c r="R28"/>
  <c r="AL28"/>
  <c r="O99" i="22"/>
  <c r="H99" s="1"/>
  <c r="O100"/>
  <c r="H100" s="1"/>
  <c r="AL74" i="8"/>
  <c r="R74"/>
  <c r="N144"/>
  <c r="AH144"/>
  <c r="AI54" i="4"/>
  <c r="AD54" i="8" s="1"/>
  <c r="Q54" s="1"/>
  <c r="O48" i="22"/>
  <c r="AI48" i="4" s="1"/>
  <c r="AD48" i="8" s="1"/>
  <c r="O58" i="22"/>
  <c r="AI58" i="4" s="1"/>
  <c r="AD58" i="8" s="1"/>
  <c r="Q58" s="1"/>
  <c r="O53" i="22"/>
  <c r="AI53" i="4" s="1"/>
  <c r="AD53" i="8" s="1"/>
  <c r="AF39"/>
  <c r="AF155"/>
  <c r="AL167"/>
  <c r="R167"/>
  <c r="U62" i="66" l="1"/>
  <c r="V62" s="1"/>
  <c r="S59" i="62"/>
  <c r="T59" s="1"/>
  <c r="S62" i="66"/>
  <c r="T62" s="1"/>
  <c r="S59" i="63"/>
  <c r="T59" s="1"/>
  <c r="E84" i="22"/>
  <c r="E15"/>
  <c r="E16"/>
  <c r="E113"/>
  <c r="AL113" i="4" s="1"/>
  <c r="E81" i="22"/>
  <c r="E17"/>
  <c r="AL17" i="4" s="1"/>
  <c r="E139" i="22"/>
  <c r="AL139" i="4" s="1"/>
  <c r="S139" i="8" s="1"/>
  <c r="E88" i="22"/>
  <c r="E74"/>
  <c r="J170"/>
  <c r="E171" s="1"/>
  <c r="I112"/>
  <c r="D113" s="1"/>
  <c r="E72"/>
  <c r="E89"/>
  <c r="AF170" i="8"/>
  <c r="W170" s="1"/>
  <c r="K170" i="47" s="1"/>
  <c r="G170" s="1"/>
  <c r="E87" i="22"/>
  <c r="AL87" i="4" s="1"/>
  <c r="I58" i="22"/>
  <c r="D59" s="1"/>
  <c r="I31"/>
  <c r="D33" s="1"/>
  <c r="N134"/>
  <c r="AB134" i="4" s="1"/>
  <c r="I164" i="22"/>
  <c r="D167" s="1"/>
  <c r="I174"/>
  <c r="D176" s="1"/>
  <c r="I71"/>
  <c r="D74" s="1"/>
  <c r="AE74" i="4" s="1"/>
  <c r="AI74" i="8" s="1"/>
  <c r="I155" i="22"/>
  <c r="D158" s="1"/>
  <c r="E85"/>
  <c r="E83"/>
  <c r="AL83" i="4" s="1"/>
  <c r="E144" i="22"/>
  <c r="E80"/>
  <c r="E70"/>
  <c r="E69"/>
  <c r="E176"/>
  <c r="E177"/>
  <c r="E175"/>
  <c r="J98"/>
  <c r="J63"/>
  <c r="I79"/>
  <c r="J76"/>
  <c r="I178"/>
  <c r="I14"/>
  <c r="I67"/>
  <c r="I86"/>
  <c r="H136"/>
  <c r="AI136" i="4"/>
  <c r="AD136" i="8" s="1"/>
  <c r="Q136" s="1"/>
  <c r="E156" i="22"/>
  <c r="E158"/>
  <c r="E157"/>
  <c r="I90"/>
  <c r="D139"/>
  <c r="AE139" i="4" s="1"/>
  <c r="D138" i="22"/>
  <c r="AE138" i="4" s="1"/>
  <c r="E59" i="22"/>
  <c r="AL59" i="4" s="1"/>
  <c r="E60" i="22"/>
  <c r="N136"/>
  <c r="N135"/>
  <c r="E152"/>
  <c r="E150"/>
  <c r="E149"/>
  <c r="E147"/>
  <c r="E148"/>
  <c r="E151"/>
  <c r="J35"/>
  <c r="I146"/>
  <c r="I102"/>
  <c r="N137"/>
  <c r="AB137" i="4" s="1"/>
  <c r="Z137" i="8" s="1"/>
  <c r="E94" i="22"/>
  <c r="E93"/>
  <c r="E92"/>
  <c r="E95"/>
  <c r="E91"/>
  <c r="AM138" i="8"/>
  <c r="S138"/>
  <c r="E105" i="22"/>
  <c r="E104"/>
  <c r="E103"/>
  <c r="E106"/>
  <c r="E108"/>
  <c r="E107"/>
  <c r="J164"/>
  <c r="H135"/>
  <c r="AI135" i="4"/>
  <c r="AD135" i="8" s="1"/>
  <c r="Q135" s="1"/>
  <c r="I39" i="22"/>
  <c r="E40"/>
  <c r="E41"/>
  <c r="E42"/>
  <c r="I53"/>
  <c r="E55"/>
  <c r="E56"/>
  <c r="E57"/>
  <c r="E54"/>
  <c r="J48"/>
  <c r="J21"/>
  <c r="AJ137" i="8"/>
  <c r="AA137" s="1"/>
  <c r="L137" i="47" s="1"/>
  <c r="H137" s="1"/>
  <c r="J133" s="1"/>
  <c r="AF137" i="8"/>
  <c r="W134"/>
  <c r="K134" i="47" s="1"/>
  <c r="G134" s="1"/>
  <c r="L134" i="8"/>
  <c r="M127" i="59" s="1"/>
  <c r="N127" s="1"/>
  <c r="L97" s="1"/>
  <c r="D19" i="47"/>
  <c r="I143" i="22"/>
  <c r="D145" s="1"/>
  <c r="AF146" i="8"/>
  <c r="L146" s="1"/>
  <c r="N123" i="22"/>
  <c r="G123" s="1"/>
  <c r="AB121" i="4"/>
  <c r="Z121" i="8" s="1"/>
  <c r="M121" s="1"/>
  <c r="E155" i="47"/>
  <c r="AJ155" i="4" s="1"/>
  <c r="E154" i="47"/>
  <c r="AJ154" i="4" s="1"/>
  <c r="D14" i="47"/>
  <c r="E131" i="22"/>
  <c r="E130"/>
  <c r="E129"/>
  <c r="E128"/>
  <c r="E127"/>
  <c r="I126"/>
  <c r="AB125" i="4"/>
  <c r="Z125" i="8" s="1"/>
  <c r="M125" s="1"/>
  <c r="AB126" i="4"/>
  <c r="Z126" i="8" s="1"/>
  <c r="M126" s="1"/>
  <c r="AI118" i="4"/>
  <c r="AD118" i="8" s="1"/>
  <c r="Q118" s="1"/>
  <c r="H118" i="22"/>
  <c r="J11"/>
  <c r="AI133" i="4"/>
  <c r="AD133" i="8" s="1"/>
  <c r="Q133" s="1"/>
  <c r="L24" i="60"/>
  <c r="L133" s="1"/>
  <c r="E9" i="15" s="1"/>
  <c r="S40" i="63" s="1"/>
  <c r="AB156" i="4"/>
  <c r="Z156" i="8" s="1"/>
  <c r="M156" s="1"/>
  <c r="AB158" i="4"/>
  <c r="Z158" i="8" s="1"/>
  <c r="M158" s="1"/>
  <c r="AB74" i="4"/>
  <c r="Z74" i="8" s="1"/>
  <c r="M74" s="1"/>
  <c r="AB72" i="4"/>
  <c r="Z72" i="8" s="1"/>
  <c r="M72" s="1"/>
  <c r="AB32" i="4"/>
  <c r="Z32" i="8" s="1"/>
  <c r="M32" s="1"/>
  <c r="AB33" i="4"/>
  <c r="Z33" i="8" s="1"/>
  <c r="M33" s="1"/>
  <c r="AB144" i="4"/>
  <c r="Z144" i="8" s="1"/>
  <c r="M144" s="1"/>
  <c r="AB145" i="4"/>
  <c r="Z145" i="8" s="1"/>
  <c r="M145" s="1"/>
  <c r="AB122" i="4"/>
  <c r="Z122" i="8" s="1"/>
  <c r="AB59" i="4"/>
  <c r="Z59" i="8" s="1"/>
  <c r="M59" s="1"/>
  <c r="AB60" i="4"/>
  <c r="Z60" i="8" s="1"/>
  <c r="M60" s="1"/>
  <c r="AB180" i="4"/>
  <c r="Z180" i="8" s="1"/>
  <c r="M180" s="1"/>
  <c r="N62" i="22"/>
  <c r="AB62" i="4" s="1"/>
  <c r="Z62" i="8" s="1"/>
  <c r="N75" i="22"/>
  <c r="AB75" i="4" s="1"/>
  <c r="Z75" i="8" s="1"/>
  <c r="N97" i="22"/>
  <c r="AB97" i="4" s="1"/>
  <c r="Z97" i="8" s="1"/>
  <c r="AB42" i="4"/>
  <c r="Z42" i="8" s="1"/>
  <c r="M42" s="1"/>
  <c r="AB113" i="4"/>
  <c r="Z113" i="8" s="1"/>
  <c r="M113" s="1"/>
  <c r="AB120" i="4"/>
  <c r="Z120" i="8" s="1"/>
  <c r="M120" s="1"/>
  <c r="AB93" i="4"/>
  <c r="Z93" i="8" s="1"/>
  <c r="M93" s="1"/>
  <c r="AB179" i="4"/>
  <c r="Z179" i="8" s="1"/>
  <c r="M179" s="1"/>
  <c r="AB142" i="4"/>
  <c r="Z142" i="8" s="1"/>
  <c r="M142" s="1"/>
  <c r="AB150" i="4"/>
  <c r="Z150" i="8" s="1"/>
  <c r="M150" s="1"/>
  <c r="N172" i="22"/>
  <c r="G172" s="1"/>
  <c r="N173"/>
  <c r="G173" s="1"/>
  <c r="N171"/>
  <c r="G171" s="1"/>
  <c r="AB57" i="4"/>
  <c r="Z57" i="8" s="1"/>
  <c r="M57" s="1"/>
  <c r="AB127" i="4"/>
  <c r="Z127" i="8" s="1"/>
  <c r="M127" s="1"/>
  <c r="AB15" i="4"/>
  <c r="Z15" i="8" s="1"/>
  <c r="M15" s="1"/>
  <c r="N34" i="22"/>
  <c r="AB34" i="4" s="1"/>
  <c r="Z34" i="8" s="1"/>
  <c r="N20" i="22"/>
  <c r="AB20" i="4" s="1"/>
  <c r="Z20" i="8" s="1"/>
  <c r="N10" i="22"/>
  <c r="AB10" i="4" s="1"/>
  <c r="Z10" i="8" s="1"/>
  <c r="N47" i="22"/>
  <c r="AB47" i="4" s="1"/>
  <c r="Z47" i="8" s="1"/>
  <c r="N25" i="22"/>
  <c r="G25" s="1"/>
  <c r="N24"/>
  <c r="G24" s="1"/>
  <c r="N29"/>
  <c r="G29" s="1"/>
  <c r="N26"/>
  <c r="G26" s="1"/>
  <c r="N23"/>
  <c r="G23" s="1"/>
  <c r="N28"/>
  <c r="G28" s="1"/>
  <c r="N27"/>
  <c r="G27" s="1"/>
  <c r="N22"/>
  <c r="G22" s="1"/>
  <c r="AB163" i="4"/>
  <c r="Z163" i="8" s="1"/>
  <c r="M163" s="1"/>
  <c r="K33" i="64" s="1"/>
  <c r="AB105" i="4"/>
  <c r="Z105" i="8" s="1"/>
  <c r="M105" s="1"/>
  <c r="AB107" i="4"/>
  <c r="Z107" i="8" s="1"/>
  <c r="M107" s="1"/>
  <c r="AB114" i="4"/>
  <c r="Z114" i="8" s="1"/>
  <c r="M114" s="1"/>
  <c r="K32" i="64" s="1"/>
  <c r="AB83" i="4"/>
  <c r="Z83" i="8" s="1"/>
  <c r="M83" s="1"/>
  <c r="N100" i="22"/>
  <c r="G100" s="1"/>
  <c r="N99"/>
  <c r="G99" s="1"/>
  <c r="AB89" i="4"/>
  <c r="Z89" i="8" s="1"/>
  <c r="M89" s="1"/>
  <c r="AB165" i="4"/>
  <c r="Z165" i="8" s="1"/>
  <c r="M165" s="1"/>
  <c r="AB175" i="4"/>
  <c r="Z175" i="8" s="1"/>
  <c r="M175" s="1"/>
  <c r="AB92" i="4"/>
  <c r="Z92" i="8" s="1"/>
  <c r="M92" s="1"/>
  <c r="AB104" i="4"/>
  <c r="Z104" i="8" s="1"/>
  <c r="M104" s="1"/>
  <c r="N12" i="22"/>
  <c r="G12" s="1"/>
  <c r="N13"/>
  <c r="G13" s="1"/>
  <c r="AB84" i="4"/>
  <c r="Z84" i="8" s="1"/>
  <c r="M84" s="1"/>
  <c r="N102" i="22"/>
  <c r="AB102" i="4" s="1"/>
  <c r="Z102" i="8" s="1"/>
  <c r="N101" i="22"/>
  <c r="G101" s="1"/>
  <c r="N98"/>
  <c r="AB98" i="4" s="1"/>
  <c r="Z98" i="8" s="1"/>
  <c r="AB88" i="4"/>
  <c r="Z88" i="8" s="1"/>
  <c r="M88" s="1"/>
  <c r="N63" i="22"/>
  <c r="AB63" i="4" s="1"/>
  <c r="Z63" i="8" s="1"/>
  <c r="N67" i="22"/>
  <c r="AB67" i="4" s="1"/>
  <c r="Z67" i="8" s="1"/>
  <c r="N71" i="22"/>
  <c r="AB71" i="4" s="1"/>
  <c r="Z71" i="8" s="1"/>
  <c r="AB95" i="4"/>
  <c r="Z95" i="8" s="1"/>
  <c r="M95" s="1"/>
  <c r="N78" i="22"/>
  <c r="G78" s="1"/>
  <c r="N77"/>
  <c r="G77" s="1"/>
  <c r="AB149" i="4"/>
  <c r="Z149" i="8" s="1"/>
  <c r="M149" s="1"/>
  <c r="AB151" i="4"/>
  <c r="Z151" i="8" s="1"/>
  <c r="M151" s="1"/>
  <c r="N170" i="22"/>
  <c r="AB170" i="4" s="1"/>
  <c r="Z170" i="8" s="1"/>
  <c r="N174" i="22"/>
  <c r="AB174" i="4" s="1"/>
  <c r="Z174" i="8" s="1"/>
  <c r="N178" i="22"/>
  <c r="AB178" i="4" s="1"/>
  <c r="Z178" i="8" s="1"/>
  <c r="AB56" i="4"/>
  <c r="Z56" i="8" s="1"/>
  <c r="M56" s="1"/>
  <c r="AB128" i="4"/>
  <c r="Z128" i="8" s="1"/>
  <c r="M128" s="1"/>
  <c r="AB18" i="4"/>
  <c r="Z18" i="8" s="1"/>
  <c r="M18" s="1"/>
  <c r="AB69" i="4"/>
  <c r="Z69" i="8" s="1"/>
  <c r="M69" s="1"/>
  <c r="N35" i="22"/>
  <c r="AB35" i="4" s="1"/>
  <c r="Z35" i="8" s="1"/>
  <c r="N43" i="22"/>
  <c r="G43" s="1"/>
  <c r="N46"/>
  <c r="G46" s="1"/>
  <c r="N39"/>
  <c r="AB39" i="4" s="1"/>
  <c r="Z39" i="8" s="1"/>
  <c r="AB110" i="4"/>
  <c r="Z110" i="8" s="1"/>
  <c r="M110" s="1"/>
  <c r="K31" i="64" s="1"/>
  <c r="AA31" s="1"/>
  <c r="AC31" s="1"/>
  <c r="N30" i="22"/>
  <c r="G30" s="1"/>
  <c r="N31"/>
  <c r="AB31" i="4" s="1"/>
  <c r="Z31" i="8" s="1"/>
  <c r="N21" i="22"/>
  <c r="AB21" i="4" s="1"/>
  <c r="Z21" i="8" s="1"/>
  <c r="AB41" i="4"/>
  <c r="Z41" i="8" s="1"/>
  <c r="M41" s="1"/>
  <c r="AB103" i="4"/>
  <c r="Z103" i="8" s="1"/>
  <c r="M103" s="1"/>
  <c r="AB106" i="4"/>
  <c r="Z106" i="8" s="1"/>
  <c r="M106" s="1"/>
  <c r="N53" i="22"/>
  <c r="AB53" i="4" s="1"/>
  <c r="Z53" i="8" s="1"/>
  <c r="N58" i="22"/>
  <c r="AB58" i="4" s="1"/>
  <c r="Z58" i="8" s="1"/>
  <c r="N48" i="22"/>
  <c r="AB48" i="4" s="1"/>
  <c r="Z48" i="8" s="1"/>
  <c r="AB82" i="4"/>
  <c r="Z82" i="8" s="1"/>
  <c r="M82" s="1"/>
  <c r="AB85" i="4"/>
  <c r="Z85" i="8" s="1"/>
  <c r="M85" s="1"/>
  <c r="AB87" i="4"/>
  <c r="Z87" i="8" s="1"/>
  <c r="M87" s="1"/>
  <c r="N141" i="22"/>
  <c r="AB141" i="4" s="1"/>
  <c r="Z141" i="8" s="1"/>
  <c r="N153" i="22"/>
  <c r="AB153" i="4" s="1"/>
  <c r="Z153" i="8" s="1"/>
  <c r="N146" i="22"/>
  <c r="AB146" i="4" s="1"/>
  <c r="Z146" i="8" s="1"/>
  <c r="AB167" i="4"/>
  <c r="Z167" i="8" s="1"/>
  <c r="M167" s="1"/>
  <c r="AB176" i="4"/>
  <c r="Z176" i="8" s="1"/>
  <c r="M176" s="1"/>
  <c r="AB147" i="4"/>
  <c r="Z147" i="8" s="1"/>
  <c r="M147" s="1"/>
  <c r="AB54" i="4"/>
  <c r="Z54" i="8" s="1"/>
  <c r="M54" s="1"/>
  <c r="AB130" i="4"/>
  <c r="Z130" i="8" s="1"/>
  <c r="M130" s="1"/>
  <c r="AB16" i="4"/>
  <c r="Z16" i="8" s="1"/>
  <c r="M16" s="1"/>
  <c r="AB70" i="4"/>
  <c r="Z70" i="8" s="1"/>
  <c r="M70" s="1"/>
  <c r="AB111" i="4"/>
  <c r="Z111" i="8" s="1"/>
  <c r="M111" s="1"/>
  <c r="AB166" i="4"/>
  <c r="Z166" i="8" s="1"/>
  <c r="M166" s="1"/>
  <c r="AB91" i="4"/>
  <c r="Z91" i="8" s="1"/>
  <c r="M91" s="1"/>
  <c r="AB94" i="4"/>
  <c r="Z94" i="8" s="1"/>
  <c r="M94" s="1"/>
  <c r="N90" i="22"/>
  <c r="AB90" i="4" s="1"/>
  <c r="Z90" i="8" s="1"/>
  <c r="N76" i="22"/>
  <c r="AB76" i="4" s="1"/>
  <c r="Z76" i="8" s="1"/>
  <c r="N86" i="22"/>
  <c r="AB86" i="4" s="1"/>
  <c r="Z86" i="8" s="1"/>
  <c r="M86" s="1"/>
  <c r="N79" i="22"/>
  <c r="AB79" i="4" s="1"/>
  <c r="Z79" i="8" s="1"/>
  <c r="AB152" i="4"/>
  <c r="Z152" i="8" s="1"/>
  <c r="M152" s="1"/>
  <c r="AB148" i="4"/>
  <c r="Z148" i="8" s="1"/>
  <c r="M148" s="1"/>
  <c r="AB55" i="4"/>
  <c r="Z55" i="8" s="1"/>
  <c r="M55" s="1"/>
  <c r="AB129" i="4"/>
  <c r="Z129" i="8" s="1"/>
  <c r="M129" s="1"/>
  <c r="AB131" i="4"/>
  <c r="Z131" i="8" s="1"/>
  <c r="M131" s="1"/>
  <c r="AB17" i="4"/>
  <c r="Z17" i="8" s="1"/>
  <c r="M17" s="1"/>
  <c r="AB68" i="4"/>
  <c r="Z68" i="8" s="1"/>
  <c r="M68" s="1"/>
  <c r="N37" i="22"/>
  <c r="G37" s="1"/>
  <c r="N38"/>
  <c r="G38" s="1"/>
  <c r="N36"/>
  <c r="G36" s="1"/>
  <c r="AB154" i="4"/>
  <c r="Z154" i="8" s="1"/>
  <c r="M154" s="1"/>
  <c r="AB162" i="4"/>
  <c r="Z162" i="8" s="1"/>
  <c r="M162" s="1"/>
  <c r="AB40" i="4"/>
  <c r="Z40" i="8" s="1"/>
  <c r="M40" s="1"/>
  <c r="AB108" i="4"/>
  <c r="Z108" i="8" s="1"/>
  <c r="M108" s="1"/>
  <c r="N14" i="22"/>
  <c r="AB14" i="4" s="1"/>
  <c r="Z14" i="8" s="1"/>
  <c r="N19" i="22"/>
  <c r="G19" s="1"/>
  <c r="AB11" i="4"/>
  <c r="Z11" i="8" s="1"/>
  <c r="M11" s="1"/>
  <c r="N51" i="22"/>
  <c r="G51" s="1"/>
  <c r="N49"/>
  <c r="G49" s="1"/>
  <c r="N50"/>
  <c r="G50" s="1"/>
  <c r="N52"/>
  <c r="G52" s="1"/>
  <c r="AB80" i="4"/>
  <c r="Z80" i="8" s="1"/>
  <c r="M80" s="1"/>
  <c r="AB81" i="4"/>
  <c r="Z81" i="8" s="1"/>
  <c r="M81" s="1"/>
  <c r="N169" i="22"/>
  <c r="AB169" i="4" s="1"/>
  <c r="Z169" i="8" s="1"/>
  <c r="N161" i="22"/>
  <c r="AB161" i="4" s="1"/>
  <c r="Z161" i="8" s="1"/>
  <c r="N160" i="22"/>
  <c r="AB168" i="4"/>
  <c r="Z168" i="8" s="1"/>
  <c r="M168" s="1"/>
  <c r="N64" i="22"/>
  <c r="G64" s="1"/>
  <c r="N65"/>
  <c r="G65" s="1"/>
  <c r="N66"/>
  <c r="G66" s="1"/>
  <c r="AB177" i="4"/>
  <c r="Z177" i="8" s="1"/>
  <c r="M177" s="1"/>
  <c r="W121"/>
  <c r="K121" i="47" s="1"/>
  <c r="G121" s="1"/>
  <c r="I119" s="1"/>
  <c r="AF48" i="8"/>
  <c r="L48" s="1"/>
  <c r="AA53"/>
  <c r="L53" i="47" s="1"/>
  <c r="H53" s="1"/>
  <c r="P53" i="8"/>
  <c r="AJ35"/>
  <c r="AF102"/>
  <c r="L102" s="1"/>
  <c r="AJ146"/>
  <c r="AA146" s="1"/>
  <c r="L146" i="47" s="1"/>
  <c r="H146" s="1"/>
  <c r="AF21" i="8"/>
  <c r="W21" s="1"/>
  <c r="K21" i="47" s="1"/>
  <c r="G21" s="1"/>
  <c r="W178" i="8"/>
  <c r="K178" i="47" s="1"/>
  <c r="G178" s="1"/>
  <c r="L14" i="8"/>
  <c r="L11"/>
  <c r="W67"/>
  <c r="K67" i="47" s="1"/>
  <c r="G67" s="1"/>
  <c r="L71" i="8"/>
  <c r="AJ14"/>
  <c r="W35"/>
  <c r="K35" i="47" s="1"/>
  <c r="G35" s="1"/>
  <c r="W63" i="8"/>
  <c r="K63" i="47" s="1"/>
  <c r="G63" s="1"/>
  <c r="L58" i="8"/>
  <c r="AJ98"/>
  <c r="AL180" i="4"/>
  <c r="S180" i="8" s="1"/>
  <c r="AJ39"/>
  <c r="AF143"/>
  <c r="AF98"/>
  <c r="W98" s="1"/>
  <c r="K98" i="47" s="1"/>
  <c r="G98" s="1"/>
  <c r="AL68" i="4"/>
  <c r="AF164" i="8"/>
  <c r="L164" s="1"/>
  <c r="AJ71"/>
  <c r="AA71" s="1"/>
  <c r="L71" i="47" s="1"/>
  <c r="H71" s="1"/>
  <c r="AJ143" i="8"/>
  <c r="AA143" s="1"/>
  <c r="L143" i="47" s="1"/>
  <c r="H143" s="1"/>
  <c r="J141" s="1"/>
  <c r="AL117" i="4"/>
  <c r="AM117" i="8" s="1"/>
  <c r="AL159" i="4"/>
  <c r="AM159" i="8" s="1"/>
  <c r="AL140" i="4"/>
  <c r="AM140" i="8" s="1"/>
  <c r="AI52" i="4"/>
  <c r="AD52" i="8" s="1"/>
  <c r="Q52" s="1"/>
  <c r="AI38" i="4"/>
  <c r="AD38" i="8" s="1"/>
  <c r="Q38" s="1"/>
  <c r="AI65" i="4"/>
  <c r="AD65" i="8" s="1"/>
  <c r="Q65" s="1"/>
  <c r="AJ164"/>
  <c r="AA164" s="1"/>
  <c r="L164" i="47" s="1"/>
  <c r="H164" s="1"/>
  <c r="J161" s="1"/>
  <c r="AI29" i="4"/>
  <c r="AD29" i="8" s="1"/>
  <c r="Q29" s="1"/>
  <c r="AI22" i="4"/>
  <c r="AD22" i="8" s="1"/>
  <c r="Q22" s="1"/>
  <c r="AI19" i="4"/>
  <c r="AD19" i="8" s="1"/>
  <c r="Q19" s="1"/>
  <c r="AJ174"/>
  <c r="AA174" s="1"/>
  <c r="L174" i="47" s="1"/>
  <c r="H174" s="1"/>
  <c r="AJ48" i="8"/>
  <c r="P48" s="1"/>
  <c r="AF79"/>
  <c r="AJ67"/>
  <c r="AI173" i="4"/>
  <c r="AD173" i="8" s="1"/>
  <c r="Q173" s="1"/>
  <c r="AJ86"/>
  <c r="AA86" s="1"/>
  <c r="L86" i="47" s="1"/>
  <c r="H86" s="1"/>
  <c r="AI30" i="4"/>
  <c r="AD30" i="8" s="1"/>
  <c r="Q30" s="1"/>
  <c r="AA112"/>
  <c r="L112" i="47" s="1"/>
  <c r="H112" s="1"/>
  <c r="J109" s="1"/>
  <c r="AN112" i="8"/>
  <c r="T112" s="1"/>
  <c r="W112"/>
  <c r="K112" i="47" s="1"/>
  <c r="G112" s="1"/>
  <c r="I109" s="1"/>
  <c r="L112" i="8"/>
  <c r="AL33" i="4"/>
  <c r="AL32"/>
  <c r="W86" i="8"/>
  <c r="K86" i="47" s="1"/>
  <c r="G86" s="1"/>
  <c r="L86" i="8"/>
  <c r="W174"/>
  <c r="K174" i="47" s="1"/>
  <c r="G174" s="1"/>
  <c r="L174" i="8"/>
  <c r="AJ178"/>
  <c r="AA178" s="1"/>
  <c r="L178" i="47" s="1"/>
  <c r="H178" s="1"/>
  <c r="AI50" i="4"/>
  <c r="AD50" i="8" s="1"/>
  <c r="Q50" s="1"/>
  <c r="AI26" i="4"/>
  <c r="AD26" i="8" s="1"/>
  <c r="Q26" s="1"/>
  <c r="AF90"/>
  <c r="AJ79"/>
  <c r="AA79" s="1"/>
  <c r="L79" i="47" s="1"/>
  <c r="H79" s="1"/>
  <c r="AI100" i="4"/>
  <c r="AD100" i="8" s="1"/>
  <c r="Q100" s="1"/>
  <c r="AI43" i="4"/>
  <c r="AD43" i="8" s="1"/>
  <c r="Q43" s="1"/>
  <c r="AI66" i="4"/>
  <c r="AD66" i="8" s="1"/>
  <c r="Q66" s="1"/>
  <c r="AI27" i="4"/>
  <c r="AD27" i="8" s="1"/>
  <c r="Q27" s="1"/>
  <c r="AI25" i="4"/>
  <c r="AD25" i="8" s="1"/>
  <c r="Q25" s="1"/>
  <c r="AI101" i="4"/>
  <c r="AD101" i="8" s="1"/>
  <c r="Q101" s="1"/>
  <c r="AI172" i="4"/>
  <c r="AD172" i="8" s="1"/>
  <c r="Q172" s="1"/>
  <c r="AI78" i="4"/>
  <c r="AD78" i="8" s="1"/>
  <c r="Q78" s="1"/>
  <c r="AF31"/>
  <c r="AI49" i="4"/>
  <c r="AD49" i="8" s="1"/>
  <c r="Q49" s="1"/>
  <c r="AM179"/>
  <c r="S179"/>
  <c r="AI36" i="4"/>
  <c r="AD36" i="8" s="1"/>
  <c r="Q36" s="1"/>
  <c r="W155"/>
  <c r="K155" i="47" s="1"/>
  <c r="G155" s="1"/>
  <c r="I153" s="1"/>
  <c r="L155" i="8"/>
  <c r="AI12" i="4"/>
  <c r="AD12" i="8" s="1"/>
  <c r="Q12" s="1"/>
  <c r="AI24" i="4"/>
  <c r="AD24" i="8" s="1"/>
  <c r="Q24" s="1"/>
  <c r="L19" i="64" s="1"/>
  <c r="AA170" i="8"/>
  <c r="L170" i="47" s="1"/>
  <c r="H170" s="1"/>
  <c r="AJ21" i="8"/>
  <c r="P21" s="1"/>
  <c r="W39"/>
  <c r="K39" i="47" s="1"/>
  <c r="G39" s="1"/>
  <c r="L39" i="8"/>
  <c r="AI13" i="4"/>
  <c r="AD13" i="8" s="1"/>
  <c r="Q13" s="1"/>
  <c r="AI99" i="4"/>
  <c r="AD99" i="8" s="1"/>
  <c r="Q99" s="1"/>
  <c r="AI46" i="4"/>
  <c r="AD46" i="8" s="1"/>
  <c r="Q46" s="1"/>
  <c r="AF53"/>
  <c r="AI64" i="4"/>
  <c r="AD64" i="8" s="1"/>
  <c r="Q64" s="1"/>
  <c r="AI23" i="4"/>
  <c r="AD23" i="8" s="1"/>
  <c r="Q23" s="1"/>
  <c r="AI28" i="4"/>
  <c r="AD28" i="8" s="1"/>
  <c r="Q28" s="1"/>
  <c r="AJ63"/>
  <c r="P63" s="1"/>
  <c r="AJ102"/>
  <c r="AA102" s="1"/>
  <c r="L102" i="47" s="1"/>
  <c r="H102" s="1"/>
  <c r="AI171" i="4"/>
  <c r="AD171" i="8" s="1"/>
  <c r="Q171" s="1"/>
  <c r="AI77" i="4"/>
  <c r="AD77" i="8" s="1"/>
  <c r="Q77" s="1"/>
  <c r="AA121"/>
  <c r="L121" i="47" s="1"/>
  <c r="H121" s="1"/>
  <c r="J119" s="1"/>
  <c r="AI51" i="4"/>
  <c r="AD51" i="8" s="1"/>
  <c r="Q51" s="1"/>
  <c r="AI37" i="4"/>
  <c r="AD37" i="8" s="1"/>
  <c r="Q37" s="1"/>
  <c r="W137" l="1"/>
  <c r="K137" i="47" s="1"/>
  <c r="G137" s="1"/>
  <c r="L137" i="8"/>
  <c r="AC53" i="66"/>
  <c r="AD53" s="1"/>
  <c r="Y50" i="63"/>
  <c r="Z50" s="1"/>
  <c r="D60" i="22"/>
  <c r="AM139" i="8"/>
  <c r="AK137" s="1"/>
  <c r="AB137" s="1"/>
  <c r="L137" i="22" s="1"/>
  <c r="H137" s="1"/>
  <c r="D114"/>
  <c r="AE114" i="4" s="1"/>
  <c r="E172" i="22"/>
  <c r="L170" i="8"/>
  <c r="E173" i="22"/>
  <c r="D166"/>
  <c r="D168"/>
  <c r="D165"/>
  <c r="D73"/>
  <c r="AE73" i="4" s="1"/>
  <c r="D156" i="22"/>
  <c r="AE156" i="4" s="1"/>
  <c r="D157" i="22"/>
  <c r="AE157" i="4" s="1"/>
  <c r="D72" i="22"/>
  <c r="AE72" i="4" s="1"/>
  <c r="D32" i="22"/>
  <c r="AE32" i="4" s="1"/>
  <c r="AI32" i="8" s="1"/>
  <c r="D175" i="22"/>
  <c r="D177"/>
  <c r="E165"/>
  <c r="AL165" i="4" s="1"/>
  <c r="AM165" i="8" s="1"/>
  <c r="E167" i="22"/>
  <c r="AL167" i="4" s="1"/>
  <c r="S167" i="8" s="1"/>
  <c r="E168" i="22"/>
  <c r="AL168" i="4" s="1"/>
  <c r="AM168" i="8" s="1"/>
  <c r="E166" i="22"/>
  <c r="AL166" i="4" s="1"/>
  <c r="AM166" i="8" s="1"/>
  <c r="D95" i="22"/>
  <c r="D93"/>
  <c r="D94"/>
  <c r="D91"/>
  <c r="D92"/>
  <c r="D70"/>
  <c r="D69"/>
  <c r="D68"/>
  <c r="D81"/>
  <c r="D80"/>
  <c r="D82"/>
  <c r="D83"/>
  <c r="D85"/>
  <c r="D84"/>
  <c r="D88"/>
  <c r="D89"/>
  <c r="D87"/>
  <c r="I63"/>
  <c r="I76"/>
  <c r="I170"/>
  <c r="D107"/>
  <c r="D105"/>
  <c r="D106"/>
  <c r="D108"/>
  <c r="D104"/>
  <c r="D103"/>
  <c r="D17"/>
  <c r="D16"/>
  <c r="D15"/>
  <c r="D18"/>
  <c r="E66"/>
  <c r="E65"/>
  <c r="E64"/>
  <c r="AL64" i="4" s="1"/>
  <c r="D147" i="22"/>
  <c r="D149"/>
  <c r="D151"/>
  <c r="D152"/>
  <c r="D150"/>
  <c r="D148"/>
  <c r="G135"/>
  <c r="AB135" i="4"/>
  <c r="Z135" i="8" s="1"/>
  <c r="M135" s="1"/>
  <c r="AI138"/>
  <c r="O138"/>
  <c r="D180" i="22"/>
  <c r="D179"/>
  <c r="AE179" i="4" s="1"/>
  <c r="O179" i="8" s="1"/>
  <c r="E100" i="22"/>
  <c r="E99"/>
  <c r="I35"/>
  <c r="I98"/>
  <c r="J134"/>
  <c r="E38"/>
  <c r="E37"/>
  <c r="E36"/>
  <c r="AB136" i="4"/>
  <c r="Z136" i="8" s="1"/>
  <c r="M136" s="1"/>
  <c r="G136" i="22"/>
  <c r="O139" i="8"/>
  <c r="AI139"/>
  <c r="E77" i="22"/>
  <c r="AL77" i="4" s="1"/>
  <c r="E78" i="22"/>
  <c r="N97" i="59"/>
  <c r="I118" i="60" s="1"/>
  <c r="Z134" i="8"/>
  <c r="L133" i="4"/>
  <c r="D42" i="22"/>
  <c r="AE42" i="4" s="1"/>
  <c r="AI42" i="8" s="1"/>
  <c r="D40" i="22"/>
  <c r="D41"/>
  <c r="D56"/>
  <c r="D54"/>
  <c r="D57"/>
  <c r="D55"/>
  <c r="I48"/>
  <c r="E51"/>
  <c r="E50"/>
  <c r="E49"/>
  <c r="E52"/>
  <c r="I21"/>
  <c r="E27"/>
  <c r="E23"/>
  <c r="E25"/>
  <c r="E28"/>
  <c r="E22"/>
  <c r="E29"/>
  <c r="AL29" i="4" s="1"/>
  <c r="E24" i="22"/>
  <c r="E26"/>
  <c r="I133" i="47"/>
  <c r="E134"/>
  <c r="AJ134" i="4" s="1"/>
  <c r="E137" i="47"/>
  <c r="AJ137" i="4" s="1"/>
  <c r="J75" i="47"/>
  <c r="E90" s="1"/>
  <c r="D144" i="22"/>
  <c r="AE144" i="4" s="1"/>
  <c r="AB123"/>
  <c r="Z123" i="8" s="1"/>
  <c r="M123" s="1"/>
  <c r="D121" i="47"/>
  <c r="D120"/>
  <c r="I169"/>
  <c r="J169"/>
  <c r="D155"/>
  <c r="AC155" i="4" s="1"/>
  <c r="D154" i="47"/>
  <c r="AC154" i="4" s="1"/>
  <c r="E142" i="47"/>
  <c r="E143"/>
  <c r="I34"/>
  <c r="E111"/>
  <c r="AJ111" i="4" s="1"/>
  <c r="E112" i="47"/>
  <c r="AJ112" i="4" s="1"/>
  <c r="E110" i="47"/>
  <c r="AJ110" i="4" s="1"/>
  <c r="E164" i="47"/>
  <c r="AJ164" i="4" s="1"/>
  <c r="E162" i="47"/>
  <c r="AJ162" i="4" s="1"/>
  <c r="E163" i="47"/>
  <c r="AJ163" i="4" s="1"/>
  <c r="E120" i="47"/>
  <c r="AJ120" i="4" s="1"/>
  <c r="E121" i="47"/>
  <c r="AJ121" i="4" s="1"/>
  <c r="D112" i="47"/>
  <c r="AC112" i="4" s="1"/>
  <c r="D111" i="47"/>
  <c r="AC111" i="4" s="1"/>
  <c r="D110" i="47"/>
  <c r="AC110" i="4" s="1"/>
  <c r="I62" i="47"/>
  <c r="W143" i="8"/>
  <c r="K143" i="47" s="1"/>
  <c r="G143" s="1"/>
  <c r="I141" s="1"/>
  <c r="L143" i="8"/>
  <c r="D131" i="22"/>
  <c r="D130"/>
  <c r="D129"/>
  <c r="D128"/>
  <c r="D127"/>
  <c r="I11"/>
  <c r="E13"/>
  <c r="AL13" i="4" s="1"/>
  <c r="E12" i="22"/>
  <c r="K103" i="55"/>
  <c r="K10"/>
  <c r="K103" i="58"/>
  <c r="K10"/>
  <c r="O74" i="8"/>
  <c r="AE158" i="4"/>
  <c r="W102" i="8"/>
  <c r="K102" i="47" s="1"/>
  <c r="G102" s="1"/>
  <c r="I97" s="1"/>
  <c r="AB43" i="4"/>
  <c r="Z43" i="8" s="1"/>
  <c r="M43" s="1"/>
  <c r="AB27" i="4"/>
  <c r="Z27" i="8" s="1"/>
  <c r="M27" s="1"/>
  <c r="AB66" i="4"/>
  <c r="Z66" i="8" s="1"/>
  <c r="M66" s="1"/>
  <c r="AB52" i="4"/>
  <c r="Z52" i="8" s="1"/>
  <c r="M52" s="1"/>
  <c r="AB38" i="4"/>
  <c r="Z38" i="8" s="1"/>
  <c r="M38" s="1"/>
  <c r="AB77" i="4"/>
  <c r="Z77" i="8" s="1"/>
  <c r="M77" s="1"/>
  <c r="AB28" i="4"/>
  <c r="Z28" i="8" s="1"/>
  <c r="M28" s="1"/>
  <c r="AB24" i="4"/>
  <c r="Z24" i="8" s="1"/>
  <c r="M24" s="1"/>
  <c r="K19" i="64" s="1"/>
  <c r="AB171" i="4"/>
  <c r="Z171" i="8" s="1"/>
  <c r="M171" s="1"/>
  <c r="AB29" i="4"/>
  <c r="Z29" i="8" s="1"/>
  <c r="M29" s="1"/>
  <c r="AB65" i="4"/>
  <c r="Z65" i="8" s="1"/>
  <c r="M65" s="1"/>
  <c r="AB160" i="4"/>
  <c r="Z160" i="8" s="1"/>
  <c r="AB50" i="4"/>
  <c r="Z50" i="8" s="1"/>
  <c r="M50" s="1"/>
  <c r="AB19" i="4"/>
  <c r="Z19" i="8" s="1"/>
  <c r="M19" s="1"/>
  <c r="AB37" i="4"/>
  <c r="Z37" i="8" s="1"/>
  <c r="M37" s="1"/>
  <c r="AB78" i="4"/>
  <c r="Z78" i="8" s="1"/>
  <c r="M78" s="1"/>
  <c r="AB23" i="4"/>
  <c r="Z23" i="8" s="1"/>
  <c r="M23" s="1"/>
  <c r="AB25" i="4"/>
  <c r="Z25" i="8" s="1"/>
  <c r="M25" s="1"/>
  <c r="AB173" i="4"/>
  <c r="Z173" i="8" s="1"/>
  <c r="M173" s="1"/>
  <c r="AB51" i="4"/>
  <c r="Z51" i="8" s="1"/>
  <c r="M51" s="1"/>
  <c r="AB36" i="4"/>
  <c r="Z36" i="8" s="1"/>
  <c r="M36" s="1"/>
  <c r="AB12" i="4"/>
  <c r="Z12" i="8" s="1"/>
  <c r="M12" s="1"/>
  <c r="AB100" i="4"/>
  <c r="Z100" i="8" s="1"/>
  <c r="M100" s="1"/>
  <c r="AB64" i="4"/>
  <c r="Z64" i="8" s="1"/>
  <c r="M64" s="1"/>
  <c r="AB49" i="4"/>
  <c r="Z49" i="8" s="1"/>
  <c r="M49" s="1"/>
  <c r="AB30" i="4"/>
  <c r="Z30" i="8" s="1"/>
  <c r="M30" s="1"/>
  <c r="AB46" i="4"/>
  <c r="Z46" i="8" s="1"/>
  <c r="M46" s="1"/>
  <c r="AB101" i="4"/>
  <c r="Z101" i="8" s="1"/>
  <c r="M101" s="1"/>
  <c r="AB13" i="4"/>
  <c r="Z13" i="8" s="1"/>
  <c r="M13" s="1"/>
  <c r="AB99" i="4"/>
  <c r="Z99" i="8" s="1"/>
  <c r="M99" s="1"/>
  <c r="AB22" i="4"/>
  <c r="Z22" i="8" s="1"/>
  <c r="M22" s="1"/>
  <c r="AB26" i="4"/>
  <c r="Z26" i="8" s="1"/>
  <c r="M26" s="1"/>
  <c r="AB172" i="4"/>
  <c r="Z172" i="8" s="1"/>
  <c r="M172" s="1"/>
  <c r="W146"/>
  <c r="K146" i="47" s="1"/>
  <c r="G146" s="1"/>
  <c r="W48" i="8"/>
  <c r="K48" i="47" s="1"/>
  <c r="G48" s="1"/>
  <c r="AA98" i="8"/>
  <c r="L98" i="47" s="1"/>
  <c r="H98" s="1"/>
  <c r="J97" s="1"/>
  <c r="P98" i="8"/>
  <c r="AA67"/>
  <c r="L67" i="47" s="1"/>
  <c r="H67" s="1"/>
  <c r="P67" i="8"/>
  <c r="AA39"/>
  <c r="L39" i="47" s="1"/>
  <c r="H39" s="1"/>
  <c r="P39" i="8"/>
  <c r="AA11"/>
  <c r="AA35"/>
  <c r="L35" i="47" s="1"/>
  <c r="H35" s="1"/>
  <c r="P35" i="8"/>
  <c r="AA14"/>
  <c r="L14" i="47" s="1"/>
  <c r="H14" s="1"/>
  <c r="J10" s="1"/>
  <c r="E11" s="1"/>
  <c r="P14" i="8"/>
  <c r="AN146"/>
  <c r="T146" s="1"/>
  <c r="L21"/>
  <c r="AL114" i="4"/>
  <c r="AM114" i="8" s="1"/>
  <c r="AL81" i="4"/>
  <c r="AM81" i="8" s="1"/>
  <c r="L98"/>
  <c r="AL18" i="4"/>
  <c r="S18" i="8" s="1"/>
  <c r="AM180"/>
  <c r="AK178" s="1"/>
  <c r="AB178" s="1"/>
  <c r="L178" i="22" s="1"/>
  <c r="H178" s="1"/>
  <c r="AL60" i="4"/>
  <c r="AM60" i="8" s="1"/>
  <c r="AL89" i="4"/>
  <c r="AM89" i="8" s="1"/>
  <c r="AL171" i="4"/>
  <c r="W164" i="8"/>
  <c r="K164" i="47" s="1"/>
  <c r="G164" s="1"/>
  <c r="I161" s="1"/>
  <c r="AL88" i="4"/>
  <c r="AM88" i="8" s="1"/>
  <c r="AL69" i="4"/>
  <c r="AM69" i="8" s="1"/>
  <c r="AL70" i="4"/>
  <c r="S70" i="8" s="1"/>
  <c r="AL16" i="4"/>
  <c r="AM16" i="8" s="1"/>
  <c r="AL15" i="4"/>
  <c r="AM15" i="8" s="1"/>
  <c r="AL82" i="4"/>
  <c r="S82" i="8" s="1"/>
  <c r="AL80" i="4"/>
  <c r="AM80" i="8" s="1"/>
  <c r="AL85" i="4"/>
  <c r="S85" i="8" s="1"/>
  <c r="AL84" i="4"/>
  <c r="AM84" i="8" s="1"/>
  <c r="S32"/>
  <c r="AM32"/>
  <c r="AL108" i="4"/>
  <c r="AL104"/>
  <c r="AL106"/>
  <c r="AL103"/>
  <c r="AL105"/>
  <c r="AL107"/>
  <c r="S68" i="8"/>
  <c r="AM68"/>
  <c r="AL155"/>
  <c r="R155"/>
  <c r="AM33"/>
  <c r="S33"/>
  <c r="W79"/>
  <c r="K79" i="47" s="1"/>
  <c r="G79" s="1"/>
  <c r="L79" i="8"/>
  <c r="AM87"/>
  <c r="S87"/>
  <c r="W90"/>
  <c r="K90" i="47" s="1"/>
  <c r="G90" s="1"/>
  <c r="L90" i="8"/>
  <c r="AL177" i="4"/>
  <c r="AL175"/>
  <c r="AL176"/>
  <c r="W53" i="8"/>
  <c r="K53" i="47" s="1"/>
  <c r="G53" s="1"/>
  <c r="L53" i="8"/>
  <c r="AA21"/>
  <c r="L21" i="47" s="1"/>
  <c r="H21" s="1"/>
  <c r="J20" s="1"/>
  <c r="AL144" i="4"/>
  <c r="AL145"/>
  <c r="AL130"/>
  <c r="S130" i="8" s="1"/>
  <c r="AL128" i="4"/>
  <c r="S128" i="8" s="1"/>
  <c r="AL129" i="4"/>
  <c r="S129" i="8" s="1"/>
  <c r="AL131" i="4"/>
  <c r="S131" i="8" s="1"/>
  <c r="AL127" i="4"/>
  <c r="S127" i="8" s="1"/>
  <c r="AL92" i="4"/>
  <c r="AL94"/>
  <c r="AL91"/>
  <c r="AL93"/>
  <c r="AL95"/>
  <c r="R154" i="8"/>
  <c r="AL154"/>
  <c r="AC19" i="4"/>
  <c r="AC14"/>
  <c r="AC11"/>
  <c r="AH11" i="8" s="1"/>
  <c r="AL54" i="4"/>
  <c r="AL56"/>
  <c r="AL55"/>
  <c r="AL57"/>
  <c r="AL40"/>
  <c r="AL42"/>
  <c r="AL41"/>
  <c r="AL149"/>
  <c r="AL150"/>
  <c r="AL151"/>
  <c r="AL147"/>
  <c r="AL148"/>
  <c r="AL152"/>
  <c r="AA48" i="8"/>
  <c r="L48" i="47" s="1"/>
  <c r="H48" s="1"/>
  <c r="J47" s="1"/>
  <c r="AA63" i="8"/>
  <c r="L63" i="47" s="1"/>
  <c r="H63" s="1"/>
  <c r="AL72" i="4"/>
  <c r="AL74"/>
  <c r="AL73"/>
  <c r="AM113" i="8"/>
  <c r="S113"/>
  <c r="AM83"/>
  <c r="S83"/>
  <c r="AM59"/>
  <c r="S59"/>
  <c r="W31"/>
  <c r="K31" i="47" s="1"/>
  <c r="G31" s="1"/>
  <c r="I20" s="1"/>
  <c r="L31" i="8"/>
  <c r="S17"/>
  <c r="AM17"/>
  <c r="AL156" i="4"/>
  <c r="AL157"/>
  <c r="AL158"/>
  <c r="X63" i="66" l="1"/>
  <c r="Y63" s="1"/>
  <c r="V60" i="63"/>
  <c r="W60" s="1"/>
  <c r="AM167" i="8"/>
  <c r="AK164" s="1"/>
  <c r="AB164" s="1"/>
  <c r="L164" i="22" s="1"/>
  <c r="H164" s="1"/>
  <c r="J161" s="1"/>
  <c r="I134"/>
  <c r="D136" s="1"/>
  <c r="AE136" i="4" s="1"/>
  <c r="AG137" i="8"/>
  <c r="E136" i="22"/>
  <c r="AL136" i="4" s="1"/>
  <c r="E135" i="22"/>
  <c r="AL135" i="4" s="1"/>
  <c r="D78" i="22"/>
  <c r="D77"/>
  <c r="D100"/>
  <c r="AE100" i="4" s="1"/>
  <c r="O100" i="8" s="1"/>
  <c r="D99" i="22"/>
  <c r="D66"/>
  <c r="D64"/>
  <c r="D65"/>
  <c r="D38"/>
  <c r="D37"/>
  <c r="D36"/>
  <c r="D173"/>
  <c r="D171"/>
  <c r="D172"/>
  <c r="I125" i="60"/>
  <c r="L125" s="1"/>
  <c r="L123" s="1"/>
  <c r="L118"/>
  <c r="L116" s="1"/>
  <c r="E46" i="15" s="1"/>
  <c r="U40" i="63" s="1"/>
  <c r="Y40" s="1"/>
  <c r="E86" i="47"/>
  <c r="AJ86" i="4" s="1"/>
  <c r="AL86" i="8" s="1"/>
  <c r="R133" i="4"/>
  <c r="R133" i="22" s="1"/>
  <c r="P117" s="1"/>
  <c r="Q133" i="4"/>
  <c r="D51" i="22"/>
  <c r="D50"/>
  <c r="AE50" i="4" s="1"/>
  <c r="O50" i="8" s="1"/>
  <c r="D49" i="22"/>
  <c r="D52"/>
  <c r="D29"/>
  <c r="D22"/>
  <c r="D23"/>
  <c r="D24"/>
  <c r="D25"/>
  <c r="D26"/>
  <c r="D28"/>
  <c r="D27"/>
  <c r="E79" i="47"/>
  <c r="AJ79" i="4" s="1"/>
  <c r="AL79" i="8" s="1"/>
  <c r="AL134"/>
  <c r="R134"/>
  <c r="E76" i="47"/>
  <c r="AJ76" i="4" s="1"/>
  <c r="R76" i="8" s="1"/>
  <c r="D137" i="47"/>
  <c r="AC137" i="4" s="1"/>
  <c r="D134" i="47"/>
  <c r="AC134" i="4" s="1"/>
  <c r="AL137" i="8"/>
  <c r="R137"/>
  <c r="I75" i="47"/>
  <c r="J34"/>
  <c r="E43" s="1"/>
  <c r="AL120" i="8"/>
  <c r="R120"/>
  <c r="AL121"/>
  <c r="R121"/>
  <c r="D123" i="22"/>
  <c r="AE123" i="4" s="1"/>
  <c r="D122" i="22"/>
  <c r="AE122" i="4" s="1"/>
  <c r="D102" i="47"/>
  <c r="AC102" i="4" s="1"/>
  <c r="D101" i="47"/>
  <c r="AC101" i="4" s="1"/>
  <c r="D98" i="47"/>
  <c r="AC98" i="4" s="1"/>
  <c r="D21" i="47"/>
  <c r="AC21" i="4" s="1"/>
  <c r="D31" i="47"/>
  <c r="AC31" i="4" s="1"/>
  <c r="D30" i="47"/>
  <c r="AC30" i="4" s="1"/>
  <c r="J62" i="47"/>
  <c r="E21"/>
  <c r="AJ21" i="4" s="1"/>
  <c r="E31" i="47"/>
  <c r="AJ31" i="4" s="1"/>
  <c r="E30" i="47"/>
  <c r="AJ30" i="4" s="1"/>
  <c r="D67" i="47"/>
  <c r="AC67" i="4" s="1"/>
  <c r="N67" i="8" s="1"/>
  <c r="D71" i="47"/>
  <c r="AC71" i="4" s="1"/>
  <c r="N71" i="8" s="1"/>
  <c r="D63" i="47"/>
  <c r="AC63" i="4" s="1"/>
  <c r="AH63" i="8" s="1"/>
  <c r="E174" i="47"/>
  <c r="AJ174" i="4" s="1"/>
  <c r="E178" i="47"/>
  <c r="AJ178" i="4" s="1"/>
  <c r="E170" i="47"/>
  <c r="AJ170" i="4" s="1"/>
  <c r="AL170" i="8" s="1"/>
  <c r="I47" i="47"/>
  <c r="E58"/>
  <c r="AJ58" i="4" s="1"/>
  <c r="E53" i="47"/>
  <c r="AJ53" i="4" s="1"/>
  <c r="E48" i="47"/>
  <c r="AJ48" i="4" s="1"/>
  <c r="D43" i="47"/>
  <c r="AC43" i="4" s="1"/>
  <c r="AH43" i="8" s="1"/>
  <c r="D39" i="47"/>
  <c r="AC39" i="4" s="1"/>
  <c r="AH39" i="8" s="1"/>
  <c r="D35" i="47"/>
  <c r="AC35" i="4" s="1"/>
  <c r="AH35" i="8" s="1"/>
  <c r="D46" i="47"/>
  <c r="AC46" i="4" s="1"/>
  <c r="N46" i="8" s="1"/>
  <c r="D164" i="47"/>
  <c r="D163"/>
  <c r="D162"/>
  <c r="E101"/>
  <c r="AJ101" i="4" s="1"/>
  <c r="E98" i="47"/>
  <c r="AJ98" i="4" s="1"/>
  <c r="E102" i="47"/>
  <c r="AJ102" i="4" s="1"/>
  <c r="D143" i="47"/>
  <c r="AC143" i="4" s="1"/>
  <c r="AH143" i="8" s="1"/>
  <c r="D142" i="47"/>
  <c r="AC142" i="4" s="1"/>
  <c r="N142" i="8" s="1"/>
  <c r="D178" i="47"/>
  <c r="AC178" i="4" s="1"/>
  <c r="AH178" i="8" s="1"/>
  <c r="D170" i="47"/>
  <c r="AC170" i="4" s="1"/>
  <c r="AH170" i="8" s="1"/>
  <c r="D174" i="47"/>
  <c r="AC174" i="4" s="1"/>
  <c r="AH174" i="8" s="1"/>
  <c r="AC121" i="4"/>
  <c r="AC120"/>
  <c r="N120" i="8" s="1"/>
  <c r="AJ143" i="4"/>
  <c r="R143" i="8" s="1"/>
  <c r="AJ142" i="4"/>
  <c r="D12" i="22"/>
  <c r="D13"/>
  <c r="K104" i="58"/>
  <c r="L104" s="1"/>
  <c r="K106"/>
  <c r="L106" s="1"/>
  <c r="K109"/>
  <c r="L109" s="1"/>
  <c r="K111"/>
  <c r="L111" s="1"/>
  <c r="K107"/>
  <c r="L107" s="1"/>
  <c r="K108"/>
  <c r="L108" s="1"/>
  <c r="K105"/>
  <c r="L105" s="1"/>
  <c r="K110"/>
  <c r="L110" s="1"/>
  <c r="L103"/>
  <c r="K11" i="55"/>
  <c r="K17"/>
  <c r="K13"/>
  <c r="K26"/>
  <c r="L26" s="1"/>
  <c r="R26" s="1"/>
  <c r="L35" s="1"/>
  <c r="E8" i="12" s="1"/>
  <c r="K16" i="55"/>
  <c r="L10"/>
  <c r="K12"/>
  <c r="K15"/>
  <c r="K18"/>
  <c r="K14"/>
  <c r="K15" i="58"/>
  <c r="K12"/>
  <c r="K16"/>
  <c r="K11"/>
  <c r="K17"/>
  <c r="K13"/>
  <c r="K26"/>
  <c r="L26" s="1"/>
  <c r="R26" s="1"/>
  <c r="L35" s="1"/>
  <c r="K18"/>
  <c r="K14"/>
  <c r="L10"/>
  <c r="K111" i="55"/>
  <c r="L111" s="1"/>
  <c r="K110"/>
  <c r="L110" s="1"/>
  <c r="K107"/>
  <c r="L107" s="1"/>
  <c r="K106"/>
  <c r="L106" s="1"/>
  <c r="K109"/>
  <c r="L109" s="1"/>
  <c r="K108"/>
  <c r="L108" s="1"/>
  <c r="K105"/>
  <c r="L105" s="1"/>
  <c r="K104"/>
  <c r="L104" s="1"/>
  <c r="L103"/>
  <c r="S168" i="8"/>
  <c r="AE33" i="4"/>
  <c r="O33" i="8" s="1"/>
  <c r="O32"/>
  <c r="AE41" i="4"/>
  <c r="O41" i="8" s="1"/>
  <c r="O42"/>
  <c r="S165"/>
  <c r="AI179"/>
  <c r="AE180" i="4"/>
  <c r="AI180" i="8" s="1"/>
  <c r="AE40" i="4"/>
  <c r="AI40" i="8" s="1"/>
  <c r="O73"/>
  <c r="AI73"/>
  <c r="O72"/>
  <c r="AI72"/>
  <c r="AE145" i="4"/>
  <c r="AI145" i="8" s="1"/>
  <c r="O158"/>
  <c r="AI158"/>
  <c r="S166"/>
  <c r="AE113" i="4"/>
  <c r="O156" i="8"/>
  <c r="AI156"/>
  <c r="O157"/>
  <c r="AI157"/>
  <c r="AI144"/>
  <c r="O144"/>
  <c r="O114"/>
  <c r="R32" i="64" s="1"/>
  <c r="AA32" s="1"/>
  <c r="AI114" i="8"/>
  <c r="AE59" i="4"/>
  <c r="AE60"/>
  <c r="AE54"/>
  <c r="AE55"/>
  <c r="AE57"/>
  <c r="AE56"/>
  <c r="AE83"/>
  <c r="AE85"/>
  <c r="AE84"/>
  <c r="AE82"/>
  <c r="AE81"/>
  <c r="AE80"/>
  <c r="AE150"/>
  <c r="AE151"/>
  <c r="AE149"/>
  <c r="AE147"/>
  <c r="AE152"/>
  <c r="AE148"/>
  <c r="AE89"/>
  <c r="AE87"/>
  <c r="AE88"/>
  <c r="AE175"/>
  <c r="AE176"/>
  <c r="AE177"/>
  <c r="AE18"/>
  <c r="AE17"/>
  <c r="AE16"/>
  <c r="AE15"/>
  <c r="AE69"/>
  <c r="AE70"/>
  <c r="AE68"/>
  <c r="AE128"/>
  <c r="O128" i="8" s="1"/>
  <c r="AE129" i="4"/>
  <c r="O129" i="8" s="1"/>
  <c r="AE127" i="4"/>
  <c r="O127" i="8" s="1"/>
  <c r="AE131" i="4"/>
  <c r="O131" i="8" s="1"/>
  <c r="AE130" i="4"/>
  <c r="O130" i="8" s="1"/>
  <c r="AE103" i="4"/>
  <c r="AE105"/>
  <c r="AE106"/>
  <c r="AE104"/>
  <c r="AE108"/>
  <c r="AE107"/>
  <c r="AE167"/>
  <c r="AE166"/>
  <c r="AE168"/>
  <c r="AE165"/>
  <c r="AE92"/>
  <c r="AE94"/>
  <c r="AE95"/>
  <c r="AE91"/>
  <c r="AE93"/>
  <c r="W126" i="8"/>
  <c r="S81"/>
  <c r="AL100" i="4"/>
  <c r="S100" i="8" s="1"/>
  <c r="S114"/>
  <c r="AL66" i="4"/>
  <c r="AM66" i="8" s="1"/>
  <c r="AM82"/>
  <c r="AJ90" i="4"/>
  <c r="AL90" i="8" s="1"/>
  <c r="W125"/>
  <c r="K125" i="47" s="1"/>
  <c r="G125" s="1"/>
  <c r="AM18" i="8"/>
  <c r="AK14" s="1"/>
  <c r="S16"/>
  <c r="S60"/>
  <c r="AM70"/>
  <c r="AK67" s="1"/>
  <c r="S80"/>
  <c r="AL28" i="4"/>
  <c r="S28" i="8" s="1"/>
  <c r="S69"/>
  <c r="AL27" i="4"/>
  <c r="S27" i="8" s="1"/>
  <c r="S89"/>
  <c r="S84"/>
  <c r="AL173" i="4"/>
  <c r="S173" i="8" s="1"/>
  <c r="AL12" i="4"/>
  <c r="AM12" i="8" s="1"/>
  <c r="AJ153"/>
  <c r="AA153" s="1"/>
  <c r="L153" i="47" s="1"/>
  <c r="H153" s="1"/>
  <c r="AL172" i="4"/>
  <c r="AM172" i="8" s="1"/>
  <c r="S88"/>
  <c r="S15"/>
  <c r="AM85"/>
  <c r="AK112"/>
  <c r="AL99" i="4"/>
  <c r="S99" i="8" s="1"/>
  <c r="AL65" i="4"/>
  <c r="AM65" i="8" s="1"/>
  <c r="AL78" i="4"/>
  <c r="S78" i="8" s="1"/>
  <c r="AK58"/>
  <c r="AB58" s="1"/>
  <c r="L58" i="22" s="1"/>
  <c r="H58" s="1"/>
  <c r="AL26" i="4"/>
  <c r="S26" i="8" s="1"/>
  <c r="AL24" i="4"/>
  <c r="S24" i="8" s="1"/>
  <c r="W19" i="64" s="1"/>
  <c r="AL23" i="4"/>
  <c r="S23" i="8" s="1"/>
  <c r="AL25" i="4"/>
  <c r="AM25" i="8" s="1"/>
  <c r="AK31"/>
  <c r="AL22" i="4"/>
  <c r="AM22" i="8" s="1"/>
  <c r="AM156"/>
  <c r="S156"/>
  <c r="AM73"/>
  <c r="S73"/>
  <c r="AM152"/>
  <c r="S152"/>
  <c r="AM54"/>
  <c r="S54"/>
  <c r="AM91"/>
  <c r="S91"/>
  <c r="AM129"/>
  <c r="AK86"/>
  <c r="AB86" s="1"/>
  <c r="L86" i="22" s="1"/>
  <c r="H86" s="1"/>
  <c r="S103" i="8"/>
  <c r="AM103"/>
  <c r="N111"/>
  <c r="AH111"/>
  <c r="AL36" i="4"/>
  <c r="AL38"/>
  <c r="AL37"/>
  <c r="AM74" i="8"/>
  <c r="S74"/>
  <c r="AM148"/>
  <c r="S148"/>
  <c r="AM149"/>
  <c r="S149"/>
  <c r="S40"/>
  <c r="AM40"/>
  <c r="S57"/>
  <c r="AM57"/>
  <c r="R162"/>
  <c r="AL162"/>
  <c r="N19"/>
  <c r="AH19"/>
  <c r="AM94"/>
  <c r="S94"/>
  <c r="AM128"/>
  <c r="AM145"/>
  <c r="S145"/>
  <c r="AM77"/>
  <c r="S77"/>
  <c r="AM176"/>
  <c r="S176"/>
  <c r="AL110"/>
  <c r="R110"/>
  <c r="AH155"/>
  <c r="N155"/>
  <c r="AM106"/>
  <c r="S106"/>
  <c r="N112"/>
  <c r="AH112"/>
  <c r="S150"/>
  <c r="AM150"/>
  <c r="S42"/>
  <c r="AM42"/>
  <c r="S29"/>
  <c r="AM29"/>
  <c r="AM158"/>
  <c r="S158"/>
  <c r="AH110"/>
  <c r="N110"/>
  <c r="AM72"/>
  <c r="S72"/>
  <c r="AM147"/>
  <c r="S147"/>
  <c r="AM55"/>
  <c r="S55"/>
  <c r="R163"/>
  <c r="AL163"/>
  <c r="AM95"/>
  <c r="S95"/>
  <c r="AM92"/>
  <c r="S92"/>
  <c r="AM127"/>
  <c r="AM130"/>
  <c r="AM144"/>
  <c r="S144"/>
  <c r="S175"/>
  <c r="AM175"/>
  <c r="AM13"/>
  <c r="S13"/>
  <c r="AL112"/>
  <c r="R112"/>
  <c r="AH154"/>
  <c r="N154"/>
  <c r="S107"/>
  <c r="AM107"/>
  <c r="AM104"/>
  <c r="S104"/>
  <c r="AM171"/>
  <c r="S171"/>
  <c r="S170"/>
  <c r="AH14"/>
  <c r="N14"/>
  <c r="S157"/>
  <c r="AM157"/>
  <c r="AL50" i="4"/>
  <c r="AL52"/>
  <c r="AL49"/>
  <c r="AL51"/>
  <c r="AM151" i="8"/>
  <c r="S151"/>
  <c r="AM41"/>
  <c r="S41"/>
  <c r="AM56"/>
  <c r="S56"/>
  <c r="AL164"/>
  <c r="R164"/>
  <c r="N11"/>
  <c r="S93"/>
  <c r="AM93"/>
  <c r="AM131"/>
  <c r="AM177"/>
  <c r="S177"/>
  <c r="AM64"/>
  <c r="S64"/>
  <c r="AL111"/>
  <c r="R111"/>
  <c r="S105"/>
  <c r="AM105"/>
  <c r="AM108"/>
  <c r="S108"/>
  <c r="X137" l="1"/>
  <c r="K137" i="22" s="1"/>
  <c r="G137" s="1"/>
  <c r="M137" i="8"/>
  <c r="AC32" i="64"/>
  <c r="D135" i="22"/>
  <c r="AE135" i="4" s="1"/>
  <c r="AI135" i="8" s="1"/>
  <c r="E59" i="15"/>
  <c r="AI136" i="8"/>
  <c r="O136"/>
  <c r="E85" i="16"/>
  <c r="E88" s="1"/>
  <c r="E89" s="1"/>
  <c r="AM135" i="8"/>
  <c r="S135"/>
  <c r="AM136"/>
  <c r="S136"/>
  <c r="R79"/>
  <c r="N119" i="22"/>
  <c r="AB119" i="4" s="1"/>
  <c r="Z119" i="8" s="1"/>
  <c r="N118" i="22"/>
  <c r="N133"/>
  <c r="AB133" i="4" s="1"/>
  <c r="Z133" i="8" s="1"/>
  <c r="N124" i="22"/>
  <c r="AB124" i="4" s="1"/>
  <c r="Z124" i="8" s="1"/>
  <c r="M124" s="1"/>
  <c r="K22" i="64" s="1"/>
  <c r="AA22" s="1"/>
  <c r="AC22" s="1"/>
  <c r="AH67" i="8"/>
  <c r="AJ119"/>
  <c r="AH134"/>
  <c r="N134"/>
  <c r="AJ133"/>
  <c r="L135" i="60"/>
  <c r="L136" s="1"/>
  <c r="L137" s="1"/>
  <c r="L139" s="1"/>
  <c r="E47" i="15"/>
  <c r="V41" i="63" s="1"/>
  <c r="AH137" i="8"/>
  <c r="N137"/>
  <c r="N174"/>
  <c r="E46" i="47"/>
  <c r="AJ46" i="4" s="1"/>
  <c r="E39" i="47"/>
  <c r="AJ39" i="4" s="1"/>
  <c r="N43" i="8"/>
  <c r="AG71"/>
  <c r="M71" s="1"/>
  <c r="E35" i="47"/>
  <c r="AJ35" i="4" s="1"/>
  <c r="AH121" i="8"/>
  <c r="N121"/>
  <c r="D59" i="15"/>
  <c r="D59" i="12"/>
  <c r="K126" i="47"/>
  <c r="G126" s="1"/>
  <c r="I124" s="1"/>
  <c r="AH120" i="8"/>
  <c r="AH142"/>
  <c r="AF141" s="1"/>
  <c r="AL143"/>
  <c r="D90" i="47"/>
  <c r="AC90" i="4" s="1"/>
  <c r="N90" i="8" s="1"/>
  <c r="D79" i="47"/>
  <c r="AC79" i="4" s="1"/>
  <c r="D86" i="47"/>
  <c r="AC86" i="4" s="1"/>
  <c r="N86" i="8" s="1"/>
  <c r="D76" i="47"/>
  <c r="AC76" i="4" s="1"/>
  <c r="AH76" i="8" s="1"/>
  <c r="E67" i="47"/>
  <c r="AJ67" i="4" s="1"/>
  <c r="R67" i="8" s="1"/>
  <c r="E63" i="47"/>
  <c r="AJ63" i="4" s="1"/>
  <c r="R63" i="8" s="1"/>
  <c r="E71" i="47"/>
  <c r="AJ71" i="4" s="1"/>
  <c r="E14" i="47"/>
  <c r="AJ14" i="4" s="1"/>
  <c r="AL14" i="8" s="1"/>
  <c r="E19" i="47"/>
  <c r="AJ19" i="4" s="1"/>
  <c r="AL19" i="8" s="1"/>
  <c r="AJ11" i="4"/>
  <c r="AL11" i="8" s="1"/>
  <c r="D58" i="47"/>
  <c r="AC58" i="4" s="1"/>
  <c r="N58" i="8" s="1"/>
  <c r="D48" i="47"/>
  <c r="AC48" i="4" s="1"/>
  <c r="AH48" i="8" s="1"/>
  <c r="D53" i="47"/>
  <c r="AC53" i="4" s="1"/>
  <c r="AH53" i="8" s="1"/>
  <c r="R142"/>
  <c r="AL142"/>
  <c r="N143"/>
  <c r="AC163" i="4"/>
  <c r="AC164"/>
  <c r="N164" i="8" s="1"/>
  <c r="AC162" i="4"/>
  <c r="N162" i="8" s="1"/>
  <c r="E164" i="22"/>
  <c r="E163"/>
  <c r="E162"/>
  <c r="AH71" i="8"/>
  <c r="AG178"/>
  <c r="M178" s="1"/>
  <c r="K34" i="58"/>
  <c r="L18"/>
  <c r="K27"/>
  <c r="L11"/>
  <c r="L14" i="55"/>
  <c r="K30"/>
  <c r="K33"/>
  <c r="L17"/>
  <c r="AE99" i="4"/>
  <c r="O99" i="8" s="1"/>
  <c r="L113" i="55"/>
  <c r="L134" s="1"/>
  <c r="E34" i="12" s="1"/>
  <c r="T40" i="62" s="1"/>
  <c r="K32" i="58"/>
  <c r="L16"/>
  <c r="K34" i="55"/>
  <c r="L18"/>
  <c r="K32"/>
  <c r="L16"/>
  <c r="K27"/>
  <c r="L11"/>
  <c r="AI100" i="8"/>
  <c r="K29" i="58"/>
  <c r="L13"/>
  <c r="K28"/>
  <c r="L12"/>
  <c r="K31" i="55"/>
  <c r="L15"/>
  <c r="L113" i="58"/>
  <c r="L134" s="1"/>
  <c r="K30"/>
  <c r="L14"/>
  <c r="K33"/>
  <c r="L17"/>
  <c r="K31"/>
  <c r="L15"/>
  <c r="L12" i="55"/>
  <c r="K28"/>
  <c r="L13"/>
  <c r="K29"/>
  <c r="AI33" i="8"/>
  <c r="AG31" s="1"/>
  <c r="X31" s="1"/>
  <c r="K31" i="22" s="1"/>
  <c r="G31" s="1"/>
  <c r="O180" i="8"/>
  <c r="AI41"/>
  <c r="AG39" s="1"/>
  <c r="N63"/>
  <c r="O40"/>
  <c r="AE51" i="4"/>
  <c r="O51" i="8" s="1"/>
  <c r="O145"/>
  <c r="AG143"/>
  <c r="X143" s="1"/>
  <c r="K143" i="22" s="1"/>
  <c r="AE52" i="4"/>
  <c r="AE49"/>
  <c r="AI50" i="8"/>
  <c r="AG155"/>
  <c r="AI113"/>
  <c r="AG112" s="1"/>
  <c r="O113"/>
  <c r="X126"/>
  <c r="K126" i="22" s="1"/>
  <c r="G126" s="1"/>
  <c r="AB31" i="8"/>
  <c r="L31" i="22" s="1"/>
  <c r="H31" s="1"/>
  <c r="Q31" i="8"/>
  <c r="AB67"/>
  <c r="L67" i="22" s="1"/>
  <c r="H67" s="1"/>
  <c r="Q67" i="8"/>
  <c r="AB14"/>
  <c r="L14" i="22" s="1"/>
  <c r="H14" s="1"/>
  <c r="Q14" i="8"/>
  <c r="AI122"/>
  <c r="O122"/>
  <c r="AI60"/>
  <c r="O60"/>
  <c r="AE13" i="4"/>
  <c r="AE12"/>
  <c r="AI59" i="8"/>
  <c r="O59"/>
  <c r="AE37" i="4"/>
  <c r="AE36"/>
  <c r="AE38"/>
  <c r="O123" i="8"/>
  <c r="AI123"/>
  <c r="AE66" i="4"/>
  <c r="AE65"/>
  <c r="AE64"/>
  <c r="AI166" i="8"/>
  <c r="O166"/>
  <c r="AE78" i="4"/>
  <c r="AE77"/>
  <c r="AI15" i="8"/>
  <c r="O15"/>
  <c r="O87"/>
  <c r="AI87"/>
  <c r="O152"/>
  <c r="AI152"/>
  <c r="AI84"/>
  <c r="O84"/>
  <c r="AI93"/>
  <c r="O93"/>
  <c r="AI92"/>
  <c r="O92"/>
  <c r="O167"/>
  <c r="AI167"/>
  <c r="AI106"/>
  <c r="O106"/>
  <c r="AI129"/>
  <c r="AE172" i="4"/>
  <c r="AE171"/>
  <c r="AE173"/>
  <c r="AE22"/>
  <c r="AE24"/>
  <c r="AE26"/>
  <c r="AE25"/>
  <c r="AE28"/>
  <c r="AE27"/>
  <c r="AE23"/>
  <c r="AE29"/>
  <c r="O16" i="8"/>
  <c r="AI16"/>
  <c r="O176"/>
  <c r="AI176"/>
  <c r="AI89"/>
  <c r="O89"/>
  <c r="O147"/>
  <c r="AI147"/>
  <c r="AI80"/>
  <c r="O80"/>
  <c r="O85"/>
  <c r="AI85"/>
  <c r="AI55"/>
  <c r="O55"/>
  <c r="AI94"/>
  <c r="O94"/>
  <c r="AI127"/>
  <c r="O69"/>
  <c r="AI69"/>
  <c r="O177"/>
  <c r="AI177"/>
  <c r="O57"/>
  <c r="AI57"/>
  <c r="O91"/>
  <c r="AI91"/>
  <c r="AI165"/>
  <c r="O165"/>
  <c r="O107"/>
  <c r="AI107"/>
  <c r="O105"/>
  <c r="AI105"/>
  <c r="AI130"/>
  <c r="AI128"/>
  <c r="O68"/>
  <c r="AI68"/>
  <c r="O17"/>
  <c r="AI17"/>
  <c r="O175"/>
  <c r="AI175"/>
  <c r="AI149"/>
  <c r="O149"/>
  <c r="O81"/>
  <c r="AI81"/>
  <c r="AI83"/>
  <c r="O83"/>
  <c r="O54"/>
  <c r="AI54"/>
  <c r="AI104"/>
  <c r="O104"/>
  <c r="AI150"/>
  <c r="O150"/>
  <c r="O95"/>
  <c r="AI95"/>
  <c r="AI168"/>
  <c r="O168"/>
  <c r="AI108"/>
  <c r="O108"/>
  <c r="O103"/>
  <c r="AI103"/>
  <c r="AI131"/>
  <c r="AI70"/>
  <c r="O70"/>
  <c r="AI18"/>
  <c r="O18"/>
  <c r="AI88"/>
  <c r="O88"/>
  <c r="O148"/>
  <c r="AI148"/>
  <c r="O151"/>
  <c r="AI151"/>
  <c r="AI82"/>
  <c r="O82"/>
  <c r="O56"/>
  <c r="AI56"/>
  <c r="AJ43" i="4"/>
  <c r="AH46" i="8"/>
  <c r="AF34" s="1"/>
  <c r="N39"/>
  <c r="AM100"/>
  <c r="AM173"/>
  <c r="AK170" s="1"/>
  <c r="AK79"/>
  <c r="AB79" s="1"/>
  <c r="L79" i="22" s="1"/>
  <c r="H79" s="1"/>
  <c r="S66" i="8"/>
  <c r="AM28"/>
  <c r="AL76"/>
  <c r="AJ75" s="1"/>
  <c r="R90"/>
  <c r="R86"/>
  <c r="N35"/>
  <c r="N169"/>
  <c r="N178"/>
  <c r="S172"/>
  <c r="AM27"/>
  <c r="AM24"/>
  <c r="S12"/>
  <c r="S65"/>
  <c r="AM99"/>
  <c r="AB112"/>
  <c r="L112" i="22" s="1"/>
  <c r="H112" s="1"/>
  <c r="J109" s="1"/>
  <c r="AM23" i="8"/>
  <c r="AF153"/>
  <c r="AN153" s="1"/>
  <c r="T153" s="1"/>
  <c r="AM26"/>
  <c r="S25"/>
  <c r="AK71"/>
  <c r="AB71" s="1"/>
  <c r="L71" i="22" s="1"/>
  <c r="H71" s="1"/>
  <c r="AM78" i="8"/>
  <c r="AK76" s="1"/>
  <c r="AK146"/>
  <c r="AB146" s="1"/>
  <c r="L146" i="22" s="1"/>
  <c r="H146" s="1"/>
  <c r="S22" i="8"/>
  <c r="AF169"/>
  <c r="W169" s="1"/>
  <c r="K169" i="47" s="1"/>
  <c r="G169" s="1"/>
  <c r="X125" i="8"/>
  <c r="K125" i="22" s="1"/>
  <c r="G125" s="1"/>
  <c r="AK63" i="8"/>
  <c r="Q63" s="1"/>
  <c r="AM52"/>
  <c r="S52"/>
  <c r="AK143"/>
  <c r="AB143" s="1"/>
  <c r="L143" i="22" s="1"/>
  <c r="H143" s="1"/>
  <c r="J141" s="1"/>
  <c r="N101" i="8"/>
  <c r="AH101"/>
  <c r="AL102"/>
  <c r="R102"/>
  <c r="AJ161"/>
  <c r="AK39"/>
  <c r="AM36"/>
  <c r="S36"/>
  <c r="AH31"/>
  <c r="N31"/>
  <c r="AL31"/>
  <c r="R31"/>
  <c r="AH98"/>
  <c r="N98"/>
  <c r="R174"/>
  <c r="AL174"/>
  <c r="AL101"/>
  <c r="R101"/>
  <c r="AL53"/>
  <c r="R53"/>
  <c r="AM38"/>
  <c r="S38"/>
  <c r="AK90"/>
  <c r="AB90" s="1"/>
  <c r="L90" i="22" s="1"/>
  <c r="H90" s="1"/>
  <c r="AM51" i="8"/>
  <c r="S51"/>
  <c r="AM50"/>
  <c r="S50"/>
  <c r="AL30"/>
  <c r="R30"/>
  <c r="AK174"/>
  <c r="AB174" s="1"/>
  <c r="L174" i="22" s="1"/>
  <c r="H174" s="1"/>
  <c r="R178" i="8"/>
  <c r="AL178"/>
  <c r="AL98"/>
  <c r="R98"/>
  <c r="AL48"/>
  <c r="R48"/>
  <c r="AK102"/>
  <c r="AB102" s="1"/>
  <c r="L102" i="22" s="1"/>
  <c r="H102" s="1"/>
  <c r="AK53" i="8"/>
  <c r="AK155"/>
  <c r="AB155" s="1"/>
  <c r="L155" i="22" s="1"/>
  <c r="H155" s="1"/>
  <c r="J153" s="1"/>
  <c r="AH30" i="8"/>
  <c r="N30"/>
  <c r="AF10"/>
  <c r="S49"/>
  <c r="AM49"/>
  <c r="AL21"/>
  <c r="R21"/>
  <c r="AN109"/>
  <c r="N102"/>
  <c r="AH102"/>
  <c r="AL58"/>
  <c r="R58"/>
  <c r="AM37"/>
  <c r="S37"/>
  <c r="AH21"/>
  <c r="N21"/>
  <c r="X64" i="66" l="1"/>
  <c r="Y64" s="1"/>
  <c r="V61" i="63"/>
  <c r="W61" s="1"/>
  <c r="AD48" i="66"/>
  <c r="Z45" i="63"/>
  <c r="S41" i="66"/>
  <c r="V41" s="1"/>
  <c r="Y41" i="63"/>
  <c r="O135" i="8"/>
  <c r="AG134"/>
  <c r="X134" s="1"/>
  <c r="K134" i="22" s="1"/>
  <c r="G134" s="1"/>
  <c r="I133" s="1"/>
  <c r="AK134" i="8"/>
  <c r="AB134" s="1"/>
  <c r="L134" i="22" s="1"/>
  <c r="H134" s="1"/>
  <c r="J133" s="1"/>
  <c r="E134" s="1"/>
  <c r="AL134" i="4" s="1"/>
  <c r="AF62" i="8"/>
  <c r="L62" s="1"/>
  <c r="G118" i="22"/>
  <c r="AB118" i="4"/>
  <c r="Z118" i="8" s="1"/>
  <c r="M118" s="1"/>
  <c r="K20" i="64" s="1"/>
  <c r="AA20" s="1"/>
  <c r="AC20" s="1"/>
  <c r="AF133" i="8"/>
  <c r="AN133" s="1"/>
  <c r="T133" s="1"/>
  <c r="AA133"/>
  <c r="L133" i="47" s="1"/>
  <c r="H133" s="1"/>
  <c r="AH164" i="8"/>
  <c r="E52" i="15"/>
  <c r="W42" i="63" s="1"/>
  <c r="AL71" i="8"/>
  <c r="R71"/>
  <c r="AH162"/>
  <c r="X71"/>
  <c r="K71" i="22" s="1"/>
  <c r="G71" s="1"/>
  <c r="AJ141" i="8"/>
  <c r="AA141" s="1"/>
  <c r="L141" i="47" s="1"/>
  <c r="H141" s="1"/>
  <c r="J140" s="1"/>
  <c r="E153" s="1"/>
  <c r="AJ153" i="4" s="1"/>
  <c r="AL153" i="8" s="1"/>
  <c r="AF119"/>
  <c r="L119" s="1"/>
  <c r="AH58"/>
  <c r="AF47" s="1"/>
  <c r="D46" i="12"/>
  <c r="U39" i="62" s="1"/>
  <c r="Y39" s="1"/>
  <c r="D46" i="15"/>
  <c r="U39" i="63" s="1"/>
  <c r="Y39" s="1"/>
  <c r="D132" i="47"/>
  <c r="AC132" i="4" s="1"/>
  <c r="N132" i="8" s="1"/>
  <c r="N125" s="1"/>
  <c r="D125" i="47"/>
  <c r="AC125" i="4" s="1"/>
  <c r="D126" i="47"/>
  <c r="AC126" i="4" s="1"/>
  <c r="AH126" i="8" s="1"/>
  <c r="I124" i="22"/>
  <c r="D132" s="1"/>
  <c r="G143"/>
  <c r="I141" s="1"/>
  <c r="R19" i="8"/>
  <c r="AH79"/>
  <c r="N79"/>
  <c r="AH163"/>
  <c r="N163"/>
  <c r="E155" i="22"/>
  <c r="AL155" i="4" s="1"/>
  <c r="E154" i="22"/>
  <c r="AL154" i="4" s="1"/>
  <c r="E112" i="22"/>
  <c r="E111"/>
  <c r="E110"/>
  <c r="E143"/>
  <c r="AL143" i="4" s="1"/>
  <c r="E142" i="22"/>
  <c r="AL142" i="4" s="1"/>
  <c r="AL164"/>
  <c r="S164" i="8" s="1"/>
  <c r="AL162" i="4"/>
  <c r="AL163"/>
  <c r="X178" i="8"/>
  <c r="K178" i="22" s="1"/>
  <c r="G178" s="1"/>
  <c r="M31" i="8"/>
  <c r="N53"/>
  <c r="AL63"/>
  <c r="AB11"/>
  <c r="L11" i="22" s="1"/>
  <c r="H11" s="1"/>
  <c r="J10" s="1"/>
  <c r="L24" i="55"/>
  <c r="L133" s="1"/>
  <c r="E9" i="12" s="1"/>
  <c r="AI99" i="8"/>
  <c r="AG98" s="1"/>
  <c r="X98" s="1"/>
  <c r="K98" i="22" s="1"/>
  <c r="G98" s="1"/>
  <c r="L24" i="58"/>
  <c r="L133" s="1"/>
  <c r="L136" s="1"/>
  <c r="M39" i="8"/>
  <c r="X39"/>
  <c r="K39" i="22" s="1"/>
  <c r="G39" s="1"/>
  <c r="M143" i="8"/>
  <c r="AL67"/>
  <c r="AI51"/>
  <c r="N48"/>
  <c r="M112"/>
  <c r="X112"/>
  <c r="K112" i="22" s="1"/>
  <c r="G112" s="1"/>
  <c r="I109" s="1"/>
  <c r="AO112" i="8"/>
  <c r="U112" s="1"/>
  <c r="AI49"/>
  <c r="O49"/>
  <c r="X155"/>
  <c r="K155" i="22" s="1"/>
  <c r="G155" s="1"/>
  <c r="I153" s="1"/>
  <c r="M155" i="8"/>
  <c r="O52"/>
  <c r="AI52"/>
  <c r="AB53"/>
  <c r="L53" i="22" s="1"/>
  <c r="H53" s="1"/>
  <c r="Q53" i="8"/>
  <c r="AB39"/>
  <c r="L39" i="22" s="1"/>
  <c r="H39" s="1"/>
  <c r="Q39" i="8"/>
  <c r="AI36"/>
  <c r="O36"/>
  <c r="AG53"/>
  <c r="X53" s="1"/>
  <c r="K53" i="22" s="1"/>
  <c r="G53" s="1"/>
  <c r="O37" i="8"/>
  <c r="AI37"/>
  <c r="AI12"/>
  <c r="O12"/>
  <c r="AI66"/>
  <c r="O66"/>
  <c r="AG90"/>
  <c r="M90" s="1"/>
  <c r="AG14"/>
  <c r="AI64"/>
  <c r="O64"/>
  <c r="AI13"/>
  <c r="O13"/>
  <c r="R14"/>
  <c r="AI65"/>
  <c r="O65"/>
  <c r="AI38"/>
  <c r="O38"/>
  <c r="AG58"/>
  <c r="AI27"/>
  <c r="O27"/>
  <c r="AI172"/>
  <c r="O172"/>
  <c r="AG79"/>
  <c r="AI28"/>
  <c r="O28"/>
  <c r="O22"/>
  <c r="AI22"/>
  <c r="AI78"/>
  <c r="O78"/>
  <c r="AI24"/>
  <c r="O24"/>
  <c r="S19" i="64" s="1"/>
  <c r="AG86" i="8"/>
  <c r="X86" s="1"/>
  <c r="K86" i="22" s="1"/>
  <c r="G86" s="1"/>
  <c r="AG146" i="8"/>
  <c r="AO146" s="1"/>
  <c r="U146" s="1"/>
  <c r="AI29"/>
  <c r="O29"/>
  <c r="AI25"/>
  <c r="O25"/>
  <c r="O173"/>
  <c r="AI173"/>
  <c r="O77"/>
  <c r="AI77"/>
  <c r="AG102"/>
  <c r="AG174"/>
  <c r="AG67"/>
  <c r="AG164"/>
  <c r="AI23"/>
  <c r="O23"/>
  <c r="O26"/>
  <c r="AI26"/>
  <c r="O170"/>
  <c r="O171"/>
  <c r="AI171"/>
  <c r="AJ10"/>
  <c r="P10" s="1"/>
  <c r="R11"/>
  <c r="R43"/>
  <c r="AL43"/>
  <c r="R46"/>
  <c r="AL46"/>
  <c r="AH86"/>
  <c r="R35"/>
  <c r="AL35"/>
  <c r="AL39"/>
  <c r="R39"/>
  <c r="AK98"/>
  <c r="AH90"/>
  <c r="L153"/>
  <c r="AK21"/>
  <c r="W153"/>
  <c r="K153" i="47" s="1"/>
  <c r="G153" s="1"/>
  <c r="AJ169" i="8"/>
  <c r="AN169" s="1"/>
  <c r="T169" s="1"/>
  <c r="AF20"/>
  <c r="W20" s="1"/>
  <c r="K20" i="47" s="1"/>
  <c r="G20" s="1"/>
  <c r="AJ97" i="8"/>
  <c r="AA97" s="1"/>
  <c r="L97" i="47" s="1"/>
  <c r="H97" s="1"/>
  <c r="AJ20" i="8"/>
  <c r="AA20" s="1"/>
  <c r="L20" i="47" s="1"/>
  <c r="H20" s="1"/>
  <c r="L169" i="8"/>
  <c r="N76"/>
  <c r="AB76"/>
  <c r="L76" i="22" s="1"/>
  <c r="H76" s="1"/>
  <c r="J75" s="1"/>
  <c r="E86" s="1"/>
  <c r="W34" i="8"/>
  <c r="K34" i="47" s="1"/>
  <c r="G34" s="1"/>
  <c r="L34" i="8"/>
  <c r="P75"/>
  <c r="AA75"/>
  <c r="L75" i="47" s="1"/>
  <c r="H75" s="1"/>
  <c r="AF97" i="8"/>
  <c r="AB63"/>
  <c r="L63" i="22" s="1"/>
  <c r="H63" s="1"/>
  <c r="J62" s="1"/>
  <c r="AA119" i="8"/>
  <c r="L119" i="47" s="1"/>
  <c r="H119" s="1"/>
  <c r="T109" i="8"/>
  <c r="AB170"/>
  <c r="L170" i="22" s="1"/>
  <c r="H170" s="1"/>
  <c r="J169" s="1"/>
  <c r="AK48" i="8"/>
  <c r="Q48" s="1"/>
  <c r="W10"/>
  <c r="K10" i="47" s="1"/>
  <c r="G10" s="1"/>
  <c r="L10" i="8"/>
  <c r="AJ47"/>
  <c r="W141"/>
  <c r="K141" i="47" s="1"/>
  <c r="G141" s="1"/>
  <c r="L141" i="8"/>
  <c r="AK35"/>
  <c r="Q35" s="1"/>
  <c r="AA161"/>
  <c r="L161" i="47" s="1"/>
  <c r="H161" s="1"/>
  <c r="E137" i="22" l="1"/>
  <c r="AL137" i="4" s="1"/>
  <c r="AC64" i="66"/>
  <c r="AD64" s="1"/>
  <c r="Y61" i="63"/>
  <c r="Z61" s="1"/>
  <c r="Z63" i="66"/>
  <c r="AA63" s="1"/>
  <c r="V60" i="62"/>
  <c r="W60" s="1"/>
  <c r="X42"/>
  <c r="X41"/>
  <c r="T35" s="1"/>
  <c r="X40"/>
  <c r="AE53" i="66"/>
  <c r="AF53" s="1"/>
  <c r="Y50" i="62"/>
  <c r="Z50" s="1"/>
  <c r="S65" i="66"/>
  <c r="T65" s="1"/>
  <c r="S62" i="63"/>
  <c r="T62" s="1"/>
  <c r="AC48" i="66"/>
  <c r="Y45" i="63"/>
  <c r="S40" i="62"/>
  <c r="X41" i="63"/>
  <c r="T35" s="1"/>
  <c r="X40"/>
  <c r="T43" i="66"/>
  <c r="V43" s="1"/>
  <c r="Y42" i="63"/>
  <c r="X42" s="1"/>
  <c r="M134" i="8"/>
  <c r="M127" i="56" s="1"/>
  <c r="N127" s="1"/>
  <c r="L97" s="1"/>
  <c r="Q97" s="1"/>
  <c r="W62" i="8"/>
  <c r="K62" i="47" s="1"/>
  <c r="G62" s="1"/>
  <c r="E141"/>
  <c r="AJ141" i="4" s="1"/>
  <c r="AL141" i="8" s="1"/>
  <c r="D137" i="22"/>
  <c r="AE137" i="4" s="1"/>
  <c r="D134" i="22"/>
  <c r="AE134" i="4" s="1"/>
  <c r="AM134" i="8"/>
  <c r="S134"/>
  <c r="AM137"/>
  <c r="S137"/>
  <c r="AN141"/>
  <c r="T141" s="1"/>
  <c r="E146" i="47"/>
  <c r="AJ146" i="4" s="1"/>
  <c r="AL146" i="8" s="1"/>
  <c r="AF161"/>
  <c r="AN161" s="1"/>
  <c r="T161" s="1"/>
  <c r="W133"/>
  <c r="K133" i="47" s="1"/>
  <c r="G133" s="1"/>
  <c r="L133" i="8"/>
  <c r="I140" i="47"/>
  <c r="D153" s="1"/>
  <c r="X90" i="8"/>
  <c r="K90" i="22" s="1"/>
  <c r="G90" s="1"/>
  <c r="X14" i="8"/>
  <c r="K14" i="22" s="1"/>
  <c r="G14" s="1"/>
  <c r="M14" i="8"/>
  <c r="W119"/>
  <c r="K119" i="47" s="1"/>
  <c r="G119" s="1"/>
  <c r="AN119" i="8"/>
  <c r="T119" s="1"/>
  <c r="N126"/>
  <c r="D126" i="22"/>
  <c r="AH132" i="8"/>
  <c r="D125" i="22"/>
  <c r="D143"/>
  <c r="AE143" i="4" s="1"/>
  <c r="O143" i="8" s="1"/>
  <c r="D142" i="22"/>
  <c r="AE142" i="4" s="1"/>
  <c r="O142" i="8" s="1"/>
  <c r="D120" i="22"/>
  <c r="AJ62" i="8"/>
  <c r="P62" s="1"/>
  <c r="D155" i="22"/>
  <c r="AE155" i="4" s="1"/>
  <c r="D154" i="22"/>
  <c r="AE154" i="4" s="1"/>
  <c r="D112" i="22"/>
  <c r="AE112" i="4" s="1"/>
  <c r="D111" i="22"/>
  <c r="AE111" i="4" s="1"/>
  <c r="D110" i="22"/>
  <c r="AE110" i="4" s="1"/>
  <c r="E67" i="22"/>
  <c r="AL67" i="4" s="1"/>
  <c r="E63" i="22"/>
  <c r="AL63" i="4" s="1"/>
  <c r="E71" i="22"/>
  <c r="AL71" i="4" s="1"/>
  <c r="E178" i="22"/>
  <c r="AL178" i="4" s="1"/>
  <c r="E170" i="22"/>
  <c r="AL170" i="4" s="1"/>
  <c r="AM170" i="8" s="1"/>
  <c r="E174" i="22"/>
  <c r="AL174" i="4" s="1"/>
  <c r="E90" i="22"/>
  <c r="AL90" i="4" s="1"/>
  <c r="E79" i="22"/>
  <c r="AL79" i="4" s="1"/>
  <c r="E76" i="22"/>
  <c r="AL76" i="4" s="1"/>
  <c r="E14" i="22"/>
  <c r="AL14" i="4" s="1"/>
  <c r="E19" i="22"/>
  <c r="AL19" i="4" s="1"/>
  <c r="E11" i="22"/>
  <c r="AL11" i="4" s="1"/>
  <c r="AM11" i="8" s="1"/>
  <c r="AM164"/>
  <c r="AL112" i="4"/>
  <c r="AL111"/>
  <c r="AM111" i="8" s="1"/>
  <c r="AL110" i="4"/>
  <c r="S110" i="8" s="1"/>
  <c r="AM143"/>
  <c r="S143"/>
  <c r="AM163"/>
  <c r="S163"/>
  <c r="AM142"/>
  <c r="S142"/>
  <c r="AM162"/>
  <c r="S162"/>
  <c r="AL86" i="4"/>
  <c r="AH125" i="8"/>
  <c r="M98"/>
  <c r="AG76"/>
  <c r="X76" s="1"/>
  <c r="K76" i="22" s="1"/>
  <c r="G76" s="1"/>
  <c r="AG48" i="8"/>
  <c r="M53"/>
  <c r="AB21"/>
  <c r="L21" i="22" s="1"/>
  <c r="H21" s="1"/>
  <c r="J20" s="1"/>
  <c r="Q21" i="8"/>
  <c r="Q98"/>
  <c r="AG21"/>
  <c r="X121"/>
  <c r="AG170"/>
  <c r="X170" s="1"/>
  <c r="K170" i="22" s="1"/>
  <c r="G170" s="1"/>
  <c r="X58" i="8"/>
  <c r="K58" i="22" s="1"/>
  <c r="G58" s="1"/>
  <c r="M58" i="8"/>
  <c r="AG63"/>
  <c r="AG35"/>
  <c r="AA10"/>
  <c r="L10" i="47" s="1"/>
  <c r="H10" s="1"/>
  <c r="M102" i="8"/>
  <c r="X102"/>
  <c r="K102" i="22" s="1"/>
  <c r="G102" s="1"/>
  <c r="I97" s="1"/>
  <c r="AN10" i="8"/>
  <c r="T10" s="1"/>
  <c r="X164"/>
  <c r="K164" i="22" s="1"/>
  <c r="G164" s="1"/>
  <c r="I161" s="1"/>
  <c r="M164" i="8"/>
  <c r="X146"/>
  <c r="K146" i="22" s="1"/>
  <c r="G146" s="1"/>
  <c r="M146" i="8"/>
  <c r="M79"/>
  <c r="X79"/>
  <c r="K79" i="22" s="1"/>
  <c r="G79" s="1"/>
  <c r="M174" i="8"/>
  <c r="X174"/>
  <c r="K174" i="22" s="1"/>
  <c r="G174" s="1"/>
  <c r="M67" i="8"/>
  <c r="X67"/>
  <c r="K67" i="22" s="1"/>
  <c r="G67" s="1"/>
  <c r="AJ34" i="8"/>
  <c r="AN34" s="1"/>
  <c r="T34" s="1"/>
  <c r="AF75"/>
  <c r="W75" s="1"/>
  <c r="K75" i="47" s="1"/>
  <c r="G75" s="1"/>
  <c r="AB98" i="8"/>
  <c r="L98" i="22" s="1"/>
  <c r="H98" s="1"/>
  <c r="J97" s="1"/>
  <c r="AN97" i="8"/>
  <c r="T97" s="1"/>
  <c r="L20"/>
  <c r="AA169"/>
  <c r="L169" i="47" s="1"/>
  <c r="H169" s="1"/>
  <c r="J159" s="1"/>
  <c r="P97" i="8"/>
  <c r="P20"/>
  <c r="AN20"/>
  <c r="T20" s="1"/>
  <c r="W124"/>
  <c r="K124" i="47" s="1"/>
  <c r="G124" s="1"/>
  <c r="X124" i="8"/>
  <c r="K124" i="22" s="1"/>
  <c r="G124" s="1"/>
  <c r="W47" i="8"/>
  <c r="K47" i="47" s="1"/>
  <c r="G47" s="1"/>
  <c r="I9" s="1"/>
  <c r="D10" s="1"/>
  <c r="L47" i="8"/>
  <c r="AB48"/>
  <c r="L48" i="22" s="1"/>
  <c r="H48" s="1"/>
  <c r="J47" s="1"/>
  <c r="AM154" i="8"/>
  <c r="S154"/>
  <c r="P47"/>
  <c r="AN47"/>
  <c r="T47" s="1"/>
  <c r="AA47"/>
  <c r="L47" i="47" s="1"/>
  <c r="H47" s="1"/>
  <c r="AB35" i="8"/>
  <c r="L35" i="22" s="1"/>
  <c r="H35" s="1"/>
  <c r="J34" s="1"/>
  <c r="AM155" i="8"/>
  <c r="S155"/>
  <c r="W97"/>
  <c r="K97" i="47" s="1"/>
  <c r="G97" s="1"/>
  <c r="L97" i="8"/>
  <c r="M127" i="54" l="1"/>
  <c r="N127" s="1"/>
  <c r="L97" s="1"/>
  <c r="N97" s="1"/>
  <c r="I118" i="55" s="1"/>
  <c r="L118" s="1"/>
  <c r="L116" s="1"/>
  <c r="E46" i="12" s="1"/>
  <c r="U40" i="62" s="1"/>
  <c r="Y40" s="1"/>
  <c r="X53" i="66"/>
  <c r="Y53" s="1"/>
  <c r="V50" i="63"/>
  <c r="W50" s="1"/>
  <c r="S54" i="66"/>
  <c r="T54" s="1"/>
  <c r="S51" i="63"/>
  <c r="T51" s="1"/>
  <c r="S63" i="66"/>
  <c r="T63" s="1"/>
  <c r="S60" i="63"/>
  <c r="T60" s="1"/>
  <c r="S35"/>
  <c r="S36" s="1"/>
  <c r="S38" i="66"/>
  <c r="S36" s="1"/>
  <c r="S37" s="1"/>
  <c r="O42" i="63"/>
  <c r="Z10"/>
  <c r="T38" i="66"/>
  <c r="T36" s="1"/>
  <c r="T37" s="1"/>
  <c r="S35" i="62"/>
  <c r="S36" s="1"/>
  <c r="S53" i="66"/>
  <c r="T53" s="1"/>
  <c r="S50" i="63"/>
  <c r="T50" s="1"/>
  <c r="S52" i="66"/>
  <c r="T52" s="1"/>
  <c r="S49" i="63"/>
  <c r="T49" s="1"/>
  <c r="S51" i="66"/>
  <c r="T51" s="1"/>
  <c r="S48" i="63"/>
  <c r="T48" s="1"/>
  <c r="AC63" i="66"/>
  <c r="AD63" s="1"/>
  <c r="Y60" i="63"/>
  <c r="Z60" s="1"/>
  <c r="X62" i="66"/>
  <c r="Y62" s="1"/>
  <c r="V59" i="63"/>
  <c r="W59" s="1"/>
  <c r="Z10" i="66"/>
  <c r="L161" i="8"/>
  <c r="AK133"/>
  <c r="AI134"/>
  <c r="O134"/>
  <c r="T97" i="56"/>
  <c r="H118" i="58"/>
  <c r="O118" s="1"/>
  <c r="O116" s="1"/>
  <c r="O135" s="1"/>
  <c r="O136" s="1"/>
  <c r="L137" s="1"/>
  <c r="L139" s="1"/>
  <c r="AF160" i="8" s="1"/>
  <c r="L160" s="1"/>
  <c r="AI137"/>
  <c r="O137"/>
  <c r="W161"/>
  <c r="K161" i="47" s="1"/>
  <c r="G161" s="1"/>
  <c r="AI143" i="8"/>
  <c r="D146" i="47"/>
  <c r="AC146" i="4" s="1"/>
  <c r="AH146" i="8" s="1"/>
  <c r="D141" i="47"/>
  <c r="AC141" i="4" s="1"/>
  <c r="N141" i="8" s="1"/>
  <c r="I61" i="47"/>
  <c r="D62" s="1"/>
  <c r="I117"/>
  <c r="D133" s="1"/>
  <c r="AA62" i="8"/>
  <c r="L62" i="47" s="1"/>
  <c r="H62" s="1"/>
  <c r="J61" s="1"/>
  <c r="E75" s="1"/>
  <c r="AJ75" i="4" s="1"/>
  <c r="AL75" i="8" s="1"/>
  <c r="AN62"/>
  <c r="T62" s="1"/>
  <c r="X21"/>
  <c r="K21" i="22" s="1"/>
  <c r="G21" s="1"/>
  <c r="I20" s="1"/>
  <c r="D31" s="1"/>
  <c r="AE31" i="4" s="1"/>
  <c r="M21" i="8"/>
  <c r="AI142"/>
  <c r="K121" i="22"/>
  <c r="G121" s="1"/>
  <c r="D34" i="47"/>
  <c r="AC34" i="4" s="1"/>
  <c r="D20" i="47"/>
  <c r="AC20" i="4" s="1"/>
  <c r="D47" i="47"/>
  <c r="AC47" i="4" s="1"/>
  <c r="E161" i="47"/>
  <c r="AJ161" i="4" s="1"/>
  <c r="AL161" i="8" s="1"/>
  <c r="E160" i="47"/>
  <c r="AJ160" i="4" s="1"/>
  <c r="AL160" i="8" s="1"/>
  <c r="E169" i="47"/>
  <c r="AJ169" i="4" s="1"/>
  <c r="AL169" i="8" s="1"/>
  <c r="AC10" i="4"/>
  <c r="AC153"/>
  <c r="AH153" i="8" s="1"/>
  <c r="D102" i="22"/>
  <c r="AE102" i="4" s="1"/>
  <c r="D101" i="22"/>
  <c r="AE101" i="4" s="1"/>
  <c r="D98" i="22"/>
  <c r="AE98" i="4" s="1"/>
  <c r="E46" i="22"/>
  <c r="AL46" i="4" s="1"/>
  <c r="E39" i="22"/>
  <c r="AL39" i="4" s="1"/>
  <c r="E43" i="22"/>
  <c r="AL43" i="4" s="1"/>
  <c r="E35" i="22"/>
  <c r="AL35" i="4" s="1"/>
  <c r="AE120"/>
  <c r="E102" i="22"/>
  <c r="AL102" i="4" s="1"/>
  <c r="E101" i="22"/>
  <c r="AL101" i="4" s="1"/>
  <c r="E98" i="22"/>
  <c r="AL98" i="4" s="1"/>
  <c r="D164" i="22"/>
  <c r="AE164" i="4" s="1"/>
  <c r="D163" i="22"/>
  <c r="AE163" i="4" s="1"/>
  <c r="D162" i="22"/>
  <c r="AE162" i="4" s="1"/>
  <c r="E21" i="22"/>
  <c r="AL21" i="4" s="1"/>
  <c r="E31" i="22"/>
  <c r="AL31" i="4" s="1"/>
  <c r="E30" i="22"/>
  <c r="AL30" i="4" s="1"/>
  <c r="E58" i="22"/>
  <c r="AL58" i="4" s="1"/>
  <c r="E48" i="22"/>
  <c r="AL48" i="4" s="1"/>
  <c r="E53" i="22"/>
  <c r="AL53" i="4" s="1"/>
  <c r="I169" i="22"/>
  <c r="I75"/>
  <c r="D86" s="1"/>
  <c r="AK161" i="8"/>
  <c r="AB161" s="1"/>
  <c r="L161" i="22" s="1"/>
  <c r="H161" s="1"/>
  <c r="AK141" i="8"/>
  <c r="AB141" s="1"/>
  <c r="L141" i="22" s="1"/>
  <c r="H141" s="1"/>
  <c r="S111" i="8"/>
  <c r="S67"/>
  <c r="AM67"/>
  <c r="S11"/>
  <c r="AM110"/>
  <c r="AM76"/>
  <c r="S76"/>
  <c r="AM19"/>
  <c r="S19"/>
  <c r="AM79"/>
  <c r="S79"/>
  <c r="AM86"/>
  <c r="S86"/>
  <c r="AM71"/>
  <c r="S71"/>
  <c r="AM90"/>
  <c r="S90"/>
  <c r="S14"/>
  <c r="AM14"/>
  <c r="S63"/>
  <c r="AM63"/>
  <c r="S112"/>
  <c r="AM112"/>
  <c r="L75"/>
  <c r="M76"/>
  <c r="X48"/>
  <c r="K48" i="22" s="1"/>
  <c r="G48" s="1"/>
  <c r="I47" s="1"/>
  <c r="M48" i="8"/>
  <c r="AI112"/>
  <c r="O112"/>
  <c r="AI110"/>
  <c r="O110"/>
  <c r="AI111"/>
  <c r="O111"/>
  <c r="AI155"/>
  <c r="O155"/>
  <c r="M170"/>
  <c r="AI154"/>
  <c r="O154"/>
  <c r="M63"/>
  <c r="X63"/>
  <c r="K63" i="22" s="1"/>
  <c r="G63" s="1"/>
  <c r="I62" s="1"/>
  <c r="AN75" i="8"/>
  <c r="T75" s="1"/>
  <c r="X11"/>
  <c r="K11" i="22" s="1"/>
  <c r="G11" s="1"/>
  <c r="I10" s="1"/>
  <c r="M35" i="8"/>
  <c r="X35"/>
  <c r="K35" i="22" s="1"/>
  <c r="G35" s="1"/>
  <c r="I34" s="1"/>
  <c r="P34" i="8"/>
  <c r="AA34"/>
  <c r="L34" i="47" s="1"/>
  <c r="H34" s="1"/>
  <c r="J9" s="1"/>
  <c r="E10" s="1"/>
  <c r="AM174" i="8"/>
  <c r="S174"/>
  <c r="S178"/>
  <c r="AM178"/>
  <c r="AK153"/>
  <c r="I125" i="55" l="1"/>
  <c r="E59" i="12" s="1"/>
  <c r="X52" i="66"/>
  <c r="Y52" s="1"/>
  <c r="V49" i="63"/>
  <c r="W49" s="1"/>
  <c r="X51" i="66"/>
  <c r="Y51" s="1"/>
  <c r="V48" i="63"/>
  <c r="W48" s="1"/>
  <c r="AG141" i="8"/>
  <c r="AN160"/>
  <c r="T160" s="1"/>
  <c r="AB133"/>
  <c r="L133" i="22" s="1"/>
  <c r="H133" s="1"/>
  <c r="W160" i="8"/>
  <c r="K160" i="47" s="1"/>
  <c r="G160" s="1"/>
  <c r="I159" s="1"/>
  <c r="D169" s="1"/>
  <c r="AC169" i="4" s="1"/>
  <c r="AH169" i="8" s="1"/>
  <c r="AG133"/>
  <c r="AO133" s="1"/>
  <c r="U133" s="1"/>
  <c r="D75" i="47"/>
  <c r="AC75" i="4" s="1"/>
  <c r="AH75" i="8" s="1"/>
  <c r="D124" i="47"/>
  <c r="AC124" i="4" s="1"/>
  <c r="AH124" i="8" s="1"/>
  <c r="E62" i="47"/>
  <c r="AJ62" i="4" s="1"/>
  <c r="AL62" i="8" s="1"/>
  <c r="D97" i="47"/>
  <c r="AC97" i="4" s="1"/>
  <c r="AH97" i="8" s="1"/>
  <c r="E97" i="47"/>
  <c r="AJ97" i="4" s="1"/>
  <c r="AL97" i="8" s="1"/>
  <c r="D21" i="22"/>
  <c r="AE21" i="4" s="1"/>
  <c r="AI21" i="8" s="1"/>
  <c r="D118" i="47"/>
  <c r="AC118" i="4" s="1"/>
  <c r="N118" i="8" s="1"/>
  <c r="D119" i="47"/>
  <c r="AC119" i="4" s="1"/>
  <c r="N119" i="8" s="1"/>
  <c r="N153"/>
  <c r="D30" i="22"/>
  <c r="AE30" i="4" s="1"/>
  <c r="AI30" i="8" s="1"/>
  <c r="AI120"/>
  <c r="O120"/>
  <c r="I119" i="22"/>
  <c r="D121"/>
  <c r="AE121" i="4" s="1"/>
  <c r="E34" i="47"/>
  <c r="AJ34" i="4" s="1"/>
  <c r="AL34" i="8" s="1"/>
  <c r="AJ10" i="4"/>
  <c r="AL10" i="8" s="1"/>
  <c r="E20" i="47"/>
  <c r="AJ20" i="4" s="1"/>
  <c r="AL20" i="8" s="1"/>
  <c r="E47" i="47"/>
  <c r="AJ47" i="4" s="1"/>
  <c r="AL47" i="8" s="1"/>
  <c r="D67" i="22"/>
  <c r="AE67" i="4" s="1"/>
  <c r="D63" i="22"/>
  <c r="AE63" i="4" s="1"/>
  <c r="D71" i="22"/>
  <c r="AE71" i="4" s="1"/>
  <c r="D19" i="22"/>
  <c r="AE19" i="4" s="1"/>
  <c r="D11" i="22"/>
  <c r="AE11" i="4" s="1"/>
  <c r="AI11" i="8" s="1"/>
  <c r="D14" i="22"/>
  <c r="AE14" i="4" s="1"/>
  <c r="D90" i="22"/>
  <c r="AE90" i="4" s="1"/>
  <c r="O90" i="8" s="1"/>
  <c r="D79" i="22"/>
  <c r="AE79" i="4" s="1"/>
  <c r="D76" i="22"/>
  <c r="AE76" i="4" s="1"/>
  <c r="D178" i="22"/>
  <c r="AE178" i="4" s="1"/>
  <c r="D170" i="22"/>
  <c r="AE170" i="4" s="1"/>
  <c r="D174" i="22"/>
  <c r="AE174" i="4" s="1"/>
  <c r="D43" i="22"/>
  <c r="AE43" i="4" s="1"/>
  <c r="D35" i="22"/>
  <c r="AE35" i="4" s="1"/>
  <c r="D46" i="22"/>
  <c r="AE46" i="4" s="1"/>
  <c r="D39" i="22"/>
  <c r="AE39" i="4" s="1"/>
  <c r="D58" i="22"/>
  <c r="AE58" i="4" s="1"/>
  <c r="O58" i="8" s="1"/>
  <c r="D48" i="22"/>
  <c r="AE48" i="4" s="1"/>
  <c r="AI48" i="8" s="1"/>
  <c r="D53" i="22"/>
  <c r="AE53" i="4" s="1"/>
  <c r="O53" i="8" s="1"/>
  <c r="AK10"/>
  <c r="AE86" i="4"/>
  <c r="O86" i="8" s="1"/>
  <c r="AK62"/>
  <c r="AB62" s="1"/>
  <c r="L62" i="22" s="1"/>
  <c r="H62" s="1"/>
  <c r="S101" i="8"/>
  <c r="AM101"/>
  <c r="S53"/>
  <c r="AM53"/>
  <c r="S98"/>
  <c r="AM98"/>
  <c r="AM58"/>
  <c r="S58"/>
  <c r="AM30"/>
  <c r="S30"/>
  <c r="S102"/>
  <c r="AM102"/>
  <c r="S39"/>
  <c r="AM39"/>
  <c r="AM48"/>
  <c r="S48"/>
  <c r="S21"/>
  <c r="V19" i="64" s="1"/>
  <c r="AB19" s="1"/>
  <c r="AM21" i="8"/>
  <c r="AK75"/>
  <c r="AB75" s="1"/>
  <c r="L75" i="22" s="1"/>
  <c r="H75" s="1"/>
  <c r="S35" i="8"/>
  <c r="AM35"/>
  <c r="AM43"/>
  <c r="S43"/>
  <c r="Q62"/>
  <c r="AM31"/>
  <c r="S31"/>
  <c r="S46"/>
  <c r="AM46"/>
  <c r="AC133" i="4"/>
  <c r="AH133" i="8" s="1"/>
  <c r="AG153"/>
  <c r="AO153" s="1"/>
  <c r="U153" s="1"/>
  <c r="AO109"/>
  <c r="AO141"/>
  <c r="U141" s="1"/>
  <c r="X141"/>
  <c r="K141" i="22" s="1"/>
  <c r="G141" s="1"/>
  <c r="M141" i="8"/>
  <c r="K24" i="64" s="1"/>
  <c r="AA24" s="1"/>
  <c r="AC24" s="1"/>
  <c r="AH141" i="8"/>
  <c r="AN140" s="1"/>
  <c r="AI164"/>
  <c r="O164"/>
  <c r="AI102"/>
  <c r="O102"/>
  <c r="O163"/>
  <c r="R33" i="64" s="1"/>
  <c r="AA33" s="1"/>
  <c r="AI163" i="8"/>
  <c r="AI98"/>
  <c r="O98"/>
  <c r="AI101"/>
  <c r="O101"/>
  <c r="AI162"/>
  <c r="O162"/>
  <c r="O31"/>
  <c r="AI31"/>
  <c r="N146"/>
  <c r="AC62" i="4"/>
  <c r="N62" i="8" s="1"/>
  <c r="AK169"/>
  <c r="AH34"/>
  <c r="N34"/>
  <c r="AH47"/>
  <c r="N47"/>
  <c r="N20"/>
  <c r="AH20"/>
  <c r="AB153"/>
  <c r="L153" i="22" s="1"/>
  <c r="H153" s="1"/>
  <c r="J140" s="1"/>
  <c r="AH10" i="8"/>
  <c r="N10"/>
  <c r="N75"/>
  <c r="L125" i="55" l="1"/>
  <c r="L123" s="1"/>
  <c r="L135" s="1"/>
  <c r="L136" s="1"/>
  <c r="L137" s="1"/>
  <c r="L139" s="1"/>
  <c r="AG160" i="8" s="1"/>
  <c r="E85" i="13"/>
  <c r="E88" s="1"/>
  <c r="E89" s="1"/>
  <c r="AB10" i="8"/>
  <c r="L10" i="22" s="1"/>
  <c r="H10" s="1"/>
  <c r="Q10" i="8"/>
  <c r="AC62" i="66"/>
  <c r="AD62" s="1"/>
  <c r="Y59"/>
  <c r="W56" i="63"/>
  <c r="AF48" i="66"/>
  <c r="Z45" i="62"/>
  <c r="U65" i="66"/>
  <c r="V65" s="1"/>
  <c r="S62" i="62"/>
  <c r="T62" s="1"/>
  <c r="Z64" i="66"/>
  <c r="AA64" s="1"/>
  <c r="V61" i="62"/>
  <c r="W61" s="1"/>
  <c r="AC33" i="64"/>
  <c r="AC35" s="1"/>
  <c r="AA35"/>
  <c r="Z62" i="66"/>
  <c r="AA62" s="1"/>
  <c r="V59" i="62"/>
  <c r="W59" s="1"/>
  <c r="AB26" i="64"/>
  <c r="AD19"/>
  <c r="AD26" s="1"/>
  <c r="Y59" i="63"/>
  <c r="Z59" s="1"/>
  <c r="O21" i="8"/>
  <c r="R19" i="64" s="1"/>
  <c r="AA19" s="1"/>
  <c r="D160" i="47"/>
  <c r="AC160" i="4" s="1"/>
  <c r="N160" i="8" s="1"/>
  <c r="D161" i="47"/>
  <c r="AC161" i="4" s="1"/>
  <c r="AH161" i="8" s="1"/>
  <c r="X133"/>
  <c r="K133" i="22" s="1"/>
  <c r="G133" s="1"/>
  <c r="M133" i="8"/>
  <c r="K23" i="64" s="1"/>
  <c r="AA23" s="1"/>
  <c r="AC23" s="1"/>
  <c r="N124" i="8"/>
  <c r="AH118"/>
  <c r="O30"/>
  <c r="AH119"/>
  <c r="AI121"/>
  <c r="AG119" s="1"/>
  <c r="M119" s="1"/>
  <c r="K21" i="64" s="1"/>
  <c r="AA21" s="1"/>
  <c r="AC21" s="1"/>
  <c r="O121" i="8"/>
  <c r="N133"/>
  <c r="O79"/>
  <c r="AI79"/>
  <c r="E153" i="22"/>
  <c r="AL153" i="4" s="1"/>
  <c r="AM153" i="8" s="1"/>
  <c r="E141" i="22"/>
  <c r="AL141" i="4" s="1"/>
  <c r="AM141" i="8" s="1"/>
  <c r="E146" i="22"/>
  <c r="AL146" i="4" s="1"/>
  <c r="AM146" i="8" s="1"/>
  <c r="AI90"/>
  <c r="O14"/>
  <c r="AI14"/>
  <c r="AK20"/>
  <c r="AI19"/>
  <c r="O19"/>
  <c r="AK34"/>
  <c r="O11"/>
  <c r="AK47"/>
  <c r="AK97"/>
  <c r="AI86"/>
  <c r="AI76"/>
  <c r="O76"/>
  <c r="O48"/>
  <c r="AI53"/>
  <c r="AI58"/>
  <c r="X109"/>
  <c r="K109" i="22" s="1"/>
  <c r="G109" s="1"/>
  <c r="W109" i="8"/>
  <c r="K109" i="47" s="1"/>
  <c r="G109" s="1"/>
  <c r="U109" i="8"/>
  <c r="X153"/>
  <c r="K153" i="22" s="1"/>
  <c r="G153" s="1"/>
  <c r="I140" s="1"/>
  <c r="M153" i="8"/>
  <c r="AI43"/>
  <c r="O43"/>
  <c r="O63"/>
  <c r="AI63"/>
  <c r="O46"/>
  <c r="AI46"/>
  <c r="O35"/>
  <c r="AI35"/>
  <c r="AI71"/>
  <c r="O71"/>
  <c r="O39"/>
  <c r="AI39"/>
  <c r="AI67"/>
  <c r="O67"/>
  <c r="AG20"/>
  <c r="AI170"/>
  <c r="O169"/>
  <c r="O174"/>
  <c r="AI174"/>
  <c r="AI178"/>
  <c r="O178"/>
  <c r="AG161"/>
  <c r="AG97"/>
  <c r="AH62"/>
  <c r="AN61" s="1"/>
  <c r="N97"/>
  <c r="AB169"/>
  <c r="L169" i="22" s="1"/>
  <c r="H169" s="1"/>
  <c r="J159" s="1"/>
  <c r="T140" i="8"/>
  <c r="AN9"/>
  <c r="E47" i="12" l="1"/>
  <c r="V41" i="62" s="1"/>
  <c r="Y41" s="1"/>
  <c r="X59" i="66"/>
  <c r="V56" i="63"/>
  <c r="AE32" i="64"/>
  <c r="AE31"/>
  <c r="Y48" i="66"/>
  <c r="W45" i="63"/>
  <c r="AA26" i="64"/>
  <c r="AC19"/>
  <c r="AC26" s="1"/>
  <c r="AD27" s="1"/>
  <c r="T48" i="66"/>
  <c r="K83" s="1"/>
  <c r="T45" i="63"/>
  <c r="E20" i="67"/>
  <c r="AE48" i="66"/>
  <c r="Y45" i="62"/>
  <c r="AH160" i="8"/>
  <c r="AN159" s="1"/>
  <c r="AD59" i="66" s="1"/>
  <c r="N161" i="8"/>
  <c r="AO160"/>
  <c r="U160" s="1"/>
  <c r="AE62" i="66" s="1"/>
  <c r="M160" i="8"/>
  <c r="K12" i="64" s="1"/>
  <c r="X160" i="8"/>
  <c r="K160" i="22" s="1"/>
  <c r="G160" s="1"/>
  <c r="D153"/>
  <c r="AE153" i="4" s="1"/>
  <c r="D146" i="22"/>
  <c r="AE146" i="4" s="1"/>
  <c r="D141" i="22"/>
  <c r="AE141" i="4" s="1"/>
  <c r="E169" i="22"/>
  <c r="E161"/>
  <c r="E160"/>
  <c r="AG10" i="8"/>
  <c r="M10" s="1"/>
  <c r="Q97"/>
  <c r="AB97"/>
  <c r="L97" i="22" s="1"/>
  <c r="H97" s="1"/>
  <c r="J61" s="1"/>
  <c r="Q34" i="8"/>
  <c r="AB34"/>
  <c r="L34" i="22" s="1"/>
  <c r="H34" s="1"/>
  <c r="Q47" i="8"/>
  <c r="AB47"/>
  <c r="L47" i="22" s="1"/>
  <c r="H47" s="1"/>
  <c r="Q20" i="8"/>
  <c r="AB20"/>
  <c r="L20" i="22" s="1"/>
  <c r="H20" s="1"/>
  <c r="AG75" i="8"/>
  <c r="M75" s="1"/>
  <c r="AG47"/>
  <c r="X47" s="1"/>
  <c r="K47" i="22" s="1"/>
  <c r="G47" s="1"/>
  <c r="X119" i="8"/>
  <c r="K119" i="22" s="1"/>
  <c r="G119" s="1"/>
  <c r="AG34" i="8"/>
  <c r="AG62"/>
  <c r="AO97"/>
  <c r="U97" s="1"/>
  <c r="M97"/>
  <c r="X97"/>
  <c r="K97" i="22" s="1"/>
  <c r="G97" s="1"/>
  <c r="AG169" i="8"/>
  <c r="AO161"/>
  <c r="U161" s="1"/>
  <c r="M161"/>
  <c r="X161"/>
  <c r="K161" i="22" s="1"/>
  <c r="G161" s="1"/>
  <c r="X20" i="8"/>
  <c r="K20" i="22" s="1"/>
  <c r="G20" s="1"/>
  <c r="AO20" i="8"/>
  <c r="U20" s="1"/>
  <c r="M20"/>
  <c r="T9"/>
  <c r="AJ9"/>
  <c r="AA9" s="1"/>
  <c r="L9" i="47" s="1"/>
  <c r="H9" s="1"/>
  <c r="J8" s="1"/>
  <c r="AF9" i="8"/>
  <c r="W9" s="1"/>
  <c r="K9" i="47" s="1"/>
  <c r="G9" s="1"/>
  <c r="W61" i="8"/>
  <c r="K61" i="47" s="1"/>
  <c r="G61" s="1"/>
  <c r="T61" i="8"/>
  <c r="E52" i="12" l="1"/>
  <c r="W42" i="62" s="1"/>
  <c r="T44" i="66" s="1"/>
  <c r="V44" s="1"/>
  <c r="U44" s="1"/>
  <c r="S42"/>
  <c r="V42" s="1"/>
  <c r="U42" s="1"/>
  <c r="AE12" i="64"/>
  <c r="AA12"/>
  <c r="AC12" s="1"/>
  <c r="K53" i="63"/>
  <c r="Z12"/>
  <c r="X48" i="66"/>
  <c r="V45" i="63"/>
  <c r="U52" i="66"/>
  <c r="V52" s="1"/>
  <c r="S49" i="62"/>
  <c r="T49" s="1"/>
  <c r="AE63" i="66"/>
  <c r="AF63" s="1"/>
  <c r="Y60" i="62"/>
  <c r="Z60" s="1"/>
  <c r="Z53" i="66"/>
  <c r="AA53" s="1"/>
  <c r="V50" i="62"/>
  <c r="W50" s="1"/>
  <c r="AF62" i="66"/>
  <c r="Y59" i="62"/>
  <c r="Z59" s="1"/>
  <c r="Z10"/>
  <c r="O42"/>
  <c r="T80" i="66"/>
  <c r="Z12"/>
  <c r="S48"/>
  <c r="S45" i="63"/>
  <c r="AA10" i="66"/>
  <c r="O42"/>
  <c r="E29" i="67"/>
  <c r="C2" i="65"/>
  <c r="AF31" i="64"/>
  <c r="D2" i="65" s="1"/>
  <c r="K29" i="64"/>
  <c r="AE20"/>
  <c r="AE19"/>
  <c r="AB27"/>
  <c r="T159" i="8"/>
  <c r="Z56" i="63"/>
  <c r="J9" i="22"/>
  <c r="E20" s="1"/>
  <c r="I117"/>
  <c r="D119" s="1"/>
  <c r="I8" i="47"/>
  <c r="E109"/>
  <c r="AJ109" i="4" s="1"/>
  <c r="AL109" i="8" s="1"/>
  <c r="E61" i="47"/>
  <c r="AJ61" i="4" s="1"/>
  <c r="AL61" i="8" s="1"/>
  <c r="E9" i="47"/>
  <c r="AJ9" i="4" s="1"/>
  <c r="AL9" i="8" s="1"/>
  <c r="E97" i="22"/>
  <c r="AL97" i="4" s="1"/>
  <c r="AM97" i="8" s="1"/>
  <c r="E75" i="22"/>
  <c r="AL75" i="4" s="1"/>
  <c r="AM75" i="8" s="1"/>
  <c r="E62" i="22"/>
  <c r="AL62" i="4" s="1"/>
  <c r="AM62" i="8" s="1"/>
  <c r="X10"/>
  <c r="K10" i="22" s="1"/>
  <c r="G10" s="1"/>
  <c r="AO10" i="8"/>
  <c r="U10" s="1"/>
  <c r="AO75"/>
  <c r="U75" s="1"/>
  <c r="AL169" i="4"/>
  <c r="AM169" i="8" s="1"/>
  <c r="AL161" i="4"/>
  <c r="AM161" i="8" s="1"/>
  <c r="AL160" i="4"/>
  <c r="AM160" i="8" s="1"/>
  <c r="X75"/>
  <c r="K75" i="22" s="1"/>
  <c r="G75" s="1"/>
  <c r="AO47" i="8"/>
  <c r="U47" s="1"/>
  <c r="M47"/>
  <c r="O141"/>
  <c r="AI141"/>
  <c r="AI153"/>
  <c r="O153"/>
  <c r="O146"/>
  <c r="AI146"/>
  <c r="AO62"/>
  <c r="U62" s="1"/>
  <c r="X62"/>
  <c r="K62" i="22" s="1"/>
  <c r="G62" s="1"/>
  <c r="M62" i="8"/>
  <c r="M34"/>
  <c r="X34"/>
  <c r="K34" i="22" s="1"/>
  <c r="G34" s="1"/>
  <c r="AO34" i="8"/>
  <c r="U34" s="1"/>
  <c r="M169"/>
  <c r="X169"/>
  <c r="K169" i="22" s="1"/>
  <c r="G169" s="1"/>
  <c r="I159" s="1"/>
  <c r="AO169" i="8"/>
  <c r="U169" s="1"/>
  <c r="Y42" i="62" l="1"/>
  <c r="AE64" i="66"/>
  <c r="AF64" s="1"/>
  <c r="Y61" i="62"/>
  <c r="Z61" s="1"/>
  <c r="E28" i="67"/>
  <c r="C3" i="65"/>
  <c r="AF19" i="64"/>
  <c r="D3" i="65" s="1"/>
  <c r="K17" i="64"/>
  <c r="Z52" i="66"/>
  <c r="AA52" s="1"/>
  <c r="V49" i="62"/>
  <c r="W49" s="1"/>
  <c r="U51" i="66"/>
  <c r="V51" s="1"/>
  <c r="S48" i="62"/>
  <c r="T48" s="1"/>
  <c r="Y56" i="63"/>
  <c r="O53" s="1"/>
  <c r="AC59" i="66"/>
  <c r="Z14" i="63"/>
  <c r="G42"/>
  <c r="Z9"/>
  <c r="K42"/>
  <c r="U54" i="66"/>
  <c r="V54" s="1"/>
  <c r="S51" i="62"/>
  <c r="T51" s="1"/>
  <c r="U53" i="66"/>
  <c r="V53" s="1"/>
  <c r="S50" i="62"/>
  <c r="T50" s="1"/>
  <c r="Z51" i="66"/>
  <c r="AA51" s="1"/>
  <c r="V48" i="62"/>
  <c r="W48" s="1"/>
  <c r="Z14" i="66"/>
  <c r="U82"/>
  <c r="T82"/>
  <c r="Z9"/>
  <c r="E27" i="67"/>
  <c r="C4" i="65"/>
  <c r="AF12" i="64"/>
  <c r="D4" i="65" s="1"/>
  <c r="K10" i="64"/>
  <c r="E10" i="22"/>
  <c r="AL10" i="4" s="1"/>
  <c r="AM10" i="8" s="1"/>
  <c r="E34" i="22"/>
  <c r="AL34" i="4" s="1"/>
  <c r="AM34" i="8" s="1"/>
  <c r="E47" i="22"/>
  <c r="AL47" i="4" s="1"/>
  <c r="AM47" i="8" s="1"/>
  <c r="D133" i="22"/>
  <c r="D124"/>
  <c r="D118"/>
  <c r="D109" i="47"/>
  <c r="AC109" i="4" s="1"/>
  <c r="D61" i="47"/>
  <c r="AC61" i="4" s="1"/>
  <c r="D9" i="47"/>
  <c r="AC9" i="4" s="1"/>
  <c r="I61" i="22"/>
  <c r="D75" s="1"/>
  <c r="D169"/>
  <c r="AE169" i="4" s="1"/>
  <c r="AI169" i="8" s="1"/>
  <c r="D161" i="22"/>
  <c r="AE161" i="4" s="1"/>
  <c r="D160" i="22"/>
  <c r="AE160" i="4" s="1"/>
  <c r="I9" i="22"/>
  <c r="AL20" i="4"/>
  <c r="AM20" i="8" s="1"/>
  <c r="AO140"/>
  <c r="Z11" i="63" l="1"/>
  <c r="AA59" i="66"/>
  <c r="W56" i="62"/>
  <c r="Z11" i="66"/>
  <c r="D97" i="22"/>
  <c r="AE97" i="4" s="1"/>
  <c r="AI97" i="8" s="1"/>
  <c r="D62" i="22"/>
  <c r="AE62" i="4" s="1"/>
  <c r="AI62" i="8" s="1"/>
  <c r="D20" i="22"/>
  <c r="AE20" i="4" s="1"/>
  <c r="AI20" i="8" s="1"/>
  <c r="D47" i="22"/>
  <c r="AE47" i="4" s="1"/>
  <c r="D34" i="22"/>
  <c r="AE34" i="4" s="1"/>
  <c r="D10" i="22"/>
  <c r="AE10" i="4" s="1"/>
  <c r="AE75"/>
  <c r="AI75" i="8" s="1"/>
  <c r="X140"/>
  <c r="K140" i="22" s="1"/>
  <c r="G140" s="1"/>
  <c r="W140" i="8"/>
  <c r="K140" i="47" s="1"/>
  <c r="G140" s="1"/>
  <c r="U140" i="8"/>
  <c r="O161"/>
  <c r="AI161"/>
  <c r="AI160"/>
  <c r="O160"/>
  <c r="AH9"/>
  <c r="N9"/>
  <c r="N61"/>
  <c r="AH61"/>
  <c r="N109"/>
  <c r="AH109"/>
  <c r="E23" i="67" l="1"/>
  <c r="Z59" i="66"/>
  <c r="V56" i="62"/>
  <c r="O97" i="8"/>
  <c r="O34"/>
  <c r="AI34"/>
  <c r="AI47"/>
  <c r="O47"/>
  <c r="AI10"/>
  <c r="O10"/>
  <c r="O20"/>
  <c r="O62"/>
  <c r="O75"/>
  <c r="AO61"/>
  <c r="AO159"/>
  <c r="AN8"/>
  <c r="AA48" i="66" l="1"/>
  <c r="W45" i="62"/>
  <c r="AA12" i="66"/>
  <c r="K53"/>
  <c r="S8"/>
  <c r="S8" i="63"/>
  <c r="S10" s="1"/>
  <c r="T24" s="1"/>
  <c r="AF59" i="66"/>
  <c r="Z56" i="62"/>
  <c r="K53"/>
  <c r="Z12"/>
  <c r="AO9" i="8"/>
  <c r="U61"/>
  <c r="X61"/>
  <c r="K61" i="22" s="1"/>
  <c r="G61" s="1"/>
  <c r="U159" i="8"/>
  <c r="W159"/>
  <c r="K159" i="47" s="1"/>
  <c r="G159" s="1"/>
  <c r="X159" i="8"/>
  <c r="K159" i="22" s="1"/>
  <c r="G159" s="1"/>
  <c r="T8" i="8"/>
  <c r="N40" i="63" s="1"/>
  <c r="E24" i="67" l="1"/>
  <c r="AE59" i="66"/>
  <c r="Y56" i="62"/>
  <c r="AK9" i="8"/>
  <c r="AB9" s="1"/>
  <c r="L9" i="22" s="1"/>
  <c r="H9" s="1"/>
  <c r="J8" s="1"/>
  <c r="E61" s="1"/>
  <c r="AL61" i="4" s="1"/>
  <c r="AM61" i="8" s="1"/>
  <c r="V48" i="66"/>
  <c r="K80" s="1"/>
  <c r="T45" i="62"/>
  <c r="T26" i="63"/>
  <c r="U26"/>
  <c r="Z48" i="66"/>
  <c r="E19" i="67"/>
  <c r="V45" i="62"/>
  <c r="S10" i="66"/>
  <c r="T24" s="1"/>
  <c r="U9" i="8"/>
  <c r="AG9"/>
  <c r="X9" s="1"/>
  <c r="K9" i="22" s="1"/>
  <c r="G9" s="1"/>
  <c r="I8" s="1"/>
  <c r="E109" l="1"/>
  <c r="AL109" i="4" s="1"/>
  <c r="AM109" i="8" s="1"/>
  <c r="E9" i="22"/>
  <c r="AL9" i="4" s="1"/>
  <c r="AM9" i="8" s="1"/>
  <c r="U48" i="66"/>
  <c r="E18" i="67"/>
  <c r="S45" i="62"/>
  <c r="Z9"/>
  <c r="K42"/>
  <c r="O53"/>
  <c r="Z11"/>
  <c r="AA11" i="66"/>
  <c r="O53"/>
  <c r="AA9"/>
  <c r="K42"/>
  <c r="X80"/>
  <c r="T26"/>
  <c r="U26"/>
  <c r="D9" i="22"/>
  <c r="AE9" i="4" s="1"/>
  <c r="AI9" i="8" s="1"/>
  <c r="D61" i="22"/>
  <c r="AE61" i="4" s="1"/>
  <c r="AI61" i="8" s="1"/>
  <c r="D109" i="22"/>
  <c r="AE109" i="4" s="1"/>
  <c r="AI109" i="8" s="1"/>
  <c r="Z14" i="62" l="1"/>
  <c r="G42"/>
  <c r="AA14" i="66"/>
  <c r="G42"/>
  <c r="X82"/>
  <c r="Y82"/>
  <c r="O61" i="8"/>
  <c r="O109"/>
  <c r="O9"/>
  <c r="AO8"/>
  <c r="T8" i="66" l="1"/>
  <c r="S8" i="62"/>
  <c r="S10" s="1"/>
  <c r="U8" i="8"/>
  <c r="T24" i="62" l="1"/>
  <c r="T10" i="66"/>
  <c r="N40"/>
  <c r="E17" i="67"/>
  <c r="N40" i="62"/>
  <c r="T26" l="1"/>
  <c r="U26"/>
  <c r="X24" i="66"/>
  <c r="Y26" l="1"/>
  <c r="X26"/>
  <c r="AE126" i="4" l="1"/>
  <c r="AE132" l="1"/>
  <c r="O132" i="8" s="1"/>
  <c r="AE125" i="4"/>
  <c r="AI126" i="8"/>
  <c r="O126"/>
  <c r="O125" l="1"/>
  <c r="AI125"/>
  <c r="AI132"/>
  <c r="AE124" i="4" l="1"/>
  <c r="AE118"/>
  <c r="O118" i="8" s="1"/>
  <c r="AE119" i="4"/>
  <c r="O119" i="8" s="1"/>
  <c r="AE133" i="4"/>
  <c r="AI133" i="8" s="1"/>
  <c r="AI119" l="1"/>
  <c r="O133"/>
  <c r="AI118"/>
  <c r="O124"/>
  <c r="AI124"/>
  <c r="E123" i="22" l="1"/>
  <c r="AL123" i="4" s="1"/>
  <c r="E122" i="22"/>
  <c r="AL122" i="4" s="1"/>
  <c r="S122" i="8" l="1"/>
  <c r="AM122"/>
  <c r="AM123"/>
  <c r="S123"/>
  <c r="AB121" l="1"/>
  <c r="L121" i="22" s="1"/>
  <c r="H121" s="1"/>
  <c r="J119" s="1"/>
  <c r="AL132" i="4" l="1"/>
  <c r="S132" i="8" s="1"/>
  <c r="AM132"/>
  <c r="AK126" s="1"/>
  <c r="AB126" s="1"/>
  <c r="L126" i="22" s="1"/>
  <c r="H126" s="1"/>
  <c r="J124" s="1"/>
  <c r="E121" l="1"/>
  <c r="AL121" i="4" s="1"/>
  <c r="E125" i="22"/>
  <c r="AL125" i="4" s="1"/>
  <c r="E126" i="22"/>
  <c r="AL126" i="4" s="1"/>
  <c r="E120" i="22"/>
  <c r="AL120" i="4" s="1"/>
  <c r="S120" i="8" l="1"/>
  <c r="AM120"/>
  <c r="S126"/>
  <c r="AM126"/>
  <c r="S125"/>
  <c r="AM125"/>
  <c r="AM121"/>
  <c r="S121"/>
  <c r="AK124" l="1"/>
  <c r="AK119"/>
  <c r="AB119" l="1"/>
  <c r="L119" i="22" s="1"/>
  <c r="H119" s="1"/>
  <c r="AO119" i="8"/>
  <c r="U119" s="1"/>
  <c r="AO124"/>
  <c r="U124" s="1"/>
  <c r="AB124"/>
  <c r="L124" i="22" s="1"/>
  <c r="H124" s="1"/>
  <c r="U64" i="66" l="1"/>
  <c r="V64" s="1"/>
  <c r="S61" i="62"/>
  <c r="T61" s="1"/>
  <c r="U63" i="66"/>
  <c r="V63" s="1"/>
  <c r="S60" i="62"/>
  <c r="T60" s="1"/>
  <c r="AO117" i="8"/>
  <c r="J117" i="22"/>
  <c r="V59" i="66" l="1"/>
  <c r="K81" s="1"/>
  <c r="T56" i="62"/>
  <c r="E119" i="22"/>
  <c r="AL119" i="4" s="1"/>
  <c r="S119" i="8" s="1"/>
  <c r="E118" i="22"/>
  <c r="AL118" i="4" s="1"/>
  <c r="E124" i="22"/>
  <c r="AL124" i="4" s="1"/>
  <c r="E133" i="22"/>
  <c r="AL133" i="4" s="1"/>
  <c r="U117" i="8"/>
  <c r="W117"/>
  <c r="K117" i="47" s="1"/>
  <c r="G117" s="1"/>
  <c r="I116" s="1"/>
  <c r="X117" i="8"/>
  <c r="K117" i="22" s="1"/>
  <c r="G117" s="1"/>
  <c r="I116" s="1"/>
  <c r="U59" i="66" l="1"/>
  <c r="AA13" s="1"/>
  <c r="E22" i="67"/>
  <c r="S56" i="62"/>
  <c r="X79" i="66"/>
  <c r="M80"/>
  <c r="AM133" i="8"/>
  <c r="S133"/>
  <c r="S124"/>
  <c r="AM124"/>
  <c r="D117" i="47"/>
  <c r="AC117" i="4" s="1"/>
  <c r="D140" i="47"/>
  <c r="AC140" i="4" s="1"/>
  <c r="D159" i="47"/>
  <c r="AC159" i="4" s="1"/>
  <c r="AM118" i="8"/>
  <c r="S118"/>
  <c r="D117" i="22"/>
  <c r="AE117" i="4" s="1"/>
  <c r="D159" i="22"/>
  <c r="AE159" i="4" s="1"/>
  <c r="D140" i="22"/>
  <c r="AE140" i="4" s="1"/>
  <c r="AM119" i="8"/>
  <c r="G53" i="62" l="1"/>
  <c r="Z13"/>
  <c r="W81" i="66"/>
  <c r="X81"/>
  <c r="O117" i="8"/>
  <c r="AI117"/>
  <c r="N159"/>
  <c r="AH159"/>
  <c r="O140"/>
  <c r="AI140"/>
  <c r="AH140"/>
  <c r="N140"/>
  <c r="O159"/>
  <c r="AI159"/>
  <c r="AH117"/>
  <c r="N117"/>
  <c r="AO116" l="1"/>
  <c r="T9" i="66" l="1"/>
  <c r="T11" s="1"/>
  <c r="S9" i="62"/>
  <c r="S11" s="1"/>
  <c r="X116" i="8"/>
  <c r="K116" i="22" s="1"/>
  <c r="G116" s="1"/>
  <c r="U116" i="8"/>
  <c r="W116"/>
  <c r="K116" i="47" s="1"/>
  <c r="G116" s="1"/>
  <c r="T23" i="62" l="1"/>
  <c r="S12"/>
  <c r="E21" i="67"/>
  <c r="N51" i="62"/>
  <c r="X23" i="66"/>
  <c r="T12"/>
  <c r="T13" l="1"/>
  <c r="T15"/>
  <c r="T16" s="1"/>
  <c r="S13" i="62"/>
  <c r="S15"/>
  <c r="X25" i="66"/>
  <c r="W25"/>
  <c r="S25" i="62"/>
  <c r="T25"/>
  <c r="S16" l="1"/>
  <c r="D7" i="65" s="1"/>
  <c r="C7"/>
  <c r="K6" i="64"/>
  <c r="G23" i="62"/>
  <c r="G25"/>
  <c r="D25" i="66"/>
  <c r="E16" i="67" s="1"/>
  <c r="C25" i="66"/>
  <c r="E15" i="67" s="1"/>
  <c r="R132" i="8"/>
  <c r="AJ132" i="4"/>
  <c r="AL132" i="8"/>
  <c r="AJ126" s="1"/>
  <c r="AA126" s="1"/>
  <c r="L126" i="47" s="1"/>
  <c r="H126" s="1"/>
  <c r="J124" s="1"/>
  <c r="E126" l="1"/>
  <c r="AJ126" i="4" s="1"/>
  <c r="E125" i="47"/>
  <c r="AJ125" i="4" s="1"/>
  <c r="AL125" i="8" l="1"/>
  <c r="R125"/>
  <c r="R126"/>
  <c r="AL126"/>
  <c r="AJ124" l="1"/>
  <c r="AN124" s="1"/>
  <c r="AA124" l="1"/>
  <c r="L124" i="47" s="1"/>
  <c r="H124" s="1"/>
  <c r="J117" s="1"/>
  <c r="E124" s="1"/>
  <c r="AJ124" i="4" s="1"/>
  <c r="T124" i="8"/>
  <c r="AN117"/>
  <c r="T59" i="66" l="1"/>
  <c r="K84" s="1"/>
  <c r="T56" i="63"/>
  <c r="S64" i="66"/>
  <c r="T64" s="1"/>
  <c r="S61" i="63"/>
  <c r="T61" s="1"/>
  <c r="E133" i="47"/>
  <c r="AJ133" i="4" s="1"/>
  <c r="AL133" i="8" s="1"/>
  <c r="E118" i="47"/>
  <c r="AJ118" i="4" s="1"/>
  <c r="R118" i="8" s="1"/>
  <c r="E119" i="47"/>
  <c r="AJ119" i="4" s="1"/>
  <c r="R119" i="8" s="1"/>
  <c r="AL124"/>
  <c r="R124"/>
  <c r="AN116"/>
  <c r="T117"/>
  <c r="S59" i="66" l="1"/>
  <c r="S56" i="63"/>
  <c r="T79" i="66"/>
  <c r="M83"/>
  <c r="M78" s="1"/>
  <c r="S9"/>
  <c r="S9" i="63"/>
  <c r="S11" s="1"/>
  <c r="R133" i="8"/>
  <c r="AL118"/>
  <c r="AL119"/>
  <c r="T116"/>
  <c r="N51" i="63" s="1"/>
  <c r="T81" i="66" l="1"/>
  <c r="S81"/>
  <c r="Z13" i="63"/>
  <c r="G53"/>
  <c r="G53" i="66"/>
  <c r="Z13"/>
  <c r="T23" i="63"/>
  <c r="S12"/>
  <c r="N51" i="66"/>
  <c r="S11"/>
  <c r="T23" l="1"/>
  <c r="S12"/>
  <c r="S13" s="1"/>
  <c r="S13" i="63"/>
  <c r="S15"/>
  <c r="T25"/>
  <c r="S25"/>
  <c r="G23" l="1"/>
  <c r="G25"/>
  <c r="S15" i="66"/>
  <c r="S16" s="1"/>
  <c r="D24"/>
  <c r="C24"/>
  <c r="E38"/>
  <c r="F38"/>
  <c r="S16" i="63"/>
  <c r="D10" i="65" s="1"/>
  <c r="C10"/>
  <c r="T25" i="66"/>
  <c r="S25"/>
</calcChain>
</file>

<file path=xl/comments1.xml><?xml version="1.0" encoding="utf-8"?>
<comments xmlns="http://schemas.openxmlformats.org/spreadsheetml/2006/main">
  <authors>
    <author>ks-03</author>
    <author>大阪市契約管財局</author>
  </authors>
  <commentList>
    <comment ref="L12" authorId="0">
      <text>
        <r>
          <rPr>
            <b/>
            <sz val="9"/>
            <color indexed="81"/>
            <rFont val="ＭＳ Ｐゴシック"/>
            <family val="3"/>
            <charset val="128"/>
          </rPr>
          <t>各項目に対応した概要コメントを入力する</t>
        </r>
      </text>
    </comment>
    <comment ref="I14" authorId="1">
      <text>
        <r>
          <rPr>
            <b/>
            <sz val="9"/>
            <color indexed="81"/>
            <rFont val="ＭＳ Ｐゴシック"/>
            <family val="3"/>
            <charset val="128"/>
          </rPr>
          <t>CO2削減について配慮した環境性能について記載する</t>
        </r>
      </text>
    </comment>
    <comment ref="M19" authorId="0">
      <text>
        <r>
          <rPr>
            <b/>
            <sz val="9"/>
            <color indexed="81"/>
            <rFont val="ＭＳ Ｐゴシック"/>
            <family val="3"/>
            <charset val="128"/>
          </rPr>
          <t>各項目に対応した概要コメントを記入する。</t>
        </r>
      </text>
    </comment>
    <comment ref="I26" authorId="1">
      <text>
        <r>
          <rPr>
            <b/>
            <sz val="9"/>
            <color indexed="81"/>
            <rFont val="ＭＳ Ｐゴシック"/>
            <family val="3"/>
            <charset val="128"/>
          </rPr>
          <t>省エネ対策に配慮した環境性能について記載する</t>
        </r>
        <r>
          <rPr>
            <sz val="9"/>
            <color indexed="81"/>
            <rFont val="ＭＳ Ｐゴシック"/>
            <family val="3"/>
            <charset val="128"/>
          </rPr>
          <t xml:space="preserve">
</t>
        </r>
      </text>
    </comment>
    <comment ref="L31" authorId="0">
      <text>
        <r>
          <rPr>
            <b/>
            <sz val="9"/>
            <color indexed="81"/>
            <rFont val="ＭＳ Ｐゴシック"/>
            <family val="3"/>
            <charset val="128"/>
          </rPr>
          <t>各項目に対応した
概要コメントを記入する</t>
        </r>
      </text>
    </comment>
    <comment ref="I35" authorId="1">
      <text>
        <r>
          <rPr>
            <b/>
            <sz val="9"/>
            <color indexed="81"/>
            <rFont val="ＭＳ Ｐゴシック"/>
            <family val="3"/>
            <charset val="128"/>
          </rPr>
          <t>温暖化対策に配慮した環境性能について記載する</t>
        </r>
      </text>
    </comment>
  </commentList>
</comments>
</file>

<file path=xl/comments2.xml><?xml version="1.0" encoding="utf-8"?>
<comments xmlns="http://schemas.openxmlformats.org/spreadsheetml/2006/main">
  <authors>
    <author xml:space="preserve">日建設計 </author>
    <author>Junko ENDO</author>
    <author>香山 良樹</author>
    <author>ks-03</author>
  </authors>
  <commentList>
    <comment ref="C15" authorId="0">
      <text>
        <r>
          <rPr>
            <sz val="9"/>
            <color indexed="81"/>
            <rFont val="ＭＳ Ｐゴシック"/>
            <family val="3"/>
            <charset val="128"/>
          </rPr>
          <t>2003/6等と入力して下さい。
2003年6月と表示されます。</t>
        </r>
      </text>
    </comment>
    <comment ref="H15" authorId="0">
      <text>
        <r>
          <rPr>
            <sz val="9"/>
            <color indexed="81"/>
            <rFont val="ＭＳ Ｐゴシック"/>
            <family val="3"/>
            <charset val="128"/>
          </rPr>
          <t>2003/6等と入力して下さい。
2003年6月と表示されます。</t>
        </r>
      </text>
    </comment>
    <comment ref="C39" authorId="0">
      <text>
        <r>
          <rPr>
            <sz val="9"/>
            <color indexed="81"/>
            <rFont val="ＭＳ Ｐゴシック"/>
            <family val="3"/>
            <charset val="128"/>
          </rPr>
          <t>2003/6等と入力して下さい。
2003年6月と表示されます。</t>
        </r>
      </text>
    </comment>
    <comment ref="H39" authorId="0">
      <text>
        <r>
          <rPr>
            <sz val="9"/>
            <color indexed="81"/>
            <rFont val="ＭＳ Ｐゴシック"/>
            <family val="3"/>
            <charset val="128"/>
          </rPr>
          <t>2003/6等と入力して下さい。
2003年6月と表示されます。</t>
        </r>
      </text>
    </comment>
    <comment ref="B41" authorId="1">
      <text>
        <r>
          <rPr>
            <sz val="9"/>
            <color indexed="81"/>
            <rFont val="ＭＳ Ｐゴシック"/>
            <family val="3"/>
            <charset val="128"/>
          </rPr>
          <t>第３者による評価結果の確認
などを行っている場合は記述
する。</t>
        </r>
      </text>
    </comment>
    <comment ref="C41" authorId="0">
      <text>
        <r>
          <rPr>
            <sz val="9"/>
            <color indexed="81"/>
            <rFont val="ＭＳ Ｐゴシック"/>
            <family val="3"/>
            <charset val="128"/>
          </rPr>
          <t>2003/6等と入力して下さい。
2003年6月と表示されます。</t>
        </r>
      </text>
    </comment>
    <comment ref="H41" authorId="0">
      <text>
        <r>
          <rPr>
            <sz val="9"/>
            <color indexed="81"/>
            <rFont val="ＭＳ Ｐゴシック"/>
            <family val="3"/>
            <charset val="128"/>
          </rPr>
          <t>2003/6等と入力して下さい。
2003年6月と表示されます。</t>
        </r>
      </text>
    </comment>
    <comment ref="I43" authorId="2">
      <text>
        <r>
          <rPr>
            <sz val="9"/>
            <color indexed="81"/>
            <rFont val="ＭＳ Ｐゴシック"/>
            <family val="3"/>
            <charset val="128"/>
          </rPr>
          <t xml:space="preserve">数値のみを入力
</t>
        </r>
      </text>
    </comment>
    <comment ref="J43" authorId="2">
      <text>
        <r>
          <rPr>
            <sz val="9"/>
            <color indexed="81"/>
            <rFont val="ＭＳ Ｐゴシック"/>
            <family val="3"/>
            <charset val="128"/>
          </rPr>
          <t>数値のみを入力</t>
        </r>
      </text>
    </comment>
    <comment ref="C45" authorId="3">
      <text>
        <r>
          <rPr>
            <b/>
            <sz val="9"/>
            <color indexed="81"/>
            <rFont val="ＭＳ Ｐゴシック"/>
            <family val="3"/>
            <charset val="128"/>
          </rPr>
          <t>改修後の建築主を記入</t>
        </r>
      </text>
    </comment>
    <comment ref="C46" authorId="3">
      <text>
        <r>
          <rPr>
            <b/>
            <sz val="9"/>
            <color indexed="81"/>
            <rFont val="ＭＳ Ｐゴシック"/>
            <family val="3"/>
            <charset val="128"/>
          </rPr>
          <t>改修後の建築主の住所を記入</t>
        </r>
      </text>
    </comment>
    <comment ref="C47" authorId="3">
      <text>
        <r>
          <rPr>
            <b/>
            <sz val="9"/>
            <color indexed="81"/>
            <rFont val="ＭＳ Ｐゴシック"/>
            <family val="3"/>
            <charset val="128"/>
          </rPr>
          <t>改修後の設計者を記入</t>
        </r>
      </text>
    </comment>
    <comment ref="C48" authorId="3">
      <text>
        <r>
          <rPr>
            <b/>
            <sz val="9"/>
            <color indexed="81"/>
            <rFont val="ＭＳ Ｐゴシック"/>
            <family val="3"/>
            <charset val="128"/>
          </rPr>
          <t>改修後の設計者の住所を記入</t>
        </r>
      </text>
    </comment>
    <comment ref="E73" authorId="0">
      <text>
        <r>
          <rPr>
            <sz val="9"/>
            <color indexed="81"/>
            <rFont val="ＭＳ Ｐゴシック"/>
            <family val="3"/>
            <charset val="128"/>
          </rPr>
          <t>小数値(「0.9」など)で
比率を入力して下さい。</t>
        </r>
      </text>
    </comment>
    <comment ref="J73" authorId="0">
      <text>
        <r>
          <rPr>
            <sz val="9"/>
            <color indexed="81"/>
            <rFont val="ＭＳ Ｐゴシック"/>
            <family val="3"/>
            <charset val="128"/>
          </rPr>
          <t>小数値(「0.9」など)で
比率を入力して下さい。</t>
        </r>
      </text>
    </comment>
    <comment ref="E74" authorId="0">
      <text>
        <r>
          <rPr>
            <sz val="9"/>
            <color indexed="81"/>
            <rFont val="ＭＳ Ｐゴシック"/>
            <family val="3"/>
            <charset val="128"/>
          </rPr>
          <t>小数値(「0.9」など)で
比率を入力して下さい。</t>
        </r>
      </text>
    </comment>
    <comment ref="J74" authorId="0">
      <text>
        <r>
          <rPr>
            <sz val="9"/>
            <color indexed="81"/>
            <rFont val="ＭＳ Ｐゴシック"/>
            <family val="3"/>
            <charset val="128"/>
          </rPr>
          <t>小数値(「0.9」など)で
比率を入力して下さい。</t>
        </r>
      </text>
    </comment>
  </commentList>
</comments>
</file>

<file path=xl/comments3.xml><?xml version="1.0" encoding="utf-8"?>
<comments xmlns="http://schemas.openxmlformats.org/spreadsheetml/2006/main">
  <authors>
    <author>-</author>
  </authors>
  <commentList>
    <comment ref="H80" authorId="0">
      <text>
        <r>
          <rPr>
            <b/>
            <sz val="9"/>
            <color indexed="81"/>
            <rFont val="ＭＳ Ｐゴシック"/>
            <family val="3"/>
            <charset val="128"/>
          </rPr>
          <t>合計が１になるよう、住戸の大きさ各区分の面積比率を入力します。</t>
        </r>
      </text>
    </comment>
    <comment ref="L124" authorId="0">
      <text>
        <r>
          <rPr>
            <b/>
            <sz val="9"/>
            <color indexed="81"/>
            <rFont val="ＭＳ Ｐゴシック"/>
            <family val="3"/>
            <charset val="128"/>
          </rPr>
          <t>年間の直接利用量（㎡あたり）を入力します</t>
        </r>
      </text>
    </comment>
  </commentList>
</comments>
</file>

<file path=xl/comments4.xml><?xml version="1.0" encoding="utf-8"?>
<comments xmlns="http://schemas.openxmlformats.org/spreadsheetml/2006/main">
  <authors>
    <author>-</author>
  </authors>
  <commentList>
    <comment ref="H80" authorId="0">
      <text>
        <r>
          <rPr>
            <b/>
            <sz val="9"/>
            <color indexed="81"/>
            <rFont val="ＭＳ Ｐゴシック"/>
            <family val="3"/>
            <charset val="128"/>
          </rPr>
          <t>合計が１になるよう、住戸の大きさ各区分の面積比率を入力します。</t>
        </r>
      </text>
    </comment>
    <comment ref="L124" authorId="0">
      <text>
        <r>
          <rPr>
            <b/>
            <sz val="9"/>
            <color indexed="81"/>
            <rFont val="ＭＳ Ｐゴシック"/>
            <family val="3"/>
            <charset val="128"/>
          </rPr>
          <t>年間の直接利用量（㎡あたり）を入力します</t>
        </r>
      </text>
    </comment>
  </commentList>
</comments>
</file>

<file path=xl/comments5.xml><?xml version="1.0" encoding="utf-8"?>
<comments xmlns="http://schemas.openxmlformats.org/spreadsheetml/2006/main">
  <authors>
    <author>-</author>
  </authors>
  <commentList>
    <comment ref="H80" authorId="0">
      <text>
        <r>
          <rPr>
            <b/>
            <sz val="9"/>
            <color indexed="81"/>
            <rFont val="ＭＳ Ｐゴシック"/>
            <family val="3"/>
            <charset val="128"/>
          </rPr>
          <t>合計が１になるよう、住戸の大きさ各区分の面積比率を入力します。</t>
        </r>
      </text>
    </comment>
    <comment ref="L124" authorId="0">
      <text>
        <r>
          <rPr>
            <b/>
            <sz val="9"/>
            <color indexed="81"/>
            <rFont val="ＭＳ Ｐゴシック"/>
            <family val="3"/>
            <charset val="128"/>
          </rPr>
          <t>年間の直接利用量（㎡あたり）を入力します</t>
        </r>
      </text>
    </comment>
  </commentList>
</comments>
</file>

<file path=xl/comments6.xml><?xml version="1.0" encoding="utf-8"?>
<comments xmlns="http://schemas.openxmlformats.org/spreadsheetml/2006/main">
  <authors>
    <author>共通</author>
    <author>Junko ENDO</author>
    <author xml:space="preserve"> </author>
  </authors>
  <commentList>
    <comment ref="M6" authorId="0">
      <text>
        <r>
          <rPr>
            <sz val="11"/>
            <color indexed="81"/>
            <rFont val="ＭＳ Ｐゴシック"/>
            <family val="3"/>
            <charset val="128"/>
          </rPr>
          <t>改修前の建物の評価を入力
（改修工事の対象部分、改修しない部分とも）。
改修前後の比較をする場合のみ記入。</t>
        </r>
      </text>
    </comment>
    <comment ref="T6" authorId="0">
      <text>
        <r>
          <rPr>
            <sz val="11"/>
            <color indexed="81"/>
            <rFont val="ＭＳ Ｐゴシック"/>
            <family val="3"/>
            <charset val="128"/>
          </rPr>
          <t>改修前の建物の評価を入力
（改修工事の対象部分、改修しない部分とも）。
改修前後の比較をする場合のみ記入。</t>
        </r>
      </text>
    </comment>
    <comment ref="P32" authorId="1">
      <text>
        <r>
          <rPr>
            <b/>
            <sz val="10"/>
            <color indexed="81"/>
            <rFont val="ＭＳ Ｐゴシック"/>
            <family val="3"/>
            <charset val="128"/>
          </rPr>
          <t>NCで評価するときは、
2.3.1 と 2.3.2 に
同じスコアを入力</t>
        </r>
      </text>
    </comment>
    <comment ref="W32" authorId="2">
      <text>
        <r>
          <rPr>
            <b/>
            <sz val="9"/>
            <color indexed="81"/>
            <rFont val="ＭＳ Ｐゴシック"/>
            <family val="3"/>
            <charset val="128"/>
          </rPr>
          <t>NCで評価するときは、
2.3.1 と 2.3.2 に
同じスコアを入力</t>
        </r>
      </text>
    </comment>
  </commentList>
</comments>
</file>

<file path=xl/comments7.xml><?xml version="1.0" encoding="utf-8"?>
<comments xmlns="http://schemas.openxmlformats.org/spreadsheetml/2006/main">
  <authors>
    <author>-</author>
    <author>Junko ENDO</author>
    <author>柳井　崇</author>
  </authors>
  <commentList>
    <comment ref="J8" authorId="0">
      <text>
        <r>
          <rPr>
            <b/>
            <sz val="9"/>
            <color indexed="81"/>
            <rFont val="ＭＳ Ｐゴシック"/>
            <family val="3"/>
            <charset val="128"/>
          </rPr>
          <t>以下のいずれかで算定
ア）330MJ/年×工場部分の床面積
イ）評価者による計算
ウ）実測値</t>
        </r>
      </text>
    </comment>
    <comment ref="I14" authorId="0">
      <text>
        <r>
          <rPr>
            <b/>
            <sz val="9"/>
            <color indexed="81"/>
            <rFont val="ＭＳ Ｐゴシック"/>
            <family val="3"/>
            <charset val="128"/>
          </rPr>
          <t>80％以上の場合、実績評価は対象外とする。</t>
        </r>
      </text>
    </comment>
    <comment ref="I15" authorId="0">
      <text>
        <r>
          <rPr>
            <b/>
            <sz val="9"/>
            <color indexed="81"/>
            <rFont val="ＭＳ Ｐゴシック"/>
            <family val="3"/>
            <charset val="128"/>
          </rPr>
          <t>各々20%以下であれば除外してよい。</t>
        </r>
      </text>
    </comment>
    <comment ref="H24" authorId="1">
      <text>
        <r>
          <rPr>
            <b/>
            <sz val="10"/>
            <color indexed="81"/>
            <rFont val="ＭＳ Ｐゴシック"/>
            <family val="3"/>
            <charset val="128"/>
          </rPr>
          <t>小数値（「0.9」など）で</t>
        </r>
        <r>
          <rPr>
            <b/>
            <sz val="10"/>
            <color indexed="10"/>
            <rFont val="ＭＳ Ｐゴシック"/>
            <family val="3"/>
            <charset val="128"/>
          </rPr>
          <t>比率を入力</t>
        </r>
        <r>
          <rPr>
            <b/>
            <sz val="10"/>
            <color indexed="81"/>
            <rFont val="ＭＳ Ｐゴシック"/>
            <family val="3"/>
            <charset val="128"/>
          </rPr>
          <t>します。メインシートの用途別面積を参考に、使用実態に合わせて入力してください。
（省エネ法の区分とはリンクしない）</t>
        </r>
      </text>
    </comment>
    <comment ref="H44" authorId="0">
      <text>
        <r>
          <rPr>
            <b/>
            <sz val="9"/>
            <color indexed="81"/>
            <rFont val="ＭＳ Ｐゴシック"/>
            <family val="3"/>
            <charset val="128"/>
          </rPr>
          <t>合計が1.0になるように比率を入力</t>
        </r>
      </text>
    </comment>
    <comment ref="I48" authorId="2">
      <text>
        <r>
          <rPr>
            <b/>
            <sz val="9"/>
            <color indexed="81"/>
            <rFont val="ＭＳ Ｐゴシック"/>
            <family val="3"/>
            <charset val="128"/>
          </rPr>
          <t>工場、集合住宅は除く</t>
        </r>
      </text>
    </comment>
  </commentList>
</comments>
</file>

<file path=xl/comments8.xml><?xml version="1.0" encoding="utf-8"?>
<comments xmlns="http://schemas.openxmlformats.org/spreadsheetml/2006/main">
  <authors>
    <author xml:space="preserve"> </author>
  </authors>
  <commentList>
    <comment ref="D48" authorId="0">
      <text>
        <r>
          <rPr>
            <sz val="9"/>
            <color indexed="81"/>
            <rFont val="ＭＳ Ｐゴシック"/>
            <family val="3"/>
            <charset val="128"/>
          </rPr>
          <t>下表＜参考＞　[1]の数値を利用できる。</t>
        </r>
      </text>
    </comment>
    <comment ref="D56" authorId="0">
      <text>
        <r>
          <rPr>
            <sz val="9"/>
            <color indexed="81"/>
            <rFont val="ＭＳ Ｐゴシック"/>
            <family val="3"/>
            <charset val="128"/>
          </rPr>
          <t>下表＜参考＞　[2]の数値を利用できる。</t>
        </r>
      </text>
    </comment>
  </commentList>
</comments>
</file>

<file path=xl/comments9.xml><?xml version="1.0" encoding="utf-8"?>
<comments xmlns="http://schemas.openxmlformats.org/spreadsheetml/2006/main">
  <authors>
    <author xml:space="preserve"> </author>
  </authors>
  <commentList>
    <comment ref="D48" authorId="0">
      <text>
        <r>
          <rPr>
            <sz val="9"/>
            <color indexed="81"/>
            <rFont val="ＭＳ Ｐゴシック"/>
            <family val="3"/>
            <charset val="128"/>
          </rPr>
          <t>下表＜参考＞　[1]の数値を利用できる。</t>
        </r>
      </text>
    </comment>
    <comment ref="D56" author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<sst xmlns="http://schemas.openxmlformats.org/spreadsheetml/2006/main" count="8147" uniqueCount="2068">
  <si>
    <t>非再生性材料の削減</t>
    <rPh sb="0" eb="1">
      <t>ヒ</t>
    </rPh>
    <rPh sb="1" eb="3">
      <t>サイセイ</t>
    </rPh>
    <rPh sb="3" eb="4">
      <t>セイ</t>
    </rPh>
    <rPh sb="4" eb="6">
      <t>ザイリョウ</t>
    </rPh>
    <rPh sb="7" eb="9">
      <t>サクゲン</t>
    </rPh>
    <phoneticPr fontId="20"/>
  </si>
  <si>
    <t>地域環境への配慮</t>
    <rPh sb="0" eb="2">
      <t>チイキ</t>
    </rPh>
    <rPh sb="2" eb="4">
      <t>カンキョウ</t>
    </rPh>
    <rPh sb="6" eb="8">
      <t>ハイリョ</t>
    </rPh>
    <phoneticPr fontId="20"/>
  </si>
  <si>
    <t>設備の効率的利用</t>
    <rPh sb="0" eb="2">
      <t>セツビ</t>
    </rPh>
    <rPh sb="3" eb="5">
      <t>コウリツ</t>
    </rPh>
    <rPh sb="5" eb="6">
      <t>テキ</t>
    </rPh>
    <rPh sb="6" eb="8">
      <t>リヨウ</t>
    </rPh>
    <phoneticPr fontId="20"/>
  </si>
  <si>
    <t>汚染物質回避</t>
    <rPh sb="0" eb="2">
      <t>オセン</t>
    </rPh>
    <rPh sb="2" eb="4">
      <t>ブッシツ</t>
    </rPh>
    <rPh sb="4" eb="6">
      <t>カイヒ</t>
    </rPh>
    <phoneticPr fontId="20"/>
  </si>
  <si>
    <t>周辺環境への配慮</t>
    <rPh sb="0" eb="2">
      <t>シュウヘン</t>
    </rPh>
    <rPh sb="2" eb="4">
      <t>カンキョウ</t>
    </rPh>
    <rPh sb="6" eb="8">
      <t>ハイリョ</t>
    </rPh>
    <phoneticPr fontId="20"/>
  </si>
  <si>
    <t>運用ﾏﾈｼﾞﾒﾝﾄ</t>
    <rPh sb="0" eb="2">
      <t>ウンヨウ</t>
    </rPh>
    <phoneticPr fontId="20"/>
  </si>
  <si>
    <r>
      <t>3</t>
    </r>
    <r>
      <rPr>
        <b/>
        <sz val="12"/>
        <color indexed="9"/>
        <rFont val="ＭＳ Ｐゴシック"/>
        <family val="3"/>
        <charset val="128"/>
      </rPr>
      <t>　設計上の配慮事項</t>
    </r>
    <rPh sb="2" eb="4">
      <t>セッケイ</t>
    </rPh>
    <rPh sb="4" eb="5">
      <t>ジョウ</t>
    </rPh>
    <rPh sb="6" eb="8">
      <t>ハイリョ</t>
    </rPh>
    <rPh sb="8" eb="10">
      <t>ジコウ</t>
    </rPh>
    <phoneticPr fontId="20"/>
  </si>
  <si>
    <t>総合</t>
    <rPh sb="0" eb="2">
      <t>ｿｳｺﾞｳ</t>
    </rPh>
    <phoneticPr fontId="30" type="noConversion"/>
  </si>
  <si>
    <t>その他</t>
    <rPh sb="2" eb="3">
      <t>ﾀ</t>
    </rPh>
    <phoneticPr fontId="30"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</si>
  <si>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0" type="noConversion"/>
  </si>
  <si>
    <t>注3</t>
    <rPh sb="0" eb="1">
      <t>チュウ</t>
    </rPh>
    <phoneticPr fontId="20"/>
  </si>
  <si>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0" type="noConversion"/>
  </si>
  <si>
    <t>年間延床面積あたり指標</t>
    <rPh sb="0" eb="2">
      <t>ネンカン</t>
    </rPh>
    <rPh sb="2" eb="3">
      <t>ノ</t>
    </rPh>
    <rPh sb="3" eb="6">
      <t>ユカメンセキ</t>
    </rPh>
    <rPh sb="9" eb="11">
      <t>シヒョウ</t>
    </rPh>
    <phoneticPr fontId="20"/>
  </si>
  <si>
    <t>人・時間あたり指標</t>
    <rPh sb="0" eb="1">
      <t>ニン</t>
    </rPh>
    <rPh sb="2" eb="4">
      <t>ジカン</t>
    </rPh>
    <rPh sb="7" eb="9">
      <t>シヒョウ</t>
    </rPh>
    <phoneticPr fontId="20"/>
  </si>
  <si>
    <t>年間延床面積あたり削減量</t>
    <rPh sb="0" eb="2">
      <t>ネンカン</t>
    </rPh>
    <rPh sb="2" eb="3">
      <t>ノ</t>
    </rPh>
    <rPh sb="3" eb="6">
      <t>ユカメンセキ</t>
    </rPh>
    <rPh sb="9" eb="11">
      <t>サクゲン</t>
    </rPh>
    <rPh sb="11" eb="12">
      <t>リョウ</t>
    </rPh>
    <phoneticPr fontId="20"/>
  </si>
  <si>
    <t>削減率　％</t>
    <rPh sb="0" eb="2">
      <t>サクゲン</t>
    </rPh>
    <rPh sb="2" eb="3">
      <t>リツ</t>
    </rPh>
    <phoneticPr fontId="20"/>
  </si>
  <si>
    <t>運用エネルギー消費量</t>
    <rPh sb="0" eb="2">
      <t>ｳﾝﾖｳ</t>
    </rPh>
    <rPh sb="7" eb="10">
      <t>ｼｮｳﾋﾘｮｳ</t>
    </rPh>
    <phoneticPr fontId="30" type="noConversion"/>
  </si>
  <si>
    <r>
      <t>ＭＪ</t>
    </r>
    <r>
      <rPr>
        <sz val="10"/>
        <rFont val="Arial"/>
        <family val="2"/>
      </rPr>
      <t>/</t>
    </r>
    <r>
      <rPr>
        <sz val="10"/>
        <rFont val="ＭＳ Ｐゴシック"/>
        <family val="3"/>
        <charset val="128"/>
      </rPr>
      <t>年㎡</t>
    </r>
    <rPh sb="3" eb="4">
      <t>ネン</t>
    </rPh>
    <phoneticPr fontId="20"/>
  </si>
  <si>
    <r>
      <t>ＭＪ</t>
    </r>
    <r>
      <rPr>
        <sz val="10"/>
        <rFont val="Arial"/>
        <family val="2"/>
      </rPr>
      <t>/</t>
    </r>
    <r>
      <rPr>
        <sz val="10"/>
        <rFont val="ＭＳ Ｐゴシック"/>
        <family val="3"/>
        <charset val="128"/>
      </rPr>
      <t>人時</t>
    </r>
    <rPh sb="3" eb="4">
      <t>ニン</t>
    </rPh>
    <rPh sb="4" eb="5">
      <t>ジ</t>
    </rPh>
    <phoneticPr fontId="20"/>
  </si>
  <si>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0"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</si>
  <si>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0"/>
  </si>
  <si>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0"/>
  </si>
  <si>
    <t>水消費量</t>
    <rPh sb="0" eb="1">
      <t>ﾐｽﾞ</t>
    </rPh>
    <rPh sb="1" eb="4">
      <t>ｼｮｳﾋﾘｮｳ</t>
    </rPh>
    <phoneticPr fontId="30"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</si>
  <si>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0"/>
  </si>
  <si>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0"/>
  </si>
  <si>
    <r>
      <t>LCCO</t>
    </r>
    <r>
      <rPr>
        <vertAlign val="subscript"/>
        <sz val="10"/>
        <rFont val="Arial"/>
        <family val="2"/>
      </rPr>
      <t>2</t>
    </r>
    <r>
      <rPr>
        <sz val="10"/>
        <rFont val="ＭＳ Ｐゴシック"/>
        <family val="3"/>
        <charset val="128"/>
      </rPr>
      <t>排出量</t>
    </r>
    <rPh sb="5" eb="7">
      <t>ハイシュツ</t>
    </rPh>
    <rPh sb="7" eb="8">
      <t>リョウ</t>
    </rPh>
    <phoneticPr fontId="20"/>
  </si>
  <si>
    <r>
      <t>LC</t>
    </r>
    <r>
      <rPr>
        <sz val="10"/>
        <rFont val="ＭＳ Ｐゴシック"/>
        <family val="3"/>
        <charset val="128"/>
      </rPr>
      <t>廃棄物量</t>
    </r>
    <rPh sb="2" eb="5">
      <t>ハイキブツ</t>
    </rPh>
    <rPh sb="5" eb="6">
      <t>リョウ</t>
    </rPh>
    <phoneticPr fontId="20"/>
  </si>
  <si>
    <r>
      <t>ｔ</t>
    </r>
    <r>
      <rPr>
        <sz val="10"/>
        <rFont val="Arial"/>
        <family val="2"/>
      </rPr>
      <t>/</t>
    </r>
    <r>
      <rPr>
        <sz val="10"/>
        <rFont val="ＭＳ Ｐゴシック"/>
        <family val="3"/>
        <charset val="128"/>
      </rPr>
      <t>年㎡</t>
    </r>
    <rPh sb="2" eb="3">
      <t>ネン</t>
    </rPh>
    <phoneticPr fontId="20"/>
  </si>
  <si>
    <r>
      <t>ｔ</t>
    </r>
    <r>
      <rPr>
        <sz val="10"/>
        <rFont val="Arial"/>
        <family val="2"/>
      </rPr>
      <t>/</t>
    </r>
    <r>
      <rPr>
        <sz val="10"/>
        <rFont val="ＭＳ Ｐゴシック"/>
        <family val="3"/>
        <charset val="128"/>
      </rPr>
      <t>人時</t>
    </r>
    <rPh sb="2" eb="3">
      <t>ニン</t>
    </rPh>
    <rPh sb="3" eb="4">
      <t>ジ</t>
    </rPh>
    <phoneticPr fontId="20"/>
  </si>
  <si>
    <r>
      <t>LC</t>
    </r>
    <r>
      <rPr>
        <sz val="10"/>
        <rFont val="ＭＳ Ｐゴシック"/>
        <family val="3"/>
        <charset val="128"/>
      </rPr>
      <t>資源消費量</t>
    </r>
    <rPh sb="2" eb="4">
      <t>シゲン</t>
    </rPh>
    <rPh sb="4" eb="6">
      <t>ショウヒ</t>
    </rPh>
    <rPh sb="6" eb="7">
      <t>リョウ</t>
    </rPh>
    <phoneticPr fontId="20"/>
  </si>
  <si>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0" type="noConversion"/>
  </si>
  <si>
    <t>設計段階</t>
    <rPh sb="0" eb="2">
      <t>ｾｯｹｲ</t>
    </rPh>
    <rPh sb="2" eb="4">
      <t>ﾀﾞﾝｶｲ</t>
    </rPh>
    <phoneticPr fontId="30" type="noConversion"/>
  </si>
  <si>
    <t>建設段階</t>
    <rPh sb="0" eb="2">
      <t>ｹﾝｾﾂ</t>
    </rPh>
    <rPh sb="2" eb="4">
      <t>ﾀﾞﾝｶｲ</t>
    </rPh>
    <phoneticPr fontId="30" type="noConversion"/>
  </si>
  <si>
    <t>有資格者による設計</t>
    <rPh sb="0" eb="4">
      <t>ﾕｳｼｶｸｼｬ</t>
    </rPh>
    <rPh sb="7" eb="9">
      <t>ｾｯｹｲ</t>
    </rPh>
    <phoneticPr fontId="30" type="noConversion"/>
  </si>
  <si>
    <t>環境管理計画</t>
    <rPh sb="0" eb="2">
      <t>ｶﾝｷｮｳ</t>
    </rPh>
    <rPh sb="2" eb="4">
      <t>ｶﾝﾘ</t>
    </rPh>
    <rPh sb="4" eb="6">
      <t>ｹｲｶｸ</t>
    </rPh>
    <phoneticPr fontId="30" type="noConversion"/>
  </si>
  <si>
    <r>
      <t>凡例　　　　　</t>
    </r>
    <r>
      <rPr>
        <sz val="8"/>
        <color indexed="10"/>
        <rFont val="Arial"/>
        <family val="2"/>
      </rPr>
      <t>Q</t>
    </r>
    <r>
      <rPr>
        <sz val="8"/>
        <color indexed="10"/>
        <rFont val="ＭＳ Ｐゴシック"/>
        <family val="3"/>
        <charset val="128"/>
      </rPr>
      <t>：</t>
    </r>
    <rPh sb="0" eb="2">
      <t>ハンレイ</t>
    </rPh>
    <phoneticPr fontId="20"/>
  </si>
  <si>
    <t>備考　　　　注1：</t>
    <rPh sb="6" eb="7">
      <t>チュウ</t>
    </rPh>
    <phoneticPr fontId="20"/>
  </si>
  <si>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0"/>
  </si>
  <si>
    <t>注2：</t>
    <rPh sb="0" eb="1">
      <t>チュウ</t>
    </rPh>
    <phoneticPr fontId="20"/>
  </si>
  <si>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0"/>
  </si>
  <si>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0"/>
  </si>
  <si>
    <t>注3：</t>
    <rPh sb="0" eb="1">
      <t>チュウ</t>
    </rPh>
    <phoneticPr fontId="20"/>
  </si>
  <si>
    <t>(blank star)</t>
    <phoneticPr fontId="20"/>
  </si>
  <si>
    <r>
      <t>Q</t>
    </r>
    <r>
      <rPr>
        <b/>
        <i/>
        <sz val="14"/>
        <color indexed="9"/>
        <rFont val="ＭＳ Ｐゴシック"/>
        <family val="3"/>
        <charset val="128"/>
      </rPr>
      <t>のスコア</t>
    </r>
    <r>
      <rPr>
        <b/>
        <i/>
        <sz val="14"/>
        <color indexed="9"/>
        <rFont val="Arial"/>
        <family val="2"/>
      </rPr>
      <t>=</t>
    </r>
    <phoneticPr fontId="20"/>
  </si>
  <si>
    <t>Score</t>
    <phoneticPr fontId="20"/>
  </si>
  <si>
    <t>before</t>
    <phoneticPr fontId="20"/>
  </si>
  <si>
    <t>Score(RoundDown)</t>
    <phoneticPr fontId="20"/>
  </si>
  <si>
    <t>改修の概要</t>
    <rPh sb="0" eb="2">
      <t>カイシュウ</t>
    </rPh>
    <rPh sb="3" eb="5">
      <t>ガイヨウ</t>
    </rPh>
    <phoneticPr fontId="20"/>
  </si>
  <si>
    <t>建築面積</t>
  </si>
  <si>
    <t>延床面積</t>
  </si>
  <si>
    <t>改修対象項目</t>
    <rPh sb="0" eb="2">
      <t>カイシュウ</t>
    </rPh>
    <rPh sb="2" eb="4">
      <t>タイショウ</t>
    </rPh>
    <rPh sb="4" eb="6">
      <t>コウモク</t>
    </rPh>
    <phoneticPr fontId="20"/>
  </si>
  <si>
    <t>構造</t>
  </si>
  <si>
    <t>befoer</t>
  </si>
  <si>
    <t>after</t>
  </si>
  <si>
    <t>Score(RoundDown)</t>
  </si>
  <si>
    <t>Score</t>
  </si>
  <si>
    <t>Q-2 サービス性能</t>
  </si>
  <si>
    <t>NA</t>
  </si>
  <si>
    <t>まちなみ景観</t>
  </si>
  <si>
    <t>LR-1 エネルギー</t>
  </si>
  <si>
    <r>
      <t>4  BEE</t>
    </r>
    <r>
      <rPr>
        <b/>
        <vertAlign val="subscript"/>
        <sz val="12"/>
        <color indexed="9"/>
        <rFont val="Arial"/>
        <family val="2"/>
      </rPr>
      <t>ES</t>
    </r>
    <r>
      <rPr>
        <b/>
        <sz val="12"/>
        <color indexed="9"/>
        <rFont val="ＭＳ Ｐゴシック"/>
        <family val="3"/>
        <charset val="128"/>
      </rPr>
      <t>　による省エネルギー改修評価</t>
    </r>
    <rPh sb="12" eb="13">
      <t>ｼｮｳ</t>
    </rPh>
    <rPh sb="18" eb="20">
      <t>ｶｲｼｭｳ</t>
    </rPh>
    <rPh sb="20" eb="22">
      <t>ﾋｮｳｶ</t>
    </rPh>
    <phoneticPr fontId="30" type="noConversion"/>
  </si>
  <si>
    <r>
      <t>改修前 BEE</t>
    </r>
    <r>
      <rPr>
        <vertAlign val="subscript"/>
        <sz val="12"/>
        <rFont val="ＭＳ Ｐゴシック"/>
        <family val="3"/>
        <charset val="128"/>
      </rPr>
      <t>ES</t>
    </r>
    <rPh sb="0" eb="2">
      <t>カイシュウ</t>
    </rPh>
    <rPh sb="2" eb="3">
      <t>マエ</t>
    </rPh>
    <phoneticPr fontId="20"/>
  </si>
  <si>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0"/>
  </si>
  <si>
    <t>項目</t>
    <rPh sb="0" eb="2">
      <t>コウモク</t>
    </rPh>
    <phoneticPr fontId="20"/>
  </si>
  <si>
    <t>参照値（参照建物）</t>
    <rPh sb="0" eb="2">
      <t>サンショウ</t>
    </rPh>
    <rPh sb="2" eb="3">
      <t>チ</t>
    </rPh>
    <rPh sb="4" eb="6">
      <t>サンショウ</t>
    </rPh>
    <rPh sb="6" eb="8">
      <t>タテモノ</t>
    </rPh>
    <phoneticPr fontId="20"/>
  </si>
  <si>
    <t>評価対象</t>
    <rPh sb="0" eb="2">
      <t>ヒョウカ</t>
    </rPh>
    <rPh sb="2" eb="4">
      <t>タイショウ</t>
    </rPh>
    <phoneticPr fontId="20"/>
  </si>
  <si>
    <t>建物
概要</t>
    <rPh sb="0" eb="2">
      <t>タテモノ</t>
    </rPh>
    <rPh sb="3" eb="5">
      <t>ガイヨウ</t>
    </rPh>
    <phoneticPr fontId="20"/>
  </si>
  <si>
    <t>建物規模</t>
    <rPh sb="0" eb="2">
      <t>タテモノ</t>
    </rPh>
    <rPh sb="2" eb="4">
      <t>キボ</t>
    </rPh>
    <phoneticPr fontId="20"/>
  </si>
  <si>
    <t>構造種別</t>
    <rPh sb="0" eb="2">
      <t>コウゾウ</t>
    </rPh>
    <rPh sb="2" eb="4">
      <t>シュベツ</t>
    </rPh>
    <phoneticPr fontId="20"/>
  </si>
  <si>
    <t>ライフサイクル設定</t>
    <rPh sb="7" eb="9">
      <t>セッテイ</t>
    </rPh>
    <phoneticPr fontId="20"/>
  </si>
  <si>
    <t>想定耐用年数</t>
    <rPh sb="0" eb="2">
      <t>ソウテイ</t>
    </rPh>
    <rPh sb="2" eb="4">
      <t>タイヨウ</t>
    </rPh>
    <rPh sb="4" eb="6">
      <t>ネンスウ</t>
    </rPh>
    <phoneticPr fontId="20"/>
  </si>
  <si>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0"/>
  </si>
  <si>
    <r>
      <t>kg-CO</t>
    </r>
    <r>
      <rPr>
        <vertAlign val="subscript"/>
        <sz val="10"/>
        <rFont val="ＭＳ Ｐゴシック"/>
        <family val="3"/>
        <charset val="128"/>
      </rPr>
      <t>2</t>
    </r>
    <r>
      <rPr>
        <sz val="10"/>
        <rFont val="ＭＳ Ｐゴシック"/>
        <family val="3"/>
        <charset val="128"/>
      </rPr>
      <t>/年㎡</t>
    </r>
    <rPh sb="7" eb="8">
      <t>ネン</t>
    </rPh>
    <phoneticPr fontId="20"/>
  </si>
  <si>
    <t xml:space="preserve"> ④上記+
　オフサイト手法</t>
    <phoneticPr fontId="20"/>
  </si>
  <si>
    <t>建設
段階</t>
    <rPh sb="0" eb="2">
      <t>ケンセツ</t>
    </rPh>
    <rPh sb="3" eb="5">
      <t>ダンカイ</t>
    </rPh>
    <phoneticPr fontId="20"/>
  </si>
  <si>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0"/>
  </si>
  <si>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0"/>
  </si>
  <si>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0"/>
  </si>
  <si>
    <t>同左</t>
  </si>
  <si>
    <t>国内消費支出分</t>
    <rPh sb="0" eb="2">
      <t>コクナイ</t>
    </rPh>
    <rPh sb="2" eb="4">
      <t>ショウヒ</t>
    </rPh>
    <rPh sb="4" eb="6">
      <t>シシュツ</t>
    </rPh>
    <rPh sb="6" eb="7">
      <t>ブン</t>
    </rPh>
    <phoneticPr fontId="20"/>
  </si>
  <si>
    <t>代表的な資材量</t>
    <rPh sb="0" eb="3">
      <t>ダイヒョウテキ</t>
    </rPh>
    <rPh sb="4" eb="6">
      <t>シザイ</t>
    </rPh>
    <rPh sb="6" eb="7">
      <t>リョウ</t>
    </rPh>
    <phoneticPr fontId="20"/>
  </si>
  <si>
    <t>普通コンクリート</t>
    <rPh sb="0" eb="2">
      <t>フツウ</t>
    </rPh>
    <phoneticPr fontId="20"/>
  </si>
  <si>
    <r>
      <t>ｍ</t>
    </r>
    <r>
      <rPr>
        <vertAlign val="superscript"/>
        <sz val="10"/>
        <rFont val="ＭＳ Ｐゴシック"/>
        <family val="3"/>
        <charset val="128"/>
      </rPr>
      <t>3</t>
    </r>
    <r>
      <rPr>
        <sz val="10"/>
        <rFont val="ＭＳ Ｐゴシック"/>
        <family val="3"/>
        <charset val="128"/>
      </rPr>
      <t>/㎡</t>
    </r>
    <phoneticPr fontId="20"/>
  </si>
  <si>
    <t>高炉セメントコンクリート</t>
    <rPh sb="0" eb="2">
      <t>コウロ</t>
    </rPh>
    <phoneticPr fontId="20"/>
  </si>
  <si>
    <t>鉄　骨</t>
    <rPh sb="0" eb="1">
      <t>テツ</t>
    </rPh>
    <rPh sb="2" eb="3">
      <t>ホネ</t>
    </rPh>
    <phoneticPr fontId="20"/>
  </si>
  <si>
    <t>ｔ/㎡</t>
  </si>
  <si>
    <t>鉄骨 (電炉）</t>
    <rPh sb="0" eb="1">
      <t>テツ</t>
    </rPh>
    <rPh sb="1" eb="2">
      <t>ホネ</t>
    </rPh>
    <rPh sb="4" eb="6">
      <t>デンロ</t>
    </rPh>
    <phoneticPr fontId="20"/>
  </si>
  <si>
    <t>鉄　筋</t>
    <rPh sb="0" eb="1">
      <t>テツ</t>
    </rPh>
    <rPh sb="2" eb="3">
      <t>スジ</t>
    </rPh>
    <phoneticPr fontId="20"/>
  </si>
  <si>
    <t>木　材</t>
    <rPh sb="0" eb="1">
      <t>キ</t>
    </rPh>
    <rPh sb="2" eb="3">
      <t>ザイ</t>
    </rPh>
    <phoneticPr fontId="20"/>
  </si>
  <si>
    <t>□　□</t>
    <phoneticPr fontId="20"/>
  </si>
  <si>
    <t>○○</t>
    <phoneticPr fontId="20"/>
  </si>
  <si>
    <t>集合住宅の評価</t>
    <rPh sb="0" eb="2">
      <t>シュウゴウ</t>
    </rPh>
    <rPh sb="2" eb="4">
      <t>ジュウタク</t>
    </rPh>
    <rPh sb="5" eb="7">
      <t>ヒョウカ</t>
    </rPh>
    <phoneticPr fontId="20"/>
  </si>
  <si>
    <t>NC</t>
    <phoneticPr fontId="20"/>
  </si>
  <si>
    <t>〃</t>
  </si>
  <si>
    <t>kg/㎡</t>
    <phoneticPr fontId="20"/>
  </si>
  <si>
    <t>代表的な資材の環境負荷</t>
    <rPh sb="0" eb="3">
      <t>ダイヒョウテキ</t>
    </rPh>
    <rPh sb="4" eb="6">
      <t>シザイ</t>
    </rPh>
    <rPh sb="7" eb="9">
      <t>カンキョウ</t>
    </rPh>
    <rPh sb="9" eb="11">
      <t>フカ</t>
    </rPh>
    <phoneticPr fontId="20"/>
  </si>
  <si>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0"/>
  </si>
  <si>
    <r>
      <t>kg-CO</t>
    </r>
    <r>
      <rPr>
        <vertAlign val="subscript"/>
        <sz val="10"/>
        <rFont val="ＭＳ Ｐゴシック"/>
        <family val="3"/>
        <charset val="128"/>
      </rPr>
      <t>2</t>
    </r>
    <r>
      <rPr>
        <sz val="10"/>
        <rFont val="ＭＳ Ｐゴシック"/>
        <family val="3"/>
        <charset val="128"/>
      </rPr>
      <t>/ｔ</t>
    </r>
    <phoneticPr fontId="20"/>
  </si>
  <si>
    <r>
      <t>kg-CO</t>
    </r>
    <r>
      <rPr>
        <vertAlign val="subscript"/>
        <sz val="10"/>
        <rFont val="ＭＳ Ｐゴシック"/>
        <family val="3"/>
        <charset val="128"/>
      </rPr>
      <t>2</t>
    </r>
    <r>
      <rPr>
        <sz val="10"/>
        <rFont val="ＭＳ Ｐゴシック"/>
        <family val="3"/>
        <charset val="128"/>
      </rPr>
      <t>/ｔ</t>
    </r>
    <phoneticPr fontId="20"/>
  </si>
  <si>
    <t>型　枠</t>
    <rPh sb="0" eb="1">
      <t>カタ</t>
    </rPh>
    <rPh sb="2" eb="3">
      <t>ワク</t>
    </rPh>
    <phoneticPr fontId="20"/>
  </si>
  <si>
    <t>〃</t>
    <phoneticPr fontId="20"/>
  </si>
  <si>
    <r>
      <t>kg-CO</t>
    </r>
    <r>
      <rPr>
        <vertAlign val="subscript"/>
        <sz val="10"/>
        <rFont val="ＭＳ Ｐゴシック"/>
        <family val="3"/>
        <charset val="128"/>
      </rPr>
      <t>2</t>
    </r>
    <r>
      <rPr>
        <sz val="10"/>
        <rFont val="ＭＳ Ｐゴシック"/>
        <family val="3"/>
        <charset val="128"/>
      </rPr>
      <t>/kg</t>
    </r>
    <phoneticPr fontId="20"/>
  </si>
  <si>
    <t>主要なリサイクル建材と利用利率</t>
    <rPh sb="0" eb="2">
      <t>シュヨウ</t>
    </rPh>
    <rPh sb="8" eb="10">
      <t>ケンザイ</t>
    </rPh>
    <rPh sb="11" eb="13">
      <t>リヨウ</t>
    </rPh>
    <rPh sb="13" eb="15">
      <t>リリツ</t>
    </rPh>
    <phoneticPr fontId="20"/>
  </si>
  <si>
    <t>高炉セメント
（躯体での利用率）</t>
    <rPh sb="0" eb="2">
      <t>コウロ</t>
    </rPh>
    <rPh sb="8" eb="10">
      <t>クタイ</t>
    </rPh>
    <rPh sb="12" eb="14">
      <t>リヨウ</t>
    </rPh>
    <rPh sb="14" eb="15">
      <t>リツ</t>
    </rPh>
    <phoneticPr fontId="20"/>
  </si>
  <si>
    <t>既存躯体の再利用
（躯体での利用率）</t>
    <rPh sb="0" eb="2">
      <t>キソン</t>
    </rPh>
    <rPh sb="2" eb="4">
      <t>クタイ</t>
    </rPh>
    <rPh sb="5" eb="8">
      <t>サイリヨウ</t>
    </rPh>
    <rPh sb="10" eb="12">
      <t>クタイ</t>
    </rPh>
    <rPh sb="14" eb="17">
      <t>リヨウリツ</t>
    </rPh>
    <phoneticPr fontId="20"/>
  </si>
  <si>
    <t>電炉鋼材（鉄筋）</t>
    <rPh sb="0" eb="2">
      <t>デンロ</t>
    </rPh>
    <rPh sb="2" eb="4">
      <t>コウザイ</t>
    </rPh>
    <phoneticPr fontId="20"/>
  </si>
  <si>
    <t>電炉鋼材（鋼材）</t>
    <rPh sb="0" eb="2">
      <t>デンロ</t>
    </rPh>
    <rPh sb="2" eb="4">
      <t>コウザイ</t>
    </rPh>
    <rPh sb="5" eb="7">
      <t>コウザイ</t>
    </rPh>
    <phoneticPr fontId="20"/>
  </si>
  <si>
    <t>更新周期（年）</t>
    <rPh sb="0" eb="2">
      <t>コウシン</t>
    </rPh>
    <rPh sb="2" eb="4">
      <t>シュウキ</t>
    </rPh>
    <rPh sb="5" eb="6">
      <t>ネン</t>
    </rPh>
    <phoneticPr fontId="20"/>
  </si>
  <si>
    <t>解体段階</t>
    <phoneticPr fontId="20"/>
  </si>
  <si>
    <t>屋根</t>
    <rPh sb="0" eb="2">
      <t>ヤネ</t>
    </rPh>
    <phoneticPr fontId="20"/>
  </si>
  <si>
    <t>設備</t>
    <rPh sb="0" eb="2">
      <t>セツビ</t>
    </rPh>
    <phoneticPr fontId="20"/>
  </si>
  <si>
    <t>平均修繕率（％/年）</t>
    <rPh sb="0" eb="2">
      <t>ヘイキン</t>
    </rPh>
    <rPh sb="2" eb="4">
      <t>シュウゼン</t>
    </rPh>
    <rPh sb="4" eb="5">
      <t>リツ</t>
    </rPh>
    <rPh sb="8" eb="9">
      <t>ネン</t>
    </rPh>
    <phoneticPr fontId="20"/>
  </si>
  <si>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0"/>
  </si>
  <si>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0"/>
  </si>
  <si>
    <t>同左</t>
    <rPh sb="0" eb="2">
      <t>ドウサ</t>
    </rPh>
    <phoneticPr fontId="20"/>
  </si>
  <si>
    <t>運用
段階</t>
    <rPh sb="0" eb="2">
      <t>ウンヨウ</t>
    </rPh>
    <rPh sb="3" eb="5">
      <t>ダンカイ</t>
    </rPh>
    <phoneticPr fontId="20"/>
  </si>
  <si>
    <t>エネルギー
消費量の算定方法</t>
    <rPh sb="6" eb="9">
      <t>ショウヒリョウ</t>
    </rPh>
    <rPh sb="10" eb="12">
      <t>サンテイ</t>
    </rPh>
    <rPh sb="12" eb="14">
      <t>ホウホウ</t>
    </rPh>
    <phoneticPr fontId="20"/>
  </si>
  <si>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0"/>
  </si>
  <si>
    <t>LR1の取り組みによる省エネルギー量を推定</t>
    <rPh sb="4" eb="5">
      <t>ト</t>
    </rPh>
    <rPh sb="6" eb="7">
      <t>ク</t>
    </rPh>
    <rPh sb="11" eb="12">
      <t>ショウ</t>
    </rPh>
    <rPh sb="17" eb="18">
      <t>リョウ</t>
    </rPh>
    <rPh sb="19" eb="21">
      <t>スイテイ</t>
    </rPh>
    <phoneticPr fontId="20"/>
  </si>
  <si>
    <t>一次ｴﾈﾙｷﾞｰ消費量
（集合住宅分を除く）</t>
    <rPh sb="0" eb="2">
      <t>イチジ</t>
    </rPh>
    <rPh sb="8" eb="11">
      <t>ショウヒリョウ</t>
    </rPh>
    <rPh sb="13" eb="15">
      <t>シュウゴウ</t>
    </rPh>
    <rPh sb="15" eb="17">
      <t>ジュウタク</t>
    </rPh>
    <rPh sb="17" eb="18">
      <t>ブン</t>
    </rPh>
    <rPh sb="19" eb="20">
      <t>ノゾ</t>
    </rPh>
    <phoneticPr fontId="20"/>
  </si>
  <si>
    <t>電力</t>
    <rPh sb="0" eb="2">
      <t>デンリョク</t>
    </rPh>
    <phoneticPr fontId="20"/>
  </si>
  <si>
    <t>ガス</t>
    <phoneticPr fontId="20"/>
  </si>
  <si>
    <t>その他の燃料
（　　　）</t>
    <rPh sb="2" eb="3">
      <t>タ</t>
    </rPh>
    <rPh sb="4" eb="6">
      <t>ネンリョウ</t>
    </rPh>
    <phoneticPr fontId="20"/>
  </si>
  <si>
    <t>上水使用</t>
    <rPh sb="0" eb="1">
      <t>ウエ</t>
    </rPh>
    <rPh sb="1" eb="2">
      <t>ミズ</t>
    </rPh>
    <rPh sb="2" eb="4">
      <t>シヨウ</t>
    </rPh>
    <phoneticPr fontId="20"/>
  </si>
  <si>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0"/>
  </si>
  <si>
    <t>バウンダリー</t>
    <phoneticPr fontId="20"/>
  </si>
  <si>
    <t>○○　</t>
    <phoneticPr fontId="20"/>
  </si>
  <si>
    <t>〃</t>
    <phoneticPr fontId="20"/>
  </si>
  <si>
    <t>○○</t>
    <phoneticPr fontId="20"/>
  </si>
  <si>
    <t>○○</t>
    <phoneticPr fontId="20"/>
  </si>
  <si>
    <t>kg/㎡</t>
  </si>
  <si>
    <t>木　材</t>
  </si>
  <si>
    <t>○○</t>
    <phoneticPr fontId="20"/>
  </si>
  <si>
    <t>○○</t>
    <phoneticPr fontId="20"/>
  </si>
  <si>
    <t>○○</t>
    <phoneticPr fontId="20"/>
  </si>
  <si>
    <t>○○</t>
    <phoneticPr fontId="20"/>
  </si>
  <si>
    <t>○○</t>
    <phoneticPr fontId="20"/>
  </si>
  <si>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0"/>
  </si>
  <si>
    <t>参照値</t>
    <rPh sb="0" eb="2">
      <t>サンショウ</t>
    </rPh>
    <rPh sb="2" eb="3">
      <t>チ</t>
    </rPh>
    <phoneticPr fontId="20"/>
  </si>
  <si>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0"/>
  </si>
  <si>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0"/>
  </si>
  <si>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0"/>
  </si>
  <si>
    <t>延床面積比率</t>
    <rPh sb="0" eb="4">
      <t>ノベユカメンセキ</t>
    </rPh>
    <rPh sb="4" eb="6">
      <t>ヒリツ</t>
    </rPh>
    <phoneticPr fontId="20"/>
  </si>
  <si>
    <t>ﾚﾍﾞﾙ３</t>
  </si>
  <si>
    <t>ﾚﾍﾞﾙ４</t>
  </si>
  <si>
    <t>ﾚﾍﾞﾙ５</t>
  </si>
  <si>
    <t>採点結果</t>
    <rPh sb="0" eb="2">
      <t>サイテン</t>
    </rPh>
    <rPh sb="2" eb="4">
      <t>ケッカ</t>
    </rPh>
    <phoneticPr fontId="20"/>
  </si>
  <si>
    <t>Q2/2.2.1 躯体材料の耐用年数</t>
    <rPh sb="9" eb="11">
      <t>クタイ</t>
    </rPh>
    <rPh sb="11" eb="13">
      <t>ザイリョウ</t>
    </rPh>
    <rPh sb="14" eb="16">
      <t>タイヨウ</t>
    </rPh>
    <rPh sb="16" eb="18">
      <t>ネンスウ</t>
    </rPh>
    <phoneticPr fontId="20"/>
  </si>
  <si>
    <t>集会所</t>
  </si>
  <si>
    <t>工場</t>
  </si>
  <si>
    <t>評価対象の構造</t>
    <rPh sb="0" eb="2">
      <t>ヒョウカ</t>
    </rPh>
    <rPh sb="2" eb="4">
      <t>タイショウ</t>
    </rPh>
    <rPh sb="5" eb="7">
      <t>コウゾウ</t>
    </rPh>
    <phoneticPr fontId="20"/>
  </si>
  <si>
    <t>LR2/2.2 既存建築躯体等の継続使用</t>
    <rPh sb="8" eb="10">
      <t>キソン</t>
    </rPh>
    <rPh sb="10" eb="12">
      <t>ケンチク</t>
    </rPh>
    <rPh sb="12" eb="14">
      <t>クタイ</t>
    </rPh>
    <rPh sb="14" eb="15">
      <t>トウ</t>
    </rPh>
    <rPh sb="16" eb="18">
      <t>ケイゾク</t>
    </rPh>
    <rPh sb="18" eb="20">
      <t>シヨウ</t>
    </rPh>
    <phoneticPr fontId="20"/>
  </si>
  <si>
    <t>LR2/2.3 躯体材料におけるﾘｻｲｸﾙ材（高炉セメント）</t>
    <rPh sb="8" eb="10">
      <t>クタイ</t>
    </rPh>
    <rPh sb="10" eb="12">
      <t>ザイリョウ</t>
    </rPh>
    <rPh sb="21" eb="22">
      <t>ザイ</t>
    </rPh>
    <rPh sb="23" eb="25">
      <t>コウロ</t>
    </rPh>
    <phoneticPr fontId="20"/>
  </si>
  <si>
    <t>1-2.　合計の計算</t>
    <rPh sb="5" eb="7">
      <t>ゴウケイ</t>
    </rPh>
    <rPh sb="8" eb="10">
      <t>ケイサン</t>
    </rPh>
    <phoneticPr fontId="20"/>
  </si>
  <si>
    <t>建物寿命</t>
    <rPh sb="0" eb="2">
      <t>タテモノ</t>
    </rPh>
    <rPh sb="2" eb="4">
      <t>ジュミョウ</t>
    </rPh>
    <phoneticPr fontId="20"/>
  </si>
  <si>
    <t>LR2/2.2 既存建築躯体</t>
    <rPh sb="8" eb="10">
      <t>キソン</t>
    </rPh>
    <rPh sb="10" eb="12">
      <t>ケンチク</t>
    </rPh>
    <rPh sb="12" eb="14">
      <t>クタイ</t>
    </rPh>
    <phoneticPr fontId="20"/>
  </si>
  <si>
    <t>LR2/2.3 ﾘｻｲｸﾙ材（高炉セメント）</t>
    <rPh sb="13" eb="14">
      <t>ザイ</t>
    </rPh>
    <rPh sb="15" eb="17">
      <t>コウロ</t>
    </rPh>
    <phoneticPr fontId="20"/>
  </si>
  <si>
    <t>事務所</t>
    <rPh sb="0" eb="2">
      <t>ジム</t>
    </rPh>
    <rPh sb="2" eb="3">
      <t>ショ</t>
    </rPh>
    <phoneticPr fontId="20"/>
  </si>
  <si>
    <t>ｍ3/㎡</t>
  </si>
  <si>
    <t>学校</t>
    <rPh sb="0" eb="2">
      <t>ガッコウ</t>
    </rPh>
    <phoneticPr fontId="20"/>
  </si>
  <si>
    <t>物販店</t>
    <rPh sb="0" eb="3">
      <t>ブッパンテン</t>
    </rPh>
    <phoneticPr fontId="20"/>
  </si>
  <si>
    <t>ｍ3/㎡</t>
    <phoneticPr fontId="20"/>
  </si>
  <si>
    <t>飲食店</t>
    <rPh sb="0" eb="2">
      <t>インショク</t>
    </rPh>
    <rPh sb="2" eb="3">
      <t>テン</t>
    </rPh>
    <phoneticPr fontId="20"/>
  </si>
  <si>
    <t>集会所</t>
    <rPh sb="0" eb="3">
      <t>シュウカイショ</t>
    </rPh>
    <phoneticPr fontId="20"/>
  </si>
  <si>
    <t>病院</t>
    <rPh sb="0" eb="2">
      <t>ビョウイン</t>
    </rPh>
    <phoneticPr fontId="20"/>
  </si>
  <si>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0"/>
  </si>
  <si>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0"/>
  </si>
  <si>
    <t>2-2.　合計の計算</t>
    <rPh sb="5" eb="7">
      <t>ゴウケイ</t>
    </rPh>
    <rPh sb="8" eb="10">
      <t>ケイサン</t>
    </rPh>
    <phoneticPr fontId="20"/>
  </si>
  <si>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0"/>
  </si>
  <si>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0"/>
  </si>
  <si>
    <t>修繕・更新・解体</t>
    <rPh sb="3" eb="5">
      <t>コウシン</t>
    </rPh>
    <phoneticPr fontId="20"/>
  </si>
  <si>
    <t>排出率</t>
    <rPh sb="0" eb="2">
      <t>ハイシュツ</t>
    </rPh>
    <rPh sb="2" eb="3">
      <t>リツ</t>
    </rPh>
    <phoneticPr fontId="20"/>
  </si>
  <si>
    <t>簡易評価</t>
  </si>
  <si>
    <t>省エネルギー計画書で評価</t>
  </si>
  <si>
    <r>
      <t>5.　ライフサイクルCO</t>
    </r>
    <r>
      <rPr>
        <b/>
        <vertAlign val="subscript"/>
        <sz val="11"/>
        <rFont val="ＭＳ Ｐゴシック"/>
        <family val="3"/>
        <charset val="128"/>
      </rPr>
      <t>2</t>
    </r>
    <r>
      <rPr>
        <b/>
        <sz val="11"/>
        <rFont val="ＭＳ Ｐゴシック"/>
        <family val="3"/>
        <charset val="128"/>
      </rPr>
      <t>排出率に基づく「LR3/1.地球温暖化への配慮」スコア換算</t>
    </r>
    <rPh sb="13" eb="15">
      <t>ハイシュツ</t>
    </rPh>
    <rPh sb="15" eb="16">
      <t>リツ</t>
    </rPh>
    <rPh sb="17" eb="18">
      <t>モト</t>
    </rPh>
    <rPh sb="27" eb="31">
      <t>チキュウオンダン</t>
    </rPh>
    <rPh sb="31" eb="32">
      <t>カ</t>
    </rPh>
    <rPh sb="34" eb="36">
      <t>ハイリョ</t>
    </rPh>
    <rPh sb="40" eb="42">
      <t>カンザン</t>
    </rPh>
    <phoneticPr fontId="20"/>
  </si>
  <si>
    <t>換算スコア＝</t>
    <rPh sb="0" eb="2">
      <t>カンザン</t>
    </rPh>
    <phoneticPr fontId="20"/>
  </si>
  <si>
    <t>a.　建設に係るCO2排出量</t>
    <rPh sb="3" eb="5">
      <t>ケンセツ</t>
    </rPh>
    <rPh sb="6" eb="7">
      <t>カカ</t>
    </rPh>
    <rPh sb="11" eb="13">
      <t>ハイシュツ</t>
    </rPh>
    <rPh sb="13" eb="14">
      <t>リョウ</t>
    </rPh>
    <phoneticPr fontId="20"/>
  </si>
  <si>
    <t>kg-CO2/年m2</t>
    <rPh sb="7" eb="8">
      <t>ネン</t>
    </rPh>
    <phoneticPr fontId="20"/>
  </si>
  <si>
    <t>用途</t>
    <rPh sb="0" eb="2">
      <t>ヨウト</t>
    </rPh>
    <phoneticPr fontId="20"/>
  </si>
  <si>
    <t>メンテナンスに配慮した設計[総合的な取り組み]</t>
    <rPh sb="14" eb="17">
      <t>ソウゴウテキ</t>
    </rPh>
    <rPh sb="18" eb="19">
      <t>ト</t>
    </rPh>
    <rPh sb="20" eb="21">
      <t>ク</t>
    </rPh>
    <phoneticPr fontId="20"/>
  </si>
  <si>
    <t>屋上（屋根）・外壁仕上げ材の更新</t>
    <phoneticPr fontId="20"/>
  </si>
  <si>
    <t>LR2/2.2 削減分</t>
    <rPh sb="8" eb="10">
      <t>サクゲン</t>
    </rPh>
    <rPh sb="10" eb="11">
      <t>ブン</t>
    </rPh>
    <phoneticPr fontId="20"/>
  </si>
  <si>
    <t>LR2/2.3 削減分</t>
    <rPh sb="8" eb="10">
      <t>サクゲン</t>
    </rPh>
    <rPh sb="10" eb="11">
      <t>ブン</t>
    </rPh>
    <phoneticPr fontId="20"/>
  </si>
  <si>
    <t>b.　修繕・更新・解体に係るCO2排出量</t>
    <rPh sb="3" eb="5">
      <t>シュウゼン</t>
    </rPh>
    <rPh sb="6" eb="8">
      <t>コウシン</t>
    </rPh>
    <rPh sb="9" eb="11">
      <t>カイタイ</t>
    </rPh>
    <rPh sb="12" eb="13">
      <t>カカ</t>
    </rPh>
    <rPh sb="17" eb="19">
      <t>ハイシュツ</t>
    </rPh>
    <rPh sb="19" eb="20">
      <t>リョウ</t>
    </rPh>
    <phoneticPr fontId="20"/>
  </si>
  <si>
    <t>削減後</t>
    <rPh sb="0" eb="2">
      <t>サクゲン</t>
    </rPh>
    <rPh sb="2" eb="3">
      <t>ゴ</t>
    </rPh>
    <phoneticPr fontId="20"/>
  </si>
  <si>
    <t>ホテル</t>
    <phoneticPr fontId="20"/>
  </si>
  <si>
    <t>c.　運用に係るCO2排出量</t>
    <rPh sb="3" eb="5">
      <t>ウンヨウ</t>
    </rPh>
    <rPh sb="6" eb="7">
      <t>カカ</t>
    </rPh>
    <rPh sb="11" eb="13">
      <t>ハイシュツ</t>
    </rPh>
    <rPh sb="13" eb="14">
      <t>リョウ</t>
    </rPh>
    <phoneticPr fontId="20"/>
  </si>
  <si>
    <t>排出係数</t>
    <rPh sb="0" eb="2">
      <t>ハイシュツ</t>
    </rPh>
    <rPh sb="2" eb="4">
      <t>ケイスウ</t>
    </rPh>
    <phoneticPr fontId="20"/>
  </si>
  <si>
    <t>等級1</t>
    <rPh sb="0" eb="2">
      <t>トウキュウ</t>
    </rPh>
    <phoneticPr fontId="20"/>
  </si>
  <si>
    <t>等級2</t>
    <rPh sb="0" eb="2">
      <t>トウキュウ</t>
    </rPh>
    <phoneticPr fontId="20"/>
  </si>
  <si>
    <t>等級3</t>
    <rPh sb="0" eb="2">
      <t>トウキュウ</t>
    </rPh>
    <phoneticPr fontId="20"/>
  </si>
  <si>
    <t>等級4</t>
    <rPh sb="0" eb="2">
      <t>トウキュウ</t>
    </rPh>
    <phoneticPr fontId="20"/>
  </si>
  <si>
    <t>kg-CO2/kWh</t>
  </si>
  <si>
    <t>kg-CO2/MJ</t>
  </si>
  <si>
    <t>都市ガス</t>
    <rPh sb="0" eb="2">
      <t>トシ</t>
    </rPh>
    <phoneticPr fontId="28"/>
  </si>
  <si>
    <t>DHC</t>
  </si>
  <si>
    <t>灯油</t>
    <rPh sb="0" eb="2">
      <t>トウユ</t>
    </rPh>
    <phoneticPr fontId="28"/>
  </si>
  <si>
    <t>Ａ重油</t>
  </si>
  <si>
    <t>その他</t>
    <rPh sb="2" eb="3">
      <t>タ</t>
    </rPh>
    <phoneticPr fontId="28"/>
  </si>
  <si>
    <t>(灯油＋A重油の平均値）</t>
    <rPh sb="1" eb="3">
      <t>トウユ</t>
    </rPh>
    <rPh sb="5" eb="7">
      <t>ジュウユ</t>
    </rPh>
    <rPh sb="8" eb="11">
      <t>ヘイキンチ</t>
    </rPh>
    <phoneticPr fontId="28"/>
  </si>
  <si>
    <t>用途別排出原単位</t>
    <rPh sb="0" eb="2">
      <t>ヨウト</t>
    </rPh>
    <rPh sb="2" eb="3">
      <t>ベツ</t>
    </rPh>
    <rPh sb="3" eb="5">
      <t>ハイシュツ</t>
    </rPh>
    <rPh sb="5" eb="8">
      <t>ゲンタンイ</t>
    </rPh>
    <phoneticPr fontId="20"/>
  </si>
  <si>
    <t>ガス</t>
  </si>
  <si>
    <t>d. LCCO2算定条件</t>
    <rPh sb="8" eb="10">
      <t>サンテイ</t>
    </rPh>
    <rPh sb="10" eb="12">
      <t>ジョウケン</t>
    </rPh>
    <phoneticPr fontId="20"/>
  </si>
  <si>
    <t>躯体・基礎の寿命（年）</t>
    <rPh sb="0" eb="2">
      <t>クタイ</t>
    </rPh>
    <rPh sb="3" eb="5">
      <t>キソ</t>
    </rPh>
    <rPh sb="6" eb="8">
      <t>ジュミョウ</t>
    </rPh>
    <rPh sb="9" eb="10">
      <t>ネン</t>
    </rPh>
    <phoneticPr fontId="20"/>
  </si>
  <si>
    <t>Q2/2.2.1 躯体材料</t>
    <rPh sb="9" eb="11">
      <t>クタイ</t>
    </rPh>
    <rPh sb="11" eb="13">
      <t>ザイリョウ</t>
    </rPh>
    <phoneticPr fontId="20"/>
  </si>
  <si>
    <t>レベル3</t>
    <phoneticPr fontId="20"/>
  </si>
  <si>
    <t>レベル4</t>
    <phoneticPr fontId="20"/>
  </si>
  <si>
    <t>レベル5</t>
    <phoneticPr fontId="20"/>
  </si>
  <si>
    <t>事務所</t>
    <phoneticPr fontId="20"/>
  </si>
  <si>
    <t>再利用なし</t>
    <rPh sb="0" eb="3">
      <t>サイリヨウ</t>
    </rPh>
    <phoneticPr fontId="20"/>
  </si>
  <si>
    <t>既存躯体100％</t>
    <rPh sb="0" eb="2">
      <t>キソン</t>
    </rPh>
    <rPh sb="2" eb="4">
      <t>クタイ</t>
    </rPh>
    <phoneticPr fontId="20"/>
  </si>
  <si>
    <t>高炉ｾﾒﾝﾄ100%</t>
    <rPh sb="0" eb="2">
      <t>コウロ</t>
    </rPh>
    <phoneticPr fontId="20"/>
  </si>
  <si>
    <t>更新周期(年）</t>
    <rPh sb="0" eb="2">
      <t>コウシン</t>
    </rPh>
    <rPh sb="2" eb="4">
      <t>シュウキ</t>
    </rPh>
    <rPh sb="5" eb="6">
      <t>ネン</t>
    </rPh>
    <phoneticPr fontId="20"/>
  </si>
  <si>
    <t>平均修繕率</t>
    <rPh sb="0" eb="2">
      <t>ヘイキン</t>
    </rPh>
    <rPh sb="2" eb="4">
      <t>シュウゼン</t>
    </rPh>
    <rPh sb="4" eb="5">
      <t>リツ</t>
    </rPh>
    <phoneticPr fontId="20"/>
  </si>
  <si>
    <t>/年</t>
    <rPh sb="1" eb="2">
      <t>ネン</t>
    </rPh>
    <phoneticPr fontId="20"/>
  </si>
  <si>
    <t>重み係数</t>
    <rPh sb="0" eb="1">
      <t>オモ</t>
    </rPh>
    <rPh sb="2" eb="4">
      <t>ケイスウ</t>
    </rPh>
    <phoneticPr fontId="20"/>
  </si>
  <si>
    <t>重み係数（既定）</t>
    <rPh sb="0" eb="1">
      <t>オモ</t>
    </rPh>
    <rPh sb="2" eb="4">
      <t>ケイスウ</t>
    </rPh>
    <rPh sb="5" eb="7">
      <t>キテイ</t>
    </rPh>
    <phoneticPr fontId="20"/>
  </si>
  <si>
    <t>既存建物</t>
    <rPh sb="0" eb="2">
      <t>キソン</t>
    </rPh>
    <rPh sb="2" eb="4">
      <t>タテモノ</t>
    </rPh>
    <phoneticPr fontId="20"/>
  </si>
  <si>
    <t>既定重み</t>
    <rPh sb="0" eb="2">
      <t>キテイ</t>
    </rPh>
    <rPh sb="2" eb="3">
      <t>オモ</t>
    </rPh>
    <phoneticPr fontId="20"/>
  </si>
  <si>
    <t>建物全体・共用部</t>
    <rPh sb="0" eb="2">
      <t>タテモノ</t>
    </rPh>
    <rPh sb="2" eb="4">
      <t>ゼンタイ</t>
    </rPh>
    <rPh sb="5" eb="7">
      <t>キョウヨウ</t>
    </rPh>
    <rPh sb="7" eb="8">
      <t>ブ</t>
    </rPh>
    <phoneticPr fontId="20"/>
  </si>
  <si>
    <t>住居・宿泊部</t>
    <rPh sb="0" eb="2">
      <t>ジュウキョ</t>
    </rPh>
    <rPh sb="3" eb="5">
      <t>シュクハク</t>
    </rPh>
    <rPh sb="5" eb="6">
      <t>ブ</t>
    </rPh>
    <phoneticPr fontId="20"/>
  </si>
  <si>
    <t>全体・共有</t>
    <rPh sb="0" eb="2">
      <t>ゼンタイ</t>
    </rPh>
    <rPh sb="3" eb="5">
      <t>キョウユウ</t>
    </rPh>
    <phoneticPr fontId="20"/>
  </si>
  <si>
    <t>住居・宿泊</t>
    <rPh sb="0" eb="2">
      <t>ジュウキョ</t>
    </rPh>
    <rPh sb="3" eb="5">
      <t>シュクハク</t>
    </rPh>
    <phoneticPr fontId="20"/>
  </si>
  <si>
    <t>病院o</t>
  </si>
  <si>
    <t>ホテルo</t>
  </si>
  <si>
    <t>集合住宅o</t>
  </si>
  <si>
    <t>延面積</t>
    <rPh sb="0" eb="1">
      <t>ノ</t>
    </rPh>
    <rPh sb="1" eb="3">
      <t>メンセキ</t>
    </rPh>
    <phoneticPr fontId="20"/>
  </si>
  <si>
    <t>Q</t>
    <phoneticPr fontId="20"/>
  </si>
  <si>
    <t>建築物の環境品質</t>
    <rPh sb="0" eb="3">
      <t>ケンチクブツ</t>
    </rPh>
    <rPh sb="4" eb="6">
      <t>カンキョウ</t>
    </rPh>
    <rPh sb="6" eb="8">
      <t>ヒンシツ</t>
    </rPh>
    <phoneticPr fontId="20"/>
  </si>
  <si>
    <t xml:space="preserve"> Q</t>
  </si>
  <si>
    <t xml:space="preserve"> Q1</t>
  </si>
  <si>
    <t xml:space="preserve"> Q1 1</t>
  </si>
  <si>
    <t>1.1.1</t>
  </si>
  <si>
    <t xml:space="preserve"> Q1 1.1</t>
  </si>
  <si>
    <t>1.1.2</t>
  </si>
  <si>
    <t xml:space="preserve"> Q1 1.2</t>
  </si>
  <si>
    <t xml:space="preserve"> Q1 2</t>
  </si>
  <si>
    <t xml:space="preserve"> Q1 2.1</t>
  </si>
  <si>
    <t>2.1.2</t>
  </si>
  <si>
    <t>負荷変動・追従制御性</t>
  </si>
  <si>
    <t>2.1.3</t>
  </si>
  <si>
    <t>外皮性能</t>
  </si>
  <si>
    <t>2.1.4</t>
  </si>
  <si>
    <t>ゾーン別制御性</t>
  </si>
  <si>
    <t>2.1.5</t>
  </si>
  <si>
    <t>温度・湿度制御</t>
  </si>
  <si>
    <t>2.1.6</t>
  </si>
  <si>
    <t>個別制御</t>
  </si>
  <si>
    <t>2.1.7</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</si>
  <si>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</si>
  <si>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</si>
  <si>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</si>
  <si>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</si>
  <si>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</si>
  <si>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</si>
  <si>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</si>
  <si>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</si>
  <si>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</si>
  <si>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</si>
  <si>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</si>
  <si>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 xml:space="preserve"> Q1 3.3</t>
  </si>
  <si>
    <t xml:space="preserve"> Q1 4</t>
  </si>
  <si>
    <t xml:space="preserve"> Q1 4.1</t>
  </si>
  <si>
    <t xml:space="preserve"> 化学汚染物質</t>
  </si>
  <si>
    <t>木造</t>
    <rPh sb="0" eb="2">
      <t>モクゾウ</t>
    </rPh>
    <phoneticPr fontId="20"/>
  </si>
  <si>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</si>
  <si>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</si>
  <si>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</si>
  <si>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</si>
  <si>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</si>
  <si>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</si>
  <si>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</si>
  <si>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</si>
  <si>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</si>
  <si>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 xml:space="preserve"> Q2 1.1</t>
  </si>
  <si>
    <t>広さ・収納性</t>
  </si>
  <si>
    <t>バリアフリー計画</t>
  </si>
  <si>
    <t xml:space="preserve"> Q2 1.2</t>
  </si>
  <si>
    <t>広さ感・景観</t>
  </si>
  <si>
    <t>リフレッシュスペース</t>
  </si>
  <si>
    <t>内装計画</t>
  </si>
  <si>
    <t>維持管理</t>
    <rPh sb="0" eb="2">
      <t>イジ</t>
    </rPh>
    <rPh sb="2" eb="4">
      <t>カンリ</t>
    </rPh>
    <phoneticPr fontId="20"/>
  </si>
  <si>
    <t>1.3.1</t>
  </si>
  <si>
    <t xml:space="preserve"> Q2 1.3</t>
  </si>
  <si>
    <t>1.3.2</t>
  </si>
  <si>
    <t>1.3.3</t>
  </si>
  <si>
    <t xml:space="preserve"> Q2 2</t>
  </si>
  <si>
    <t xml:space="preserve"> Q2 2.1</t>
  </si>
  <si>
    <t>耐震性</t>
  </si>
  <si>
    <t xml:space="preserve"> Q2 2.2</t>
  </si>
  <si>
    <t>外壁仕上げ材の補修必要間隔</t>
  </si>
  <si>
    <t>主要内装仕上げ材の更新必要間隔</t>
  </si>
  <si>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0"/>
  </si>
  <si>
    <r>
      <t>2-3</t>
    </r>
    <r>
      <rPr>
        <b/>
        <sz val="12"/>
        <color indexed="9"/>
        <rFont val="ＭＳ Ｐゴシック"/>
        <family val="3"/>
        <charset val="128"/>
      </rPr>
      <t>　大項目の評価（ﾚｰﾀﾞｰﾁｬｰﾄ）</t>
    </r>
    <rPh sb="4" eb="7">
      <t>ダイコウモク</t>
    </rPh>
    <rPh sb="8" eb="10">
      <t>ヒョウカ</t>
    </rPh>
    <phoneticPr fontId="20"/>
  </si>
  <si>
    <t>空調換気ダクトの更新必要間隔</t>
    <rPh sb="0" eb="2">
      <t>クウチョウ</t>
    </rPh>
    <rPh sb="2" eb="4">
      <t>カンキ</t>
    </rPh>
    <phoneticPr fontId="20"/>
  </si>
  <si>
    <t>空調・給排水配管の更新必要間隔</t>
    <rPh sb="0" eb="2">
      <t>クウチョウ</t>
    </rPh>
    <rPh sb="3" eb="4">
      <t>キュウ</t>
    </rPh>
    <rPh sb="4" eb="6">
      <t>ハイスイ</t>
    </rPh>
    <rPh sb="6" eb="8">
      <t>ハイカン</t>
    </rPh>
    <phoneticPr fontId="20"/>
  </si>
  <si>
    <t>主要設備機器の更新必要間隔</t>
  </si>
  <si>
    <t xml:space="preserve"> Q2 2.3</t>
  </si>
  <si>
    <t xml:space="preserve"> Q2 2.4</t>
  </si>
  <si>
    <t>空調・換気設備</t>
  </si>
  <si>
    <t>2.4.2</t>
  </si>
  <si>
    <t>給排水・衛生設備</t>
  </si>
  <si>
    <t>2.4.3</t>
  </si>
  <si>
    <t>電気設備</t>
  </si>
  <si>
    <t>2.4.4</t>
  </si>
  <si>
    <t>機械・配管支持方法</t>
  </si>
  <si>
    <t>2.4.5</t>
  </si>
  <si>
    <t>通信・情報設備</t>
  </si>
  <si>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</si>
  <si>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</si>
  <si>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</si>
  <si>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</si>
  <si>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</si>
  <si>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</si>
  <si>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</si>
  <si>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</si>
  <si>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</si>
  <si>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</si>
  <si>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</si>
  <si>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</si>
  <si>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 xml:space="preserve"> Q3 3</t>
  </si>
  <si>
    <t>LR</t>
  </si>
  <si>
    <t>LR1</t>
  </si>
  <si>
    <t>LR1 2</t>
  </si>
  <si>
    <t>給湯設備</t>
  </si>
  <si>
    <t>LR1 4</t>
  </si>
  <si>
    <t>LR2</t>
  </si>
  <si>
    <t>LR2 1</t>
  </si>
  <si>
    <t>LR2 1.2</t>
  </si>
  <si>
    <t>LR2 2</t>
  </si>
  <si>
    <t>LR2 3</t>
  </si>
  <si>
    <t>LR2 3.2</t>
  </si>
  <si>
    <t>3.2.3</t>
  </si>
  <si>
    <t>冷媒</t>
  </si>
  <si>
    <t>LR3</t>
  </si>
  <si>
    <t>LR3 2</t>
  </si>
  <si>
    <t>LR3 2.3</t>
  </si>
  <si>
    <t>LR3 3</t>
  </si>
  <si>
    <t>LR3 3.1</t>
  </si>
  <si>
    <t>LR3 3.2</t>
  </si>
  <si>
    <t>LR3 3.3</t>
  </si>
  <si>
    <t>補正後</t>
    <rPh sb="0" eb="2">
      <t>ホセイ</t>
    </rPh>
    <rPh sb="2" eb="3">
      <t>ゴ</t>
    </rPh>
    <phoneticPr fontId="20"/>
  </si>
  <si>
    <t>補正前計</t>
    <rPh sb="0" eb="2">
      <t>ホセイ</t>
    </rPh>
    <rPh sb="2" eb="3">
      <t>マエ</t>
    </rPh>
    <rPh sb="3" eb="4">
      <t>ケイ</t>
    </rPh>
    <phoneticPr fontId="20"/>
  </si>
  <si>
    <t>補正前</t>
    <rPh sb="0" eb="2">
      <t>ホセイ</t>
    </rPh>
    <rPh sb="2" eb="3">
      <t>マエ</t>
    </rPh>
    <phoneticPr fontId="20"/>
  </si>
  <si>
    <t>対象外の選択</t>
    <rPh sb="0" eb="3">
      <t>タイショウガイ</t>
    </rPh>
    <rPh sb="4" eb="6">
      <t>センタク</t>
    </rPh>
    <phoneticPr fontId="20"/>
  </si>
  <si>
    <t>項目ごと既定重み</t>
  </si>
  <si>
    <t>全体・共有</t>
  </si>
  <si>
    <t>住居・宿泊</t>
  </si>
  <si>
    <t>重み係数</t>
  </si>
  <si>
    <t>既定重み</t>
  </si>
  <si>
    <t>延面積比率</t>
  </si>
  <si>
    <t>Q</t>
  </si>
  <si>
    <t>建築物の環境品質</t>
    <phoneticPr fontId="20"/>
  </si>
  <si>
    <t>重み係数（既定）</t>
  </si>
  <si>
    <t>１．基本設計</t>
    <rPh sb="2" eb="4">
      <t>キホン</t>
    </rPh>
    <rPh sb="4" eb="6">
      <t>セッケイ</t>
    </rPh>
    <phoneticPr fontId="20"/>
  </si>
  <si>
    <t>２．実施・竣工段階</t>
    <rPh sb="2" eb="4">
      <t>ジッシ</t>
    </rPh>
    <rPh sb="5" eb="7">
      <t>シュンコウ</t>
    </rPh>
    <rPh sb="7" eb="9">
      <t>ダンカイ</t>
    </rPh>
    <phoneticPr fontId="20"/>
  </si>
  <si>
    <t>補正後</t>
  </si>
  <si>
    <t>補正前計</t>
  </si>
  <si>
    <t>対象外の選択</t>
  </si>
  <si>
    <t>合成重み</t>
  </si>
  <si>
    <t>建物全体・共用部</t>
  </si>
  <si>
    <t>住居・宿泊部</t>
  </si>
  <si>
    <t>項目</t>
  </si>
  <si>
    <t>項目名</t>
  </si>
  <si>
    <t>延面積</t>
  </si>
  <si>
    <t>住居宿泊・共用部面積比率</t>
  </si>
  <si>
    <t>建築物の環境品質</t>
  </si>
  <si>
    <t>設備騒音対策</t>
  </si>
  <si>
    <t>遮音</t>
    <rPh sb="0" eb="2">
      <t>シャオン</t>
    </rPh>
    <phoneticPr fontId="20"/>
  </si>
  <si>
    <t>室温設定</t>
  </si>
  <si>
    <t>機能性・使いやすさ</t>
    <rPh sb="0" eb="3">
      <t>キノウセイ</t>
    </rPh>
    <rPh sb="4" eb="5">
      <t>ヅカ</t>
    </rPh>
    <phoneticPr fontId="20"/>
  </si>
  <si>
    <t>維持管理用機能の確保</t>
    <rPh sb="0" eb="2">
      <t>イジ</t>
    </rPh>
    <rPh sb="2" eb="5">
      <t>カンリヨウ</t>
    </rPh>
    <rPh sb="5" eb="7">
      <t>キノウ</t>
    </rPh>
    <rPh sb="8" eb="10">
      <t>カクホ</t>
    </rPh>
    <phoneticPr fontId="20"/>
  </si>
  <si>
    <t>耐用性・信頼性</t>
    <rPh sb="4" eb="6">
      <t>シンライ</t>
    </rPh>
    <rPh sb="6" eb="7">
      <t>セイ</t>
    </rPh>
    <phoneticPr fontId="20"/>
  </si>
  <si>
    <t>免震・制振性能</t>
    <rPh sb="5" eb="7">
      <t>セイノウ</t>
    </rPh>
    <phoneticPr fontId="20"/>
  </si>
  <si>
    <t>適切な更新</t>
    <rPh sb="0" eb="2">
      <t>テキセツ</t>
    </rPh>
    <rPh sb="3" eb="5">
      <t>コウシン</t>
    </rPh>
    <phoneticPr fontId="20"/>
  </si>
  <si>
    <t>屋上（屋根）・外壁仕上げ材の更新</t>
    <rPh sb="0" eb="2">
      <t>オクジョウ</t>
    </rPh>
    <rPh sb="3" eb="5">
      <t>ヤネ</t>
    </rPh>
    <rPh sb="7" eb="9">
      <t>ガイヘキ</t>
    </rPh>
    <rPh sb="9" eb="11">
      <t>シア</t>
    </rPh>
    <rPh sb="12" eb="13">
      <t>ザイ</t>
    </rPh>
    <rPh sb="14" eb="16">
      <t>コウシン</t>
    </rPh>
    <phoneticPr fontId="20"/>
  </si>
  <si>
    <t>配管・配線材の更新</t>
    <rPh sb="0" eb="2">
      <t>ハイカン</t>
    </rPh>
    <rPh sb="3" eb="5">
      <t>ハイセン</t>
    </rPh>
    <rPh sb="5" eb="6">
      <t>ザイ</t>
    </rPh>
    <rPh sb="7" eb="9">
      <t>コウシン</t>
    </rPh>
    <phoneticPr fontId="20"/>
  </si>
  <si>
    <t>主要設備機器の更新</t>
    <rPh sb="0" eb="2">
      <t>シュヨウ</t>
    </rPh>
    <rPh sb="2" eb="4">
      <t>セツビ</t>
    </rPh>
    <rPh sb="4" eb="6">
      <t>キキ</t>
    </rPh>
    <rPh sb="7" eb="9">
      <t>コウシン</t>
    </rPh>
    <phoneticPr fontId="20"/>
  </si>
  <si>
    <t xml:space="preserve"> </t>
  </si>
  <si>
    <t>建築物の環境負荷低減性</t>
    <rPh sb="0" eb="3">
      <t>ケンチクブツ</t>
    </rPh>
    <rPh sb="4" eb="6">
      <t>カンキョウ</t>
    </rPh>
    <rPh sb="6" eb="8">
      <t>フカ</t>
    </rPh>
    <rPh sb="8" eb="10">
      <t>テイゲン</t>
    </rPh>
    <rPh sb="10" eb="11">
      <t>セイ</t>
    </rPh>
    <phoneticPr fontId="20"/>
  </si>
  <si>
    <t>○○○</t>
    <phoneticPr fontId="20"/>
  </si>
  <si>
    <t>EB</t>
    <phoneticPr fontId="20"/>
  </si>
  <si>
    <t>NC</t>
    <phoneticPr fontId="20"/>
  </si>
  <si>
    <t>LR3</t>
    <phoneticPr fontId="30" type="noConversion"/>
  </si>
  <si>
    <t>敷地外環境</t>
    <phoneticPr fontId="20"/>
  </si>
  <si>
    <t>環境配慮設計の概要記入欄</t>
    <phoneticPr fontId="20"/>
  </si>
  <si>
    <t>修繕・更新・</t>
    <phoneticPr fontId="20"/>
  </si>
  <si>
    <t>○○</t>
    <phoneticPr fontId="20"/>
  </si>
  <si>
    <t>項目名</t>
    <rPh sb="0" eb="2">
      <t>コウモク</t>
    </rPh>
    <rPh sb="2" eb="3">
      <t>メイ</t>
    </rPh>
    <phoneticPr fontId="20"/>
  </si>
  <si>
    <t>①用途別延床面積　注1)</t>
    <rPh sb="1" eb="3">
      <t>ヨウト</t>
    </rPh>
    <rPh sb="3" eb="4">
      <t>ベツ</t>
    </rPh>
    <rPh sb="4" eb="5">
      <t>ノ</t>
    </rPh>
    <rPh sb="5" eb="6">
      <t>ユカ</t>
    </rPh>
    <rPh sb="6" eb="8">
      <t>メンセキ</t>
    </rPh>
    <rPh sb="9" eb="10">
      <t>チュウ</t>
    </rPh>
    <phoneticPr fontId="20"/>
  </si>
  <si>
    <t>評　価　ソ　フ　ト</t>
    <rPh sb="0" eb="1">
      <t>ヒョウ</t>
    </rPh>
    <rPh sb="2" eb="3">
      <t>アタイ</t>
    </rPh>
    <phoneticPr fontId="20"/>
  </si>
  <si>
    <t>バージョン</t>
    <phoneticPr fontId="20"/>
  </si>
  <si>
    <t>■使用評価マニュアル：</t>
    <rPh sb="1" eb="3">
      <t>シヨウ</t>
    </rPh>
    <rPh sb="3" eb="5">
      <t>ヒョウカ</t>
    </rPh>
    <phoneticPr fontId="20"/>
  </si>
  <si>
    <t>1）概要入力</t>
    <rPh sb="2" eb="4">
      <t>ガイヨウ</t>
    </rPh>
    <rPh sb="4" eb="6">
      <t>ニュウリョク</t>
    </rPh>
    <phoneticPr fontId="20"/>
  </si>
  <si>
    <t>① 建物概要</t>
    <rPh sb="2" eb="4">
      <t>ﾀﾃﾓﾉ</t>
    </rPh>
    <rPh sb="4" eb="6">
      <t>ｶﾞｲﾖｳ</t>
    </rPh>
    <phoneticPr fontId="30" type="noConversion"/>
  </si>
  <si>
    <t>改修前</t>
    <rPh sb="0" eb="2">
      <t>カイシュウ</t>
    </rPh>
    <rPh sb="2" eb="3">
      <t>マエ</t>
    </rPh>
    <phoneticPr fontId="20"/>
  </si>
  <si>
    <t>改修後</t>
    <rPh sb="0" eb="2">
      <t>カイシュウ</t>
    </rPh>
    <rPh sb="2" eb="3">
      <t>ゴ</t>
    </rPh>
    <phoneticPr fontId="20"/>
  </si>
  <si>
    <t>地域区分Ⅱ</t>
  </si>
  <si>
    <t>■建物名称</t>
    <rPh sb="1" eb="3">
      <t>ﾀﾃﾓﾉ</t>
    </rPh>
    <rPh sb="3" eb="5">
      <t>ﾒｲｼｮｳ</t>
    </rPh>
    <phoneticPr fontId="30" type="noConversion"/>
  </si>
  <si>
    <t>旧ビル</t>
    <rPh sb="0" eb="1">
      <t>キュウ</t>
    </rPh>
    <phoneticPr fontId="20"/>
  </si>
  <si>
    <t>新ビル</t>
    <rPh sb="0" eb="1">
      <t>シン</t>
    </rPh>
    <phoneticPr fontId="20"/>
  </si>
  <si>
    <t>地域区分Ⅲ</t>
  </si>
  <si>
    <t>■建設地</t>
    <rPh sb="1" eb="4">
      <t>ｹﾝｾﾂﾁ</t>
    </rPh>
    <phoneticPr fontId="30" type="noConversion"/>
  </si>
  <si>
    <t>地域区分Ⅳ</t>
  </si>
  <si>
    <t>■気候区分</t>
    <rPh sb="1" eb="3">
      <t>ｷｺｳ</t>
    </rPh>
    <rPh sb="3" eb="5">
      <t>ｸﾌﾞﾝ</t>
    </rPh>
    <phoneticPr fontId="30" type="noConversion"/>
  </si>
  <si>
    <t>地域区分Ⅴ</t>
  </si>
  <si>
    <t>■地域・地区</t>
    <rPh sb="1" eb="3">
      <t>ﾁｲｷ</t>
    </rPh>
    <rPh sb="4" eb="6">
      <t>ﾁｸ</t>
    </rPh>
    <phoneticPr fontId="30" type="noConversion"/>
  </si>
  <si>
    <t>商業地域、防火地域</t>
    <rPh sb="0" eb="2">
      <t>ショウギョウ</t>
    </rPh>
    <rPh sb="2" eb="4">
      <t>チイキ</t>
    </rPh>
    <rPh sb="5" eb="7">
      <t>ボウカ</t>
    </rPh>
    <rPh sb="7" eb="9">
      <t>チイキ</t>
    </rPh>
    <phoneticPr fontId="20"/>
  </si>
  <si>
    <t>地域区分Ⅵ</t>
  </si>
  <si>
    <t>■敷地面積</t>
    <rPh sb="1" eb="3">
      <t>ｼｷﾁ</t>
    </rPh>
    <rPh sb="3" eb="5">
      <t>ﾒﾝｾｷ</t>
    </rPh>
    <phoneticPr fontId="30" type="noConversion"/>
  </si>
  <si>
    <t>㎡</t>
    <phoneticPr fontId="20"/>
  </si>
  <si>
    <t>■建築面積</t>
    <rPh sb="1" eb="3">
      <t>ｹﾝﾁｸ</t>
    </rPh>
    <rPh sb="3" eb="5">
      <t>ﾒﾝｾｷ</t>
    </rPh>
    <phoneticPr fontId="30" type="noConversion"/>
  </si>
  <si>
    <t>㎡</t>
  </si>
  <si>
    <t>㎡</t>
    <phoneticPr fontId="20"/>
  </si>
  <si>
    <t>■延床面積</t>
    <rPh sb="1" eb="2">
      <t>ﾉ</t>
    </rPh>
    <rPh sb="2" eb="5">
      <t>ﾕｶﾒﾝｾｷ</t>
    </rPh>
    <phoneticPr fontId="30" type="noConversion"/>
  </si>
  <si>
    <t>■建物用途名</t>
    <rPh sb="1" eb="3">
      <t>タテモノ</t>
    </rPh>
    <rPh sb="3" eb="5">
      <t>ヨウト</t>
    </rPh>
    <rPh sb="5" eb="6">
      <t>メイ</t>
    </rPh>
    <phoneticPr fontId="20"/>
  </si>
  <si>
    <t>○○</t>
    <phoneticPr fontId="20"/>
  </si>
  <si>
    <t>■階数</t>
    <rPh sb="1" eb="3">
      <t>カイスウ</t>
    </rPh>
    <phoneticPr fontId="20"/>
  </si>
  <si>
    <t>地上12F</t>
    <rPh sb="0" eb="2">
      <t>チジョウ</t>
    </rPh>
    <phoneticPr fontId="20"/>
  </si>
  <si>
    <t>■構造</t>
    <rPh sb="1" eb="3">
      <t>コウゾウ</t>
    </rPh>
    <phoneticPr fontId="20"/>
  </si>
  <si>
    <t>S造</t>
    <rPh sb="1" eb="2">
      <t>ゾウ</t>
    </rPh>
    <phoneticPr fontId="20"/>
  </si>
  <si>
    <t>RC造</t>
    <rPh sb="2" eb="3">
      <t>ゾウ</t>
    </rPh>
    <phoneticPr fontId="20"/>
  </si>
  <si>
    <t>SRC造</t>
    <rPh sb="3" eb="4">
      <t>ゾウ</t>
    </rPh>
    <phoneticPr fontId="20"/>
  </si>
  <si>
    <t>■平均居住人員</t>
    <rPh sb="1" eb="3">
      <t>ﾍｲｷﾝ</t>
    </rPh>
    <rPh sb="3" eb="5">
      <t>ｷｮｼﾞｭｳ</t>
    </rPh>
    <rPh sb="5" eb="7">
      <t>ｼﾞﾝｲﾝ</t>
    </rPh>
    <phoneticPr fontId="30" type="noConversion"/>
  </si>
  <si>
    <t>○○</t>
    <phoneticPr fontId="20"/>
  </si>
  <si>
    <t>人（想定値）</t>
    <rPh sb="0" eb="1">
      <t>ニン</t>
    </rPh>
    <rPh sb="2" eb="4">
      <t>ソウテイ</t>
    </rPh>
    <rPh sb="4" eb="5">
      <t>アタイ</t>
    </rPh>
    <phoneticPr fontId="20"/>
  </si>
  <si>
    <t>■年間使用時間</t>
    <rPh sb="1" eb="3">
      <t>ﾈﾝｶﾝ</t>
    </rPh>
    <rPh sb="3" eb="5">
      <t>ｼﾖｳ</t>
    </rPh>
    <rPh sb="5" eb="7">
      <t>ｼﾞｶﾝ</t>
    </rPh>
    <phoneticPr fontId="30" type="noConversion"/>
  </si>
  <si>
    <t>時間/年（想定値）</t>
    <rPh sb="0" eb="2">
      <t>ジカン</t>
    </rPh>
    <rPh sb="3" eb="4">
      <t>ネン</t>
    </rPh>
    <phoneticPr fontId="20"/>
  </si>
  <si>
    <t>■経過年数</t>
    <rPh sb="1" eb="3">
      <t>ｹｲｶ</t>
    </rPh>
    <rPh sb="3" eb="5">
      <t>ﾈﾝｽｳ</t>
    </rPh>
    <phoneticPr fontId="30" type="noConversion"/>
  </si>
  <si>
    <t>年</t>
    <rPh sb="0" eb="1">
      <t>ﾈﾝ</t>
    </rPh>
    <phoneticPr fontId="30" type="noConversion"/>
  </si>
  <si>
    <t>■改修後の
　 使用想定年数</t>
    <rPh sb="1" eb="3">
      <t>ｶｲｼｭｳ</t>
    </rPh>
    <rPh sb="3" eb="4">
      <t>ｺﾞ</t>
    </rPh>
    <rPh sb="8" eb="10">
      <t>ｼﾖｳ</t>
    </rPh>
    <rPh sb="10" eb="12">
      <t>ｿｳﾃｲ</t>
    </rPh>
    <rPh sb="12" eb="14">
      <t>ﾈﾝｽｳ</t>
    </rPh>
    <phoneticPr fontId="30" type="noConversion"/>
  </si>
  <si>
    <t>■現在までの</t>
    <rPh sb="1" eb="3">
      <t>ｹﾞﾝｻﾞｲ</t>
    </rPh>
    <phoneticPr fontId="30" type="noConversion"/>
  </si>
  <si>
    <t>■改修目的</t>
    <rPh sb="1" eb="3">
      <t>ｶｲｼｭｳ</t>
    </rPh>
    <rPh sb="3" eb="5">
      <t>ﾓｸﾃｷ</t>
    </rPh>
    <phoneticPr fontId="30" type="noConversion"/>
  </si>
  <si>
    <t>　 主な改修履歴</t>
    <phoneticPr fontId="30" type="noConversion"/>
  </si>
  <si>
    <t>■改修対象項目</t>
    <rPh sb="1" eb="3">
      <t>ｶｲｼｭｳ</t>
    </rPh>
    <rPh sb="3" eb="5">
      <t>ﾀｲｼｮｳ</t>
    </rPh>
    <rPh sb="5" eb="7">
      <t>ｺｳﾓｸ</t>
    </rPh>
    <phoneticPr fontId="30" type="noConversion"/>
  </si>
  <si>
    <t>躯体</t>
    <rPh sb="0" eb="2">
      <t>ｸﾀｲ</t>
    </rPh>
    <phoneticPr fontId="30" type="noConversion"/>
  </si>
  <si>
    <t>外装</t>
    <rPh sb="0" eb="2">
      <t>ｶﾞｲｿｳ</t>
    </rPh>
    <phoneticPr fontId="30" type="noConversion"/>
  </si>
  <si>
    <t>内装</t>
    <rPh sb="0" eb="2">
      <t>ﾅｲｿｳ</t>
    </rPh>
    <phoneticPr fontId="30" type="noConversion"/>
  </si>
  <si>
    <t>設備</t>
    <rPh sb="0" eb="2">
      <t>ｾﾂﾋﾞ</t>
    </rPh>
    <phoneticPr fontId="30" type="noConversion"/>
  </si>
  <si>
    <t>■改修工事期間</t>
    <rPh sb="1" eb="3">
      <t>ｶｲｼｭｳ</t>
    </rPh>
    <rPh sb="3" eb="5">
      <t>ｺｳｼﾞ</t>
    </rPh>
    <rPh sb="5" eb="7">
      <t>ｷｶﾝ</t>
    </rPh>
    <phoneticPr fontId="30" type="noConversion"/>
  </si>
  <si>
    <t>② 評価の実施</t>
    <rPh sb="2" eb="4">
      <t>ヒョウカ</t>
    </rPh>
    <rPh sb="5" eb="7">
      <t>ジッシ</t>
    </rPh>
    <phoneticPr fontId="20"/>
  </si>
  <si>
    <r>
      <t xml:space="preserve">■ </t>
    </r>
    <r>
      <rPr>
        <sz val="9"/>
        <color indexed="8"/>
        <rFont val="ＭＳ Ｐゴシック"/>
        <family val="3"/>
        <charset val="128"/>
      </rPr>
      <t>評価の実施</t>
    </r>
    <rPh sb="2" eb="4">
      <t>ヒョウカ</t>
    </rPh>
    <rPh sb="5" eb="7">
      <t>ジッシ</t>
    </rPh>
    <phoneticPr fontId="20"/>
  </si>
  <si>
    <r>
      <t xml:space="preserve">■ </t>
    </r>
    <r>
      <rPr>
        <sz val="9"/>
        <color indexed="8"/>
        <rFont val="ＭＳ Ｐゴシック"/>
        <family val="3"/>
        <charset val="128"/>
      </rPr>
      <t>作成者</t>
    </r>
    <rPh sb="2" eb="5">
      <t>サクセイシャ</t>
    </rPh>
    <phoneticPr fontId="20"/>
  </si>
  <si>
    <r>
      <t xml:space="preserve">■ </t>
    </r>
    <r>
      <rPr>
        <sz val="9"/>
        <color indexed="8"/>
        <rFont val="ＭＳ Ｐゴシック"/>
        <family val="3"/>
        <charset val="128"/>
      </rPr>
      <t>確認日</t>
    </r>
    <rPh sb="2" eb="4">
      <t>カクニン</t>
    </rPh>
    <rPh sb="4" eb="5">
      <t>ビ</t>
    </rPh>
    <phoneticPr fontId="20"/>
  </si>
  <si>
    <r>
      <t xml:space="preserve">■ </t>
    </r>
    <r>
      <rPr>
        <sz val="9"/>
        <color indexed="8"/>
        <rFont val="ＭＳ Ｐゴシック"/>
        <family val="3"/>
        <charset val="128"/>
      </rPr>
      <t>確認者</t>
    </r>
    <rPh sb="2" eb="4">
      <t>カクニン</t>
    </rPh>
    <rPh sb="4" eb="5">
      <t>シャ</t>
    </rPh>
    <phoneticPr fontId="20"/>
  </si>
  <si>
    <r>
      <t>■</t>
    </r>
    <r>
      <rPr>
        <sz val="9"/>
        <color indexed="8"/>
        <rFont val="ＭＳ Ｐゴシック"/>
        <family val="3"/>
        <charset val="128"/>
      </rPr>
      <t>LCCO</t>
    </r>
    <r>
      <rPr>
        <vertAlign val="subscript"/>
        <sz val="9"/>
        <color indexed="8"/>
        <rFont val="ＭＳ Ｐゴシック"/>
        <family val="3"/>
        <charset val="128"/>
      </rPr>
      <t>2</t>
    </r>
    <r>
      <rPr>
        <sz val="9"/>
        <color indexed="8"/>
        <rFont val="ＭＳ Ｐゴシック"/>
        <family val="3"/>
        <charset val="128"/>
      </rPr>
      <t>の計算</t>
    </r>
    <rPh sb="7" eb="9">
      <t>ケイサン</t>
    </rPh>
    <phoneticPr fontId="20"/>
  </si>
  <si>
    <t>標準計算</t>
    <rPh sb="0" eb="2">
      <t>ヒョウジュン</t>
    </rPh>
    <rPh sb="2" eb="4">
      <t>ケイサン</t>
    </rPh>
    <phoneticPr fontId="20"/>
  </si>
  <si>
    <t>→LCCO2算定条件シート（標準計算）を入力</t>
    <rPh sb="6" eb="8">
      <t>サンテイ</t>
    </rPh>
    <rPh sb="8" eb="10">
      <t>ジョウケン</t>
    </rPh>
    <rPh sb="14" eb="16">
      <t>ヒョウジュン</t>
    </rPh>
    <rPh sb="16" eb="18">
      <t>ケイサン</t>
    </rPh>
    <rPh sb="20" eb="22">
      <t>ニュウリョク</t>
    </rPh>
    <phoneticPr fontId="20"/>
  </si>
  <si>
    <t>個別計算</t>
    <rPh sb="0" eb="2">
      <t>コベツ</t>
    </rPh>
    <rPh sb="2" eb="4">
      <t>ケイサン</t>
    </rPh>
    <phoneticPr fontId="20"/>
  </si>
  <si>
    <t>→LCCO2算定条件シート（個別計算）を入力</t>
    <rPh sb="6" eb="8">
      <t>サンテイ</t>
    </rPh>
    <rPh sb="8" eb="10">
      <t>ジョウケン</t>
    </rPh>
    <rPh sb="14" eb="16">
      <t>コベツ</t>
    </rPh>
    <rPh sb="16" eb="18">
      <t>ケイサン</t>
    </rPh>
    <rPh sb="20" eb="22">
      <t>ニュウリョク</t>
    </rPh>
    <phoneticPr fontId="20"/>
  </si>
  <si>
    <t>2) 個別用途入力</t>
    <rPh sb="3" eb="5">
      <t>コベツ</t>
    </rPh>
    <rPh sb="5" eb="7">
      <t>ヨウト</t>
    </rPh>
    <rPh sb="7" eb="9">
      <t>ニュウリョク</t>
    </rPh>
    <phoneticPr fontId="20"/>
  </si>
  <si>
    <t>before</t>
    <phoneticPr fontId="20"/>
  </si>
  <si>
    <r>
      <t>c</t>
    </r>
    <r>
      <rPr>
        <sz val="11"/>
        <rFont val="ＭＳ Ｐゴシック"/>
        <family val="3"/>
        <charset val="128"/>
      </rPr>
      <t>ommon</t>
    </r>
    <phoneticPr fontId="20"/>
  </si>
  <si>
    <t>Residential</t>
    <phoneticPr fontId="20"/>
  </si>
  <si>
    <t>after</t>
    <phoneticPr fontId="20"/>
  </si>
  <si>
    <t xml:space="preserve"> 事務所</t>
  </si>
  <si>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</si>
  <si>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</si>
  <si>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</si>
  <si>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</si>
  <si>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</si>
  <si>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</si>
  <si>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</si>
  <si>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0"/>
  </si>
  <si>
    <t>集会所</t>
    <rPh sb="2" eb="3">
      <t>ショ</t>
    </rPh>
    <phoneticPr fontId="20"/>
  </si>
  <si>
    <t xml:space="preserve"> 工場</t>
    <rPh sb="1" eb="3">
      <t>コウジョウ</t>
    </rPh>
    <phoneticPr fontId="20"/>
  </si>
  <si>
    <t>病院</t>
  </si>
  <si>
    <t xml:space="preserve"> 病院</t>
  </si>
  <si>
    <t>ホテル</t>
    <phoneticPr fontId="20"/>
  </si>
  <si>
    <t xml:space="preserve"> ホテル</t>
  </si>
  <si>
    <t>集合住宅</t>
  </si>
  <si>
    <t xml:space="preserve"> 集合住宅</t>
  </si>
  <si>
    <t>工場</t>
    <rPh sb="0" eb="2">
      <t>コウジョウ</t>
    </rPh>
    <phoneticPr fontId="20"/>
  </si>
  <si>
    <t>② 住居・宿泊部分の比率</t>
    <rPh sb="2" eb="4">
      <t>ジュウキョ</t>
    </rPh>
    <rPh sb="5" eb="7">
      <t>シュクハク</t>
    </rPh>
    <rPh sb="7" eb="9">
      <t>ブブン</t>
    </rPh>
    <rPh sb="10" eb="12">
      <t>ヒリツ</t>
    </rPh>
    <phoneticPr fontId="20"/>
  </si>
  <si>
    <t>合計</t>
    <rPh sb="0" eb="2">
      <t>ゴウケイ</t>
    </rPh>
    <phoneticPr fontId="20"/>
  </si>
  <si>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0"/>
  </si>
  <si>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0"/>
  </si>
  <si>
    <t>3）結果出力</t>
    <rPh sb="2" eb="4">
      <t>ケッカ</t>
    </rPh>
    <rPh sb="4" eb="6">
      <t>シュツリョク</t>
    </rPh>
    <phoneticPr fontId="20"/>
  </si>
  <si>
    <t>スコアシート</t>
    <phoneticPr fontId="20"/>
  </si>
  <si>
    <t>●スコア入力</t>
    <phoneticPr fontId="20"/>
  </si>
  <si>
    <t>●スコア表示</t>
    <phoneticPr fontId="20"/>
  </si>
  <si>
    <t>評価結果表示シート</t>
    <rPh sb="0" eb="2">
      <t>ヒョウカ</t>
    </rPh>
    <rPh sb="2" eb="4">
      <t>ケッカ</t>
    </rPh>
    <rPh sb="4" eb="6">
      <t>ヒョウジ</t>
    </rPh>
    <phoneticPr fontId="20"/>
  </si>
  <si>
    <t>LCCO2算定条件シート</t>
    <rPh sb="5" eb="7">
      <t>サンテイ</t>
    </rPh>
    <rPh sb="7" eb="9">
      <t>ジョウケン</t>
    </rPh>
    <phoneticPr fontId="20"/>
  </si>
  <si>
    <t>●標準計算</t>
    <rPh sb="1" eb="3">
      <t>ヒョウジュン</t>
    </rPh>
    <rPh sb="3" eb="5">
      <t>ケイサン</t>
    </rPh>
    <phoneticPr fontId="20"/>
  </si>
  <si>
    <t>●個別計算</t>
    <rPh sb="1" eb="3">
      <t>ｺﾍﾞﾂ</t>
    </rPh>
    <rPh sb="3" eb="5">
      <t>ｹｲｻﾝ</t>
    </rPh>
    <phoneticPr fontId="30" type="noConversion"/>
  </si>
  <si>
    <t>用途名</t>
    <rPh sb="0" eb="2">
      <t>ヨウト</t>
    </rPh>
    <rPh sb="2" eb="3">
      <t>メイ</t>
    </rPh>
    <phoneticPr fontId="20"/>
  </si>
  <si>
    <t xml:space="preserve"> 含まれる用途</t>
    <rPh sb="1" eb="2">
      <t>フク</t>
    </rPh>
    <rPh sb="5" eb="7">
      <t>ヨウト</t>
    </rPh>
    <phoneticPr fontId="20"/>
  </si>
  <si>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0"/>
  </si>
  <si>
    <t xml:space="preserve"> 百貨店、マーケット など</t>
    <rPh sb="1" eb="4">
      <t>ヒャッカテン</t>
    </rPh>
    <phoneticPr fontId="20"/>
  </si>
  <si>
    <t xml:space="preserve"> 飲食店、食堂、喫茶店 など</t>
    <rPh sb="1" eb="3">
      <t>インショク</t>
    </rPh>
    <rPh sb="3" eb="4">
      <t>テン</t>
    </rPh>
    <rPh sb="5" eb="7">
      <t>ショクドウ</t>
    </rPh>
    <rPh sb="8" eb="11">
      <t>キッサテン</t>
    </rPh>
    <phoneticPr fontId="20"/>
  </si>
  <si>
    <t xml:space="preserve"> 公会堂、集会場、ボーリング場、体育館、劇場、映画館、展示施設 など</t>
    <rPh sb="1" eb="4">
      <t>コウカイドウ</t>
    </rPh>
    <rPh sb="5" eb="8">
      <t>シュウカイジョウ</t>
    </rPh>
    <rPh sb="14" eb="15">
      <t>ジョウ</t>
    </rPh>
    <rPh sb="16" eb="19">
      <t>タイイクカン</t>
    </rPh>
    <rPh sb="20" eb="22">
      <t>ゲキジョウ</t>
    </rPh>
    <rPh sb="23" eb="26">
      <t>エイガカン</t>
    </rPh>
    <phoneticPr fontId="20"/>
  </si>
  <si>
    <t xml:space="preserve"> 病院、老人ホーム、身体障害者福祉ホームなど</t>
    <rPh sb="1" eb="3">
      <t>ビョウイン</t>
    </rPh>
    <rPh sb="4" eb="6">
      <t>ロウジン</t>
    </rPh>
    <rPh sb="10" eb="12">
      <t>シンタイ</t>
    </rPh>
    <rPh sb="12" eb="15">
      <t>ショウガイシャ</t>
    </rPh>
    <rPh sb="15" eb="17">
      <t>フクシ</t>
    </rPh>
    <phoneticPr fontId="20"/>
  </si>
  <si>
    <t xml:space="preserve"> ホテル、旅館など</t>
    <rPh sb="5" eb="7">
      <t>リョカン</t>
    </rPh>
    <phoneticPr fontId="20"/>
  </si>
  <si>
    <t xml:space="preserve"> 集合住宅（戸建は対象外）</t>
    <phoneticPr fontId="20"/>
  </si>
  <si>
    <t>■　環境設計の配慮事項</t>
    <rPh sb="2" eb="4">
      <t>カンキョウ</t>
    </rPh>
    <rPh sb="4" eb="6">
      <t>セッケイ</t>
    </rPh>
    <rPh sb="7" eb="9">
      <t>ハイリョ</t>
    </rPh>
    <rPh sb="9" eb="11">
      <t>ジコウ</t>
    </rPh>
    <phoneticPr fontId="20"/>
  </si>
  <si>
    <t>■作成日</t>
    <rPh sb="1" eb="4">
      <t>サクセイビ</t>
    </rPh>
    <phoneticPr fontId="20"/>
  </si>
  <si>
    <t>■建物用途</t>
    <rPh sb="1" eb="3">
      <t>ﾀﾃﾓﾉ</t>
    </rPh>
    <rPh sb="3" eb="5">
      <t>ﾖｳﾄ</t>
    </rPh>
    <phoneticPr fontId="30" type="noConversion"/>
  </si>
  <si>
    <t>■作成者</t>
    <rPh sb="1" eb="4">
      <t>サクセイシャ</t>
    </rPh>
    <phoneticPr fontId="20"/>
  </si>
  <si>
    <t>■改修目的</t>
    <rPh sb="1" eb="3">
      <t>カイシュウ</t>
    </rPh>
    <rPh sb="3" eb="5">
      <t>モクテキ</t>
    </rPh>
    <phoneticPr fontId="20"/>
  </si>
  <si>
    <t>計画上の配慮事項</t>
    <rPh sb="0" eb="2">
      <t>ケイカク</t>
    </rPh>
    <rPh sb="2" eb="3">
      <t>ジョウ</t>
    </rPh>
    <rPh sb="4" eb="6">
      <t>ハイリョ</t>
    </rPh>
    <rPh sb="6" eb="8">
      <t>ジコウ</t>
    </rPh>
    <phoneticPr fontId="20"/>
  </si>
  <si>
    <t>主な環境配慮の具体策</t>
    <rPh sb="0" eb="1">
      <t>オモ</t>
    </rPh>
    <rPh sb="2" eb="4">
      <t>カンキョウ</t>
    </rPh>
    <rPh sb="4" eb="6">
      <t>ハイリョ</t>
    </rPh>
    <rPh sb="7" eb="9">
      <t>グタイ</t>
    </rPh>
    <rPh sb="9" eb="10">
      <t>サク</t>
    </rPh>
    <phoneticPr fontId="20"/>
  </si>
  <si>
    <t>総合</t>
    <rPh sb="0" eb="2">
      <t>ソウゴウ</t>
    </rPh>
    <phoneticPr fontId="20"/>
  </si>
  <si>
    <t>Q1 
室内環境</t>
    <rPh sb="4" eb="6">
      <t>シツナイ</t>
    </rPh>
    <rPh sb="6" eb="8">
      <t>カンキョウ</t>
    </rPh>
    <phoneticPr fontId="20"/>
  </si>
  <si>
    <t>注）　改修における「Q1　室内環境」に対する配慮事項を簡潔に記載してください。</t>
    <rPh sb="22" eb="24">
      <t>ハイリョ</t>
    </rPh>
    <rPh sb="24" eb="26">
      <t>ジコウ</t>
    </rPh>
    <phoneticPr fontId="20"/>
  </si>
  <si>
    <t>Q2 
サービス性能</t>
    <rPh sb="8" eb="10">
      <t>セイノウ</t>
    </rPh>
    <phoneticPr fontId="20"/>
  </si>
  <si>
    <t>Q3 
室外環境（敷地内）</t>
    <rPh sb="4" eb="6">
      <t>シツガイ</t>
    </rPh>
    <rPh sb="6" eb="8">
      <t>カンキョウ</t>
    </rPh>
    <rPh sb="9" eb="11">
      <t>シキチ</t>
    </rPh>
    <rPh sb="11" eb="12">
      <t>ナイ</t>
    </rPh>
    <phoneticPr fontId="20"/>
  </si>
  <si>
    <t>LR1 
エネルギー</t>
    <phoneticPr fontId="20"/>
  </si>
  <si>
    <t>注）　改修における「LR1　エネルギー」に対する配慮事項を簡潔に記載してください。</t>
    <phoneticPr fontId="20"/>
  </si>
  <si>
    <t>LR2 
資源・マテリアル</t>
    <rPh sb="5" eb="7">
      <t>シゲン</t>
    </rPh>
    <phoneticPr fontId="20"/>
  </si>
  <si>
    <t>LR3 
敷地外環境</t>
    <rPh sb="5" eb="7">
      <t>シキチ</t>
    </rPh>
    <rPh sb="7" eb="8">
      <t>ガイ</t>
    </rPh>
    <rPh sb="8" eb="10">
      <t>カンキョウ</t>
    </rPh>
    <phoneticPr fontId="20"/>
  </si>
  <si>
    <t>その他</t>
    <rPh sb="2" eb="3">
      <t>ホカ</t>
    </rPh>
    <phoneticPr fontId="20"/>
  </si>
  <si>
    <t>スコア入力シート</t>
    <rPh sb="3" eb="5">
      <t>ニュウリョク</t>
    </rPh>
    <phoneticPr fontId="20"/>
  </si>
  <si>
    <t>改修しない</t>
    <rPh sb="0" eb="2">
      <t>カイシュウ</t>
    </rPh>
    <phoneticPr fontId="20"/>
  </si>
  <si>
    <t>建物全体・共用部分</t>
    <rPh sb="0" eb="2">
      <t>タテモノ</t>
    </rPh>
    <rPh sb="2" eb="4">
      <t>ゼンタイ</t>
    </rPh>
    <rPh sb="5" eb="7">
      <t>キョウヨウ</t>
    </rPh>
    <rPh sb="7" eb="9">
      <t>ブブン</t>
    </rPh>
    <phoneticPr fontId="20"/>
  </si>
  <si>
    <t>住居・宿泊部分</t>
    <rPh sb="0" eb="2">
      <t>ジュウキョ</t>
    </rPh>
    <rPh sb="3" eb="5">
      <t>シュクハク</t>
    </rPh>
    <rPh sb="5" eb="7">
      <t>ブブン</t>
    </rPh>
    <phoneticPr fontId="20"/>
  </si>
  <si>
    <t>建物全体・共用</t>
    <phoneticPr fontId="20"/>
  </si>
  <si>
    <t>住居宿泊</t>
    <rPh sb="0" eb="2">
      <t>ジュウキョ</t>
    </rPh>
    <rPh sb="2" eb="4">
      <t>シュクハク</t>
    </rPh>
    <phoneticPr fontId="20"/>
  </si>
  <si>
    <t>参照する重み</t>
    <rPh sb="0" eb="2">
      <t>サンショウ</t>
    </rPh>
    <rPh sb="4" eb="5">
      <t>オモ</t>
    </rPh>
    <phoneticPr fontId="20"/>
  </si>
  <si>
    <t>参照する基準</t>
    <rPh sb="0" eb="2">
      <t>サンショウ</t>
    </rPh>
    <rPh sb="4" eb="6">
      <t>キジュン</t>
    </rPh>
    <phoneticPr fontId="20"/>
  </si>
  <si>
    <t>②改修前（ｵﾌﾟｼｮﾝ）</t>
    <rPh sb="1" eb="3">
      <t>カイシュウ</t>
    </rPh>
    <rPh sb="3" eb="4">
      <t>マエ</t>
    </rPh>
    <phoneticPr fontId="20"/>
  </si>
  <si>
    <t>③改修後</t>
    <rPh sb="1" eb="3">
      <t>カイシュウ</t>
    </rPh>
    <rPh sb="3" eb="4">
      <t>ゴ</t>
    </rPh>
    <phoneticPr fontId="20"/>
  </si>
  <si>
    <t>評価項目</t>
    <rPh sb="0" eb="2">
      <t>ヒョウカ</t>
    </rPh>
    <phoneticPr fontId="20"/>
  </si>
  <si>
    <t>[　] 内；CASBEE-既存の項目名</t>
    <rPh sb="4" eb="5">
      <t>ナイ</t>
    </rPh>
    <phoneticPr fontId="20"/>
  </si>
  <si>
    <t>内装</t>
    <rPh sb="0" eb="2">
      <t>ナイソウ</t>
    </rPh>
    <phoneticPr fontId="20"/>
  </si>
  <si>
    <t>外装</t>
    <rPh sb="0" eb="2">
      <t>ガイソウ</t>
    </rPh>
    <phoneticPr fontId="20"/>
  </si>
  <si>
    <t>改修対象外</t>
    <rPh sb="0" eb="2">
      <t>カイシュウ</t>
    </rPh>
    <rPh sb="2" eb="4">
      <t>タイショウ</t>
    </rPh>
    <rPh sb="4" eb="5">
      <t>ガイ</t>
    </rPh>
    <phoneticPr fontId="20"/>
  </si>
  <si>
    <t>改修
対象外</t>
    <rPh sb="0" eb="2">
      <t>カイシュウ</t>
    </rPh>
    <rPh sb="3" eb="5">
      <t>タイショウ</t>
    </rPh>
    <rPh sb="5" eb="6">
      <t>ガイ</t>
    </rPh>
    <phoneticPr fontId="20"/>
  </si>
  <si>
    <t>①改修対象外の選択</t>
    <rPh sb="7" eb="9">
      <t>センタク</t>
    </rPh>
    <phoneticPr fontId="20"/>
  </si>
  <si>
    <t>参照基準</t>
    <rPh sb="0" eb="2">
      <t>サンショウ</t>
    </rPh>
    <rPh sb="2" eb="4">
      <t>キジュン</t>
    </rPh>
    <phoneticPr fontId="20"/>
  </si>
  <si>
    <t>スコア</t>
    <phoneticPr fontId="20"/>
  </si>
  <si>
    <t>weight(set)
before</t>
    <phoneticPr fontId="20"/>
  </si>
  <si>
    <t>weight(set)
after</t>
    <phoneticPr fontId="20"/>
  </si>
  <si>
    <t>weight(corrected)before</t>
    <phoneticPr fontId="20"/>
  </si>
  <si>
    <t>weight(corrected)after</t>
    <phoneticPr fontId="20"/>
  </si>
  <si>
    <t>Ｑ　建築物の環境品質</t>
    <phoneticPr fontId="20"/>
  </si>
  <si>
    <t>Q1</t>
    <phoneticPr fontId="30" type="noConversion"/>
  </si>
  <si>
    <t>室内環境</t>
  </si>
  <si>
    <t>音環境</t>
    <rPh sb="0" eb="1">
      <t>ｵﾄ</t>
    </rPh>
    <rPh sb="1" eb="3">
      <t>ｶﾝｷｮｳ</t>
    </rPh>
    <phoneticPr fontId="30" type="noConversion"/>
  </si>
  <si>
    <t>EB</t>
    <phoneticPr fontId="20"/>
  </si>
  <si>
    <t>NC</t>
    <phoneticPr fontId="20"/>
  </si>
  <si>
    <t>騒音</t>
  </si>
  <si>
    <t>EB</t>
    <phoneticPr fontId="20"/>
  </si>
  <si>
    <t>NC</t>
    <phoneticPr fontId="20"/>
  </si>
  <si>
    <t>EB</t>
    <phoneticPr fontId="20"/>
  </si>
  <si>
    <t>NC</t>
  </si>
  <si>
    <t>遮音</t>
  </si>
  <si>
    <t>NC</t>
    <phoneticPr fontId="20"/>
  </si>
  <si>
    <t>開口部遮音性能</t>
    <phoneticPr fontId="20"/>
  </si>
  <si>
    <t>界壁遮音性能</t>
  </si>
  <si>
    <t>界床遮音性能（軽量衝撃源）</t>
  </si>
  <si>
    <t>界床遮音性能（重量衝撃源）</t>
  </si>
  <si>
    <t>吸音</t>
  </si>
  <si>
    <t>温熱環境</t>
    <rPh sb="0" eb="2">
      <t>ｵﾝﾈﾂ</t>
    </rPh>
    <rPh sb="2" eb="4">
      <t>ｶﾝｷｮｳ</t>
    </rPh>
    <phoneticPr fontId="30" type="noConversion"/>
  </si>
  <si>
    <t>EB</t>
    <phoneticPr fontId="20"/>
  </si>
  <si>
    <t>NC</t>
    <phoneticPr fontId="20"/>
  </si>
  <si>
    <t>室温制御</t>
    <rPh sb="0" eb="2">
      <t>ｼﾂｵﾝ</t>
    </rPh>
    <rPh sb="2" eb="4">
      <t>ｾｲｷﾞｮ</t>
    </rPh>
    <phoneticPr fontId="30" type="noConversion"/>
  </si>
  <si>
    <t>EB</t>
    <phoneticPr fontId="20"/>
  </si>
  <si>
    <t>外皮性能</t>
    <rPh sb="0" eb="2">
      <t>ガイヒ</t>
    </rPh>
    <rPh sb="2" eb="4">
      <t>セイノウ</t>
    </rPh>
    <phoneticPr fontId="20"/>
  </si>
  <si>
    <t>EB</t>
    <phoneticPr fontId="20"/>
  </si>
  <si>
    <t>ゾーン別制御性</t>
    <rPh sb="3" eb="4">
      <t>ベツ</t>
    </rPh>
    <rPh sb="4" eb="7">
      <t>セイギョセイ</t>
    </rPh>
    <phoneticPr fontId="20"/>
  </si>
  <si>
    <t>EB</t>
    <phoneticPr fontId="20"/>
  </si>
  <si>
    <t>個別制御</t>
    <rPh sb="0" eb="2">
      <t>コベツ</t>
    </rPh>
    <rPh sb="2" eb="4">
      <t>セイギョ</t>
    </rPh>
    <phoneticPr fontId="20"/>
  </si>
  <si>
    <t>EB</t>
    <phoneticPr fontId="20"/>
  </si>
  <si>
    <t>監視システム</t>
    <rPh sb="0" eb="2">
      <t>カンシ</t>
    </rPh>
    <phoneticPr fontId="20"/>
  </si>
  <si>
    <t>空調方式</t>
    <rPh sb="0" eb="2">
      <t>クウチョウ</t>
    </rPh>
    <rPh sb="2" eb="4">
      <t>ホウシキ</t>
    </rPh>
    <phoneticPr fontId="20"/>
  </si>
  <si>
    <t>NC</t>
    <phoneticPr fontId="20"/>
  </si>
  <si>
    <t>上下温度差</t>
    <rPh sb="0" eb="2">
      <t>ジョウゲ</t>
    </rPh>
    <rPh sb="2" eb="5">
      <t>オンドサ</t>
    </rPh>
    <phoneticPr fontId="20"/>
  </si>
  <si>
    <t>EB</t>
    <phoneticPr fontId="20"/>
  </si>
  <si>
    <t>NC</t>
    <phoneticPr fontId="20"/>
  </si>
  <si>
    <t>平均気流速度</t>
    <rPh sb="0" eb="2">
      <t>ヘイキン</t>
    </rPh>
    <rPh sb="2" eb="4">
      <t>キリュウ</t>
    </rPh>
    <rPh sb="4" eb="6">
      <t>ソクド</t>
    </rPh>
    <phoneticPr fontId="20"/>
  </si>
  <si>
    <t>EB</t>
    <phoneticPr fontId="20"/>
  </si>
  <si>
    <t>NC</t>
    <phoneticPr fontId="20"/>
  </si>
  <si>
    <t>光・視環境</t>
    <rPh sb="0" eb="1">
      <t>ﾋｶﾘ</t>
    </rPh>
    <rPh sb="2" eb="3">
      <t>ｼ</t>
    </rPh>
    <rPh sb="3" eb="5">
      <t>ｶﾝｷｮｳ</t>
    </rPh>
    <phoneticPr fontId="30" type="noConversion"/>
  </si>
  <si>
    <t>昼光利用</t>
    <rPh sb="0" eb="1">
      <t>ﾋﾙ</t>
    </rPh>
    <rPh sb="1" eb="2">
      <t>ﾋｶﾘ</t>
    </rPh>
    <rPh sb="2" eb="4">
      <t>ﾘﾖｳ</t>
    </rPh>
    <phoneticPr fontId="30" type="noConversion"/>
  </si>
  <si>
    <t>EB</t>
    <phoneticPr fontId="20"/>
  </si>
  <si>
    <t>NC</t>
    <phoneticPr fontId="20"/>
  </si>
  <si>
    <t>風害、砂塵、日照阻害の抑制</t>
    <rPh sb="0" eb="2">
      <t>ﾌｳｶﾞｲ</t>
    </rPh>
    <rPh sb="3" eb="5">
      <t>ｻｼﾞﾝ</t>
    </rPh>
    <rPh sb="6" eb="8">
      <t>ﾆｯｼｮｳ</t>
    </rPh>
    <rPh sb="8" eb="10">
      <t>ｿｶﾞｲ</t>
    </rPh>
    <rPh sb="11" eb="13">
      <t>ﾖｸｾｲ</t>
    </rPh>
    <phoneticPr fontId="30" type="noConversion"/>
  </si>
  <si>
    <t>風害、砂塵、日照阻害の抑制</t>
    <rPh sb="0" eb="2">
      <t>フウガイ</t>
    </rPh>
    <rPh sb="3" eb="5">
      <t>サジン</t>
    </rPh>
    <rPh sb="6" eb="8">
      <t>ニッショウ</t>
    </rPh>
    <rPh sb="8" eb="10">
      <t>ソガイ</t>
    </rPh>
    <rPh sb="11" eb="13">
      <t>ヨクセイ</t>
    </rPh>
    <phoneticPr fontId="20"/>
  </si>
  <si>
    <t>昼光率</t>
    <rPh sb="0" eb="1">
      <t>ヒル</t>
    </rPh>
    <rPh sb="1" eb="2">
      <t>ヒカリ</t>
    </rPh>
    <rPh sb="2" eb="3">
      <t>リツ</t>
    </rPh>
    <phoneticPr fontId="20"/>
  </si>
  <si>
    <t>EB</t>
    <phoneticPr fontId="20"/>
  </si>
  <si>
    <t>方位別開口</t>
    <rPh sb="0" eb="2">
      <t>ホウイ</t>
    </rPh>
    <rPh sb="2" eb="3">
      <t>ベツ</t>
    </rPh>
    <rPh sb="3" eb="5">
      <t>カイコウ</t>
    </rPh>
    <phoneticPr fontId="20"/>
  </si>
  <si>
    <t>EB</t>
    <phoneticPr fontId="20"/>
  </si>
  <si>
    <t>昼光利用設備</t>
    <rPh sb="0" eb="1">
      <t>ヒル</t>
    </rPh>
    <rPh sb="1" eb="2">
      <t>ヒカリ</t>
    </rPh>
    <rPh sb="2" eb="4">
      <t>リヨウ</t>
    </rPh>
    <rPh sb="4" eb="6">
      <t>セツビ</t>
    </rPh>
    <phoneticPr fontId="20"/>
  </si>
  <si>
    <t>EB</t>
    <phoneticPr fontId="20"/>
  </si>
  <si>
    <t>グレア対策</t>
    <rPh sb="3" eb="5">
      <t>ﾀｲｻｸ</t>
    </rPh>
    <phoneticPr fontId="30" type="noConversion"/>
  </si>
  <si>
    <t>EB</t>
    <phoneticPr fontId="20"/>
  </si>
  <si>
    <t>NC</t>
    <phoneticPr fontId="20"/>
  </si>
  <si>
    <t>照明器具のグレア</t>
    <rPh sb="0" eb="2">
      <t>ショウメイ</t>
    </rPh>
    <rPh sb="2" eb="4">
      <t>キグ</t>
    </rPh>
    <phoneticPr fontId="20"/>
  </si>
  <si>
    <t>EB</t>
    <phoneticPr fontId="20"/>
  </si>
  <si>
    <t>昼光制御</t>
    <rPh sb="0" eb="1">
      <t>ヒル</t>
    </rPh>
    <rPh sb="1" eb="2">
      <t>ヒカリ</t>
    </rPh>
    <rPh sb="2" eb="4">
      <t>セイギョ</t>
    </rPh>
    <phoneticPr fontId="20"/>
  </si>
  <si>
    <t>照度</t>
    <rPh sb="0" eb="2">
      <t>ｼｮｳﾄﾞ</t>
    </rPh>
    <phoneticPr fontId="30" type="noConversion"/>
  </si>
  <si>
    <t>照明制御</t>
    <rPh sb="0" eb="2">
      <t>ショウメイ</t>
    </rPh>
    <rPh sb="2" eb="4">
      <t>セイギョ</t>
    </rPh>
    <phoneticPr fontId="20"/>
  </si>
  <si>
    <t>空気質環境</t>
    <rPh sb="0" eb="2">
      <t>クウキ</t>
    </rPh>
    <rPh sb="2" eb="3">
      <t>シツ</t>
    </rPh>
    <rPh sb="3" eb="5">
      <t>カンキョウ</t>
    </rPh>
    <phoneticPr fontId="20"/>
  </si>
  <si>
    <t>発生源対策</t>
    <rPh sb="0" eb="3">
      <t>ﾊｯｾｲｹﾞﾝ</t>
    </rPh>
    <rPh sb="3" eb="5">
      <t>ﾀｲｻｸ</t>
    </rPh>
    <phoneticPr fontId="30" type="noConversion"/>
  </si>
  <si>
    <t>EB</t>
    <phoneticPr fontId="20"/>
  </si>
  <si>
    <t>NC</t>
    <phoneticPr fontId="20"/>
  </si>
  <si>
    <t>化学汚染物質</t>
    <rPh sb="0" eb="2">
      <t>カガク</t>
    </rPh>
    <rPh sb="4" eb="6">
      <t>ブッシツ</t>
    </rPh>
    <phoneticPr fontId="20"/>
  </si>
  <si>
    <t>アスベスト対策</t>
    <rPh sb="5" eb="7">
      <t>タイサク</t>
    </rPh>
    <phoneticPr fontId="20"/>
  </si>
  <si>
    <t>ダニ・カビ等</t>
    <rPh sb="5" eb="6">
      <t>ナド</t>
    </rPh>
    <phoneticPr fontId="20"/>
  </si>
  <si>
    <t>レジオネラ対策</t>
    <rPh sb="5" eb="7">
      <t>タイサク</t>
    </rPh>
    <phoneticPr fontId="20"/>
  </si>
  <si>
    <t>換気</t>
    <rPh sb="0" eb="2">
      <t>ｶﾝｷ</t>
    </rPh>
    <phoneticPr fontId="30" type="noConversion"/>
  </si>
  <si>
    <t>EB</t>
    <phoneticPr fontId="20"/>
  </si>
  <si>
    <t>NC</t>
    <phoneticPr fontId="20"/>
  </si>
  <si>
    <t>換気量</t>
    <rPh sb="0" eb="3">
      <t>カンキリョウ</t>
    </rPh>
    <phoneticPr fontId="20"/>
  </si>
  <si>
    <t>自然換気性能</t>
    <rPh sb="0" eb="2">
      <t>シゼン</t>
    </rPh>
    <rPh sb="2" eb="4">
      <t>カンキ</t>
    </rPh>
    <rPh sb="4" eb="6">
      <t>セイノウ</t>
    </rPh>
    <phoneticPr fontId="20"/>
  </si>
  <si>
    <t>取り入れ外気への配慮</t>
    <rPh sb="0" eb="1">
      <t>ト</t>
    </rPh>
    <rPh sb="2" eb="3">
      <t>イ</t>
    </rPh>
    <rPh sb="4" eb="6">
      <t>ガイキ</t>
    </rPh>
    <rPh sb="8" eb="10">
      <t>ハイリョ</t>
    </rPh>
    <phoneticPr fontId="20"/>
  </si>
  <si>
    <t>給気計画</t>
    <rPh sb="0" eb="1">
      <t>キュウ</t>
    </rPh>
    <rPh sb="1" eb="2">
      <t>キ</t>
    </rPh>
    <rPh sb="2" eb="4">
      <t>ケイカク</t>
    </rPh>
    <phoneticPr fontId="20"/>
  </si>
  <si>
    <t>EB</t>
    <phoneticPr fontId="20"/>
  </si>
  <si>
    <t>運用管理</t>
    <rPh sb="0" eb="2">
      <t>ウンヨウ</t>
    </rPh>
    <rPh sb="2" eb="4">
      <t>カンリ</t>
    </rPh>
    <phoneticPr fontId="20"/>
  </si>
  <si>
    <t>EB</t>
    <phoneticPr fontId="20"/>
  </si>
  <si>
    <t>NC</t>
    <phoneticPr fontId="20"/>
  </si>
  <si>
    <r>
      <t>CO</t>
    </r>
    <r>
      <rPr>
        <vertAlign val="subscript"/>
        <sz val="10"/>
        <rFont val="ＭＳ Ｐゴシック"/>
        <family val="3"/>
        <charset val="128"/>
      </rPr>
      <t>2</t>
    </r>
    <r>
      <rPr>
        <sz val="10"/>
        <rFont val="ＭＳ Ｐゴシック"/>
        <family val="3"/>
        <charset val="128"/>
      </rPr>
      <t>の監視</t>
    </r>
    <rPh sb="4" eb="6">
      <t>カンシ</t>
    </rPh>
    <phoneticPr fontId="20"/>
  </si>
  <si>
    <t>喫煙の制御</t>
    <rPh sb="0" eb="2">
      <t>キツエン</t>
    </rPh>
    <rPh sb="3" eb="5">
      <t>セイギョ</t>
    </rPh>
    <phoneticPr fontId="20"/>
  </si>
  <si>
    <t>EB</t>
    <phoneticPr fontId="20"/>
  </si>
  <si>
    <t>Q2</t>
    <phoneticPr fontId="30" type="noConversion"/>
  </si>
  <si>
    <t>サービス性能</t>
    <phoneticPr fontId="20"/>
  </si>
  <si>
    <t>機能性</t>
    <rPh sb="0" eb="3">
      <t>ｷﾉｳｾｲ</t>
    </rPh>
    <phoneticPr fontId="30" type="noConversion"/>
  </si>
  <si>
    <t>機能性・使いやすさ</t>
    <rPh sb="0" eb="3">
      <t>キノウセイ</t>
    </rPh>
    <rPh sb="4" eb="5">
      <t>ツカ</t>
    </rPh>
    <phoneticPr fontId="20"/>
  </si>
  <si>
    <t>NC</t>
    <phoneticPr fontId="20"/>
  </si>
  <si>
    <t>広さ・収納性</t>
    <rPh sb="0" eb="1">
      <t>ヒロ</t>
    </rPh>
    <rPh sb="3" eb="5">
      <t>シュウノウ</t>
    </rPh>
    <rPh sb="5" eb="6">
      <t>セイ</t>
    </rPh>
    <phoneticPr fontId="20"/>
  </si>
  <si>
    <t>高度情報通信設備対応</t>
    <rPh sb="0" eb="2">
      <t>コウド</t>
    </rPh>
    <rPh sb="2" eb="4">
      <t>ジョウホウ</t>
    </rPh>
    <rPh sb="4" eb="6">
      <t>ツウシン</t>
    </rPh>
    <rPh sb="6" eb="8">
      <t>セツビ</t>
    </rPh>
    <rPh sb="8" eb="10">
      <t>タイオウ</t>
    </rPh>
    <phoneticPr fontId="20"/>
  </si>
  <si>
    <t>バリアフリー計画</t>
    <rPh sb="6" eb="8">
      <t>ケイカク</t>
    </rPh>
    <phoneticPr fontId="20"/>
  </si>
  <si>
    <t>心理性・快適性</t>
    <rPh sb="0" eb="1">
      <t>ｺｺﾛ</t>
    </rPh>
    <rPh sb="1" eb="3">
      <t>ﾘｾｲ</t>
    </rPh>
    <rPh sb="4" eb="7">
      <t>ｶｲﾃｷｾｲ</t>
    </rPh>
    <phoneticPr fontId="30" type="noConversion"/>
  </si>
  <si>
    <t>EB</t>
    <phoneticPr fontId="20"/>
  </si>
  <si>
    <t>NC</t>
    <phoneticPr fontId="20"/>
  </si>
  <si>
    <t>広さ感・景観</t>
    <rPh sb="0" eb="1">
      <t>ヒロ</t>
    </rPh>
    <rPh sb="2" eb="3">
      <t>カン</t>
    </rPh>
    <rPh sb="4" eb="6">
      <t>ケイカン</t>
    </rPh>
    <phoneticPr fontId="20"/>
  </si>
  <si>
    <t>リフレッシュスペース</t>
    <phoneticPr fontId="20"/>
  </si>
  <si>
    <t>内装計画</t>
    <rPh sb="0" eb="2">
      <t>ナイソウ</t>
    </rPh>
    <rPh sb="2" eb="4">
      <t>ケイカク</t>
    </rPh>
    <phoneticPr fontId="20"/>
  </si>
  <si>
    <t>維持管理</t>
    <rPh sb="0" eb="2">
      <t>ｲｼﾞ</t>
    </rPh>
    <rPh sb="2" eb="4">
      <t>ｶﾝﾘ</t>
    </rPh>
    <phoneticPr fontId="2" type="noConversion"/>
  </si>
  <si>
    <t>EB</t>
    <phoneticPr fontId="20"/>
  </si>
  <si>
    <t>維持管理用機能の確保　[清掃管理業務]</t>
    <rPh sb="12" eb="14">
      <t>セイソウ</t>
    </rPh>
    <rPh sb="14" eb="16">
      <t>カンリ</t>
    </rPh>
    <rPh sb="16" eb="18">
      <t>ギョウム</t>
    </rPh>
    <phoneticPr fontId="20"/>
  </si>
  <si>
    <t>衛生管理業務</t>
    <rPh sb="0" eb="2">
      <t>エイセイ</t>
    </rPh>
    <rPh sb="2" eb="4">
      <t>カンリ</t>
    </rPh>
    <rPh sb="4" eb="6">
      <t>ギョウム</t>
    </rPh>
    <phoneticPr fontId="20"/>
  </si>
  <si>
    <t>耐用性・信頼性</t>
    <rPh sb="0" eb="3">
      <t>ﾀｲﾖｳｾｲ</t>
    </rPh>
    <rPh sb="4" eb="6">
      <t>ｼﾝﾗｲ</t>
    </rPh>
    <rPh sb="6" eb="7">
      <t>ｾｲ</t>
    </rPh>
    <phoneticPr fontId="30" type="noConversion"/>
  </si>
  <si>
    <t>EB</t>
    <phoneticPr fontId="20"/>
  </si>
  <si>
    <t>NC</t>
    <phoneticPr fontId="20"/>
  </si>
  <si>
    <t>耐震･免震</t>
    <rPh sb="0" eb="2">
      <t>タイシン</t>
    </rPh>
    <rPh sb="3" eb="4">
      <t>メン</t>
    </rPh>
    <rPh sb="4" eb="5">
      <t>フル</t>
    </rPh>
    <phoneticPr fontId="20"/>
  </si>
  <si>
    <t>EB</t>
    <phoneticPr fontId="20"/>
  </si>
  <si>
    <t>NC</t>
    <phoneticPr fontId="20"/>
  </si>
  <si>
    <t>耐震性</t>
    <rPh sb="0" eb="3">
      <t>タイシンセイ</t>
    </rPh>
    <phoneticPr fontId="20"/>
  </si>
  <si>
    <t>免震制振性能</t>
    <rPh sb="0" eb="1">
      <t>メン</t>
    </rPh>
    <rPh sb="1" eb="2">
      <t>シン</t>
    </rPh>
    <rPh sb="2" eb="3">
      <t>セイ</t>
    </rPh>
    <rPh sb="3" eb="4">
      <t>オサム</t>
    </rPh>
    <rPh sb="4" eb="6">
      <t>セイノウ</t>
    </rPh>
    <phoneticPr fontId="20"/>
  </si>
  <si>
    <t>EB</t>
    <phoneticPr fontId="20"/>
  </si>
  <si>
    <t>部品・部材の耐用年数</t>
    <rPh sb="0" eb="2">
      <t>ブヒン</t>
    </rPh>
    <rPh sb="3" eb="4">
      <t>ブ</t>
    </rPh>
    <rPh sb="4" eb="5">
      <t>ザイ</t>
    </rPh>
    <rPh sb="6" eb="8">
      <t>タイヨウ</t>
    </rPh>
    <rPh sb="8" eb="10">
      <t>ネンスウ</t>
    </rPh>
    <phoneticPr fontId="20"/>
  </si>
  <si>
    <t>NC</t>
    <phoneticPr fontId="20"/>
  </si>
  <si>
    <t>躯体材料の耐用年数</t>
    <rPh sb="0" eb="2">
      <t>クタイ</t>
    </rPh>
    <rPh sb="2" eb="4">
      <t>ザイリョウ</t>
    </rPh>
    <rPh sb="5" eb="7">
      <t>タイヨウ</t>
    </rPh>
    <rPh sb="7" eb="9">
      <t>ネンスウ</t>
    </rPh>
    <phoneticPr fontId="20"/>
  </si>
  <si>
    <t>外壁仕上げ材の補修必要間隔</t>
    <rPh sb="0" eb="2">
      <t>ガイヘキ</t>
    </rPh>
    <rPh sb="2" eb="4">
      <t>シア</t>
    </rPh>
    <rPh sb="5" eb="6">
      <t>ザイ</t>
    </rPh>
    <rPh sb="7" eb="9">
      <t>ホシュウ</t>
    </rPh>
    <rPh sb="9" eb="11">
      <t>ヒツヨウ</t>
    </rPh>
    <rPh sb="11" eb="13">
      <t>カンカク</t>
    </rPh>
    <phoneticPr fontId="20"/>
  </si>
  <si>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0"/>
  </si>
  <si>
    <t>空調換気ダクトの更新必要間隔</t>
    <rPh sb="0" eb="2">
      <t>クウチョウ</t>
    </rPh>
    <rPh sb="2" eb="4">
      <t>カンキ</t>
    </rPh>
    <rPh sb="8" eb="10">
      <t>コウシン</t>
    </rPh>
    <rPh sb="10" eb="12">
      <t>ヒツヨウ</t>
    </rPh>
    <rPh sb="12" eb="14">
      <t>カンカク</t>
    </rPh>
    <phoneticPr fontId="20"/>
  </si>
  <si>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0"/>
  </si>
  <si>
    <t>主要設備機器の更新必要間隔</t>
    <rPh sb="0" eb="2">
      <t>シュヨウ</t>
    </rPh>
    <rPh sb="2" eb="4">
      <t>セツビ</t>
    </rPh>
    <rPh sb="4" eb="6">
      <t>キキ</t>
    </rPh>
    <rPh sb="7" eb="9">
      <t>コウシン</t>
    </rPh>
    <rPh sb="9" eb="11">
      <t>ヒツヨウ</t>
    </rPh>
    <rPh sb="11" eb="13">
      <t>カンカク</t>
    </rPh>
    <phoneticPr fontId="20"/>
  </si>
  <si>
    <t>適切な更新</t>
    <rPh sb="3" eb="5">
      <t>コウシン</t>
    </rPh>
    <phoneticPr fontId="20"/>
  </si>
  <si>
    <t>屋上（屋根）・外壁仕上げ材の更新</t>
  </si>
  <si>
    <t>配管・配線材料の更新</t>
  </si>
  <si>
    <t>主要設備機器の更新</t>
  </si>
  <si>
    <t>信頼性</t>
    <rPh sb="0" eb="3">
      <t>シンライセイ</t>
    </rPh>
    <phoneticPr fontId="20"/>
  </si>
  <si>
    <t>空調・換気設備</t>
    <rPh sb="0" eb="2">
      <t>クウチョウ</t>
    </rPh>
    <rPh sb="3" eb="5">
      <t>カンキ</t>
    </rPh>
    <rPh sb="5" eb="7">
      <t>セツビ</t>
    </rPh>
    <phoneticPr fontId="20"/>
  </si>
  <si>
    <t>給排水・衛生設備</t>
    <rPh sb="0" eb="3">
      <t>キュウハイスイ</t>
    </rPh>
    <rPh sb="4" eb="6">
      <t>エイセイ</t>
    </rPh>
    <rPh sb="6" eb="8">
      <t>セツビ</t>
    </rPh>
    <phoneticPr fontId="20"/>
  </si>
  <si>
    <t>電気設備</t>
    <rPh sb="0" eb="2">
      <t>デンキ</t>
    </rPh>
    <rPh sb="2" eb="4">
      <t>セツビ</t>
    </rPh>
    <phoneticPr fontId="20"/>
  </si>
  <si>
    <t>機械・配管支持方法</t>
    <rPh sb="0" eb="2">
      <t>キカイ</t>
    </rPh>
    <rPh sb="3" eb="5">
      <t>ハイカン</t>
    </rPh>
    <rPh sb="5" eb="7">
      <t>シジ</t>
    </rPh>
    <rPh sb="7" eb="9">
      <t>ホウホウ</t>
    </rPh>
    <phoneticPr fontId="20"/>
  </si>
  <si>
    <t>通信・情報設備</t>
    <rPh sb="0" eb="2">
      <t>ツウシン</t>
    </rPh>
    <rPh sb="3" eb="5">
      <t>ジョウホウ</t>
    </rPh>
    <rPh sb="5" eb="7">
      <t>セツビ</t>
    </rPh>
    <phoneticPr fontId="20"/>
  </si>
  <si>
    <t>対応性・更新性</t>
    <rPh sb="0" eb="3">
      <t>タイオウセイ</t>
    </rPh>
    <rPh sb="4" eb="6">
      <t>コウシン</t>
    </rPh>
    <rPh sb="6" eb="7">
      <t>セイ</t>
    </rPh>
    <phoneticPr fontId="20"/>
  </si>
  <si>
    <t>EB</t>
    <phoneticPr fontId="20"/>
  </si>
  <si>
    <t>NC</t>
    <phoneticPr fontId="20"/>
  </si>
  <si>
    <t>空間のゆとり</t>
  </si>
  <si>
    <t>階高のゆとり</t>
    <rPh sb="0" eb="1">
      <t>カイ</t>
    </rPh>
    <rPh sb="1" eb="2">
      <t>ダカ</t>
    </rPh>
    <phoneticPr fontId="20"/>
  </si>
  <si>
    <t>EB</t>
  </si>
  <si>
    <t>空間の形状・自由さ</t>
    <rPh sb="0" eb="2">
      <t>クウカン</t>
    </rPh>
    <rPh sb="3" eb="5">
      <t>ケイジョウ</t>
    </rPh>
    <rPh sb="6" eb="8">
      <t>ジユウ</t>
    </rPh>
    <phoneticPr fontId="20"/>
  </si>
  <si>
    <t>荷重のゆとり</t>
  </si>
  <si>
    <t>設備の更新性</t>
  </si>
  <si>
    <t>EB</t>
    <phoneticPr fontId="20"/>
  </si>
  <si>
    <t>NC</t>
    <phoneticPr fontId="20"/>
  </si>
  <si>
    <t>空調配管の更新性</t>
    <rPh sb="0" eb="2">
      <t>クウチョウ</t>
    </rPh>
    <rPh sb="2" eb="4">
      <t>ハイカン</t>
    </rPh>
    <rPh sb="5" eb="7">
      <t>コウシン</t>
    </rPh>
    <rPh sb="7" eb="8">
      <t>セイ</t>
    </rPh>
    <phoneticPr fontId="20"/>
  </si>
  <si>
    <t>給排水管の更新性</t>
    <rPh sb="0" eb="1">
      <t>キュウ</t>
    </rPh>
    <rPh sb="1" eb="4">
      <t>ハイスイカン</t>
    </rPh>
    <rPh sb="5" eb="7">
      <t>コウシン</t>
    </rPh>
    <rPh sb="7" eb="8">
      <t>セイ</t>
    </rPh>
    <phoneticPr fontId="20"/>
  </si>
  <si>
    <t>電気配線の更新性</t>
    <rPh sb="0" eb="2">
      <t>デンキ</t>
    </rPh>
    <rPh sb="2" eb="4">
      <t>ハイセン</t>
    </rPh>
    <rPh sb="5" eb="7">
      <t>コウシン</t>
    </rPh>
    <rPh sb="7" eb="8">
      <t>セイ</t>
    </rPh>
    <phoneticPr fontId="20"/>
  </si>
  <si>
    <t>通信配線の更新性</t>
    <rPh sb="0" eb="2">
      <t>ツウシン</t>
    </rPh>
    <rPh sb="2" eb="4">
      <t>ハイセン</t>
    </rPh>
    <rPh sb="5" eb="7">
      <t>コウシン</t>
    </rPh>
    <rPh sb="7" eb="8">
      <t>セイ</t>
    </rPh>
    <phoneticPr fontId="20"/>
  </si>
  <si>
    <t>設備機器の更新性</t>
    <rPh sb="0" eb="2">
      <t>セツビ</t>
    </rPh>
    <rPh sb="2" eb="4">
      <t>キキ</t>
    </rPh>
    <rPh sb="5" eb="7">
      <t>コウシン</t>
    </rPh>
    <rPh sb="7" eb="8">
      <t>セイ</t>
    </rPh>
    <phoneticPr fontId="20"/>
  </si>
  <si>
    <t>バックアップスペースの確保</t>
    <rPh sb="11" eb="13">
      <t>カクホ</t>
    </rPh>
    <phoneticPr fontId="20"/>
  </si>
  <si>
    <t>Q3</t>
    <phoneticPr fontId="30" type="noConversion"/>
  </si>
  <si>
    <t>室外環境（敷地内）</t>
    <phoneticPr fontId="20"/>
  </si>
  <si>
    <t>生物環境の保全と創出[生物環境の保全]</t>
    <rPh sb="0" eb="2">
      <t>セイブツ</t>
    </rPh>
    <rPh sb="2" eb="4">
      <t>カンキョウ</t>
    </rPh>
    <rPh sb="5" eb="7">
      <t>ホゼン</t>
    </rPh>
    <rPh sb="8" eb="10">
      <t>ソウシュツ</t>
    </rPh>
    <phoneticPr fontId="20"/>
  </si>
  <si>
    <t>まちなみ・景観への配慮</t>
    <rPh sb="5" eb="7">
      <t>ケイカン</t>
    </rPh>
    <rPh sb="9" eb="11">
      <t>ハイリョ</t>
    </rPh>
    <phoneticPr fontId="20"/>
  </si>
  <si>
    <t>地域性・アメニティへの配慮</t>
    <rPh sb="0" eb="3">
      <t>ﾁｲｷｾｲ</t>
    </rPh>
    <rPh sb="11" eb="13">
      <t>ﾊｲﾘｮ</t>
    </rPh>
    <phoneticPr fontId="30" type="noConversion"/>
  </si>
  <si>
    <t>EB</t>
    <phoneticPr fontId="20"/>
  </si>
  <si>
    <t>NC</t>
    <phoneticPr fontId="20"/>
  </si>
  <si>
    <t>地域性への配慮、快適性の向上</t>
  </si>
  <si>
    <t>敷地内温熱環境の向上</t>
    <rPh sb="0" eb="2">
      <t>シキチ</t>
    </rPh>
    <rPh sb="2" eb="3">
      <t>ナイ</t>
    </rPh>
    <rPh sb="3" eb="5">
      <t>オンネツ</t>
    </rPh>
    <rPh sb="8" eb="10">
      <t>コウジョウ</t>
    </rPh>
    <phoneticPr fontId="20"/>
  </si>
  <si>
    <t>LR　建築物の環境負荷低減性</t>
    <phoneticPr fontId="20"/>
  </si>
  <si>
    <t>LR1</t>
    <phoneticPr fontId="30" type="noConversion"/>
  </si>
  <si>
    <t>エネルギー</t>
    <phoneticPr fontId="20"/>
  </si>
  <si>
    <t>自然エネルギー利用</t>
    <rPh sb="0" eb="2">
      <t>ｼｾﾞﾝ</t>
    </rPh>
    <rPh sb="7" eb="9">
      <t>ﾘﾖｳ</t>
    </rPh>
    <phoneticPr fontId="30" type="noConversion"/>
  </si>
  <si>
    <t>自然エネルギーの直接利用</t>
  </si>
  <si>
    <t>自然エネルギーの変換利用</t>
  </si>
  <si>
    <t>設備システムの高効率化</t>
    <rPh sb="0" eb="2">
      <t>ｾﾂﾋﾞ</t>
    </rPh>
    <rPh sb="7" eb="8">
      <t>ｺｳ</t>
    </rPh>
    <rPh sb="8" eb="10">
      <t>ｺｳﾘﾂ</t>
    </rPh>
    <rPh sb="10" eb="11">
      <t>ｶ</t>
    </rPh>
    <phoneticPr fontId="30" type="noConversion"/>
  </si>
  <si>
    <t>空調設備</t>
  </si>
  <si>
    <t>換気設備</t>
  </si>
  <si>
    <t>照明設備</t>
  </si>
  <si>
    <t>昇降機設備</t>
  </si>
  <si>
    <t>効率的運用</t>
    <rPh sb="0" eb="3">
      <t>ｺｳﾘﾂﾃｷ</t>
    </rPh>
    <rPh sb="3" eb="5">
      <t>ｳﾝﾖｳ</t>
    </rPh>
    <phoneticPr fontId="30" type="noConversion"/>
  </si>
  <si>
    <t>運用管理体制</t>
    <rPh sb="0" eb="2">
      <t>ｳﾝﾖｳ</t>
    </rPh>
    <rPh sb="2" eb="4">
      <t>ｶﾝﾘ</t>
    </rPh>
    <rPh sb="4" eb="6">
      <t>ﾀｲｾｲ</t>
    </rPh>
    <phoneticPr fontId="30" type="noConversion"/>
  </si>
  <si>
    <t>LR2</t>
    <phoneticPr fontId="30" type="noConversion"/>
  </si>
  <si>
    <t>資源・マテリアル</t>
    <phoneticPr fontId="20"/>
  </si>
  <si>
    <t>水資源保護</t>
    <rPh sb="0" eb="1">
      <t>ﾐｽﾞ</t>
    </rPh>
    <rPh sb="1" eb="3">
      <t>ｼｹﾞﾝ</t>
    </rPh>
    <rPh sb="3" eb="5">
      <t>ﾎｺﾞ</t>
    </rPh>
    <phoneticPr fontId="30" type="noConversion"/>
  </si>
  <si>
    <t>節水</t>
    <rPh sb="0" eb="2">
      <t>ｾｯｽｲ</t>
    </rPh>
    <phoneticPr fontId="30" type="noConversion"/>
  </si>
  <si>
    <t>雨水利用・雑排水再利用</t>
    <rPh sb="0" eb="2">
      <t>ｳｽｲ</t>
    </rPh>
    <rPh sb="2" eb="4">
      <t>ﾘﾖｳ</t>
    </rPh>
    <rPh sb="5" eb="8">
      <t>ｻﾞﾂﾊｲｽｲ</t>
    </rPh>
    <rPh sb="8" eb="9">
      <t>ｻｲ</t>
    </rPh>
    <rPh sb="9" eb="11">
      <t>ﾘﾖｳ</t>
    </rPh>
    <phoneticPr fontId="30" type="noConversion"/>
  </si>
  <si>
    <t>EB</t>
    <phoneticPr fontId="20"/>
  </si>
  <si>
    <t>NC</t>
    <phoneticPr fontId="20"/>
  </si>
  <si>
    <t>雨水利用システム導入の有無　[雨水利用率]</t>
    <rPh sb="0" eb="2">
      <t>ウスイ</t>
    </rPh>
    <rPh sb="2" eb="4">
      <t>リヨウ</t>
    </rPh>
    <rPh sb="8" eb="10">
      <t>ドウニュウ</t>
    </rPh>
    <rPh sb="11" eb="13">
      <t>ウム</t>
    </rPh>
    <rPh sb="15" eb="17">
      <t>アマミズ</t>
    </rPh>
    <rPh sb="17" eb="20">
      <t>リヨウリツ</t>
    </rPh>
    <phoneticPr fontId="20"/>
  </si>
  <si>
    <t>非再生性資源の使用量削減</t>
    <rPh sb="0" eb="1">
      <t>ヒ</t>
    </rPh>
    <rPh sb="1" eb="3">
      <t>サイセイ</t>
    </rPh>
    <rPh sb="3" eb="4">
      <t>セイ</t>
    </rPh>
    <rPh sb="4" eb="6">
      <t>シゲン</t>
    </rPh>
    <rPh sb="7" eb="10">
      <t>シヨウリョウ</t>
    </rPh>
    <rPh sb="10" eb="12">
      <t>サクゲン</t>
    </rPh>
    <phoneticPr fontId="20"/>
  </si>
  <si>
    <t>材料使用量の削減</t>
    <rPh sb="0" eb="2">
      <t>ザイリョウ</t>
    </rPh>
    <rPh sb="2" eb="4">
      <t>シヨウ</t>
    </rPh>
    <rPh sb="4" eb="5">
      <t>リョウ</t>
    </rPh>
    <rPh sb="6" eb="8">
      <t>サクゲン</t>
    </rPh>
    <phoneticPr fontId="20"/>
  </si>
  <si>
    <t>既存建築躯体等の継続使用</t>
    <rPh sb="6" eb="7">
      <t>トウ</t>
    </rPh>
    <rPh sb="8" eb="10">
      <t>ケイゾク</t>
    </rPh>
    <rPh sb="10" eb="12">
      <t>シヨウ</t>
    </rPh>
    <phoneticPr fontId="20"/>
  </si>
  <si>
    <t>EB</t>
    <phoneticPr fontId="20"/>
  </si>
  <si>
    <t>躯体材料におけるリサイクル材の使用</t>
    <rPh sb="0" eb="2">
      <t>クタイ</t>
    </rPh>
    <rPh sb="2" eb="4">
      <t>ザイリョウ</t>
    </rPh>
    <rPh sb="13" eb="14">
      <t>ザイ</t>
    </rPh>
    <rPh sb="15" eb="17">
      <t>シヨウ</t>
    </rPh>
    <phoneticPr fontId="20"/>
  </si>
  <si>
    <t>持続可能な森林から産出された木材</t>
    <rPh sb="5" eb="7">
      <t>シンリン</t>
    </rPh>
    <rPh sb="9" eb="11">
      <t>サンシュツ</t>
    </rPh>
    <rPh sb="14" eb="16">
      <t>モクザイ</t>
    </rPh>
    <phoneticPr fontId="20"/>
  </si>
  <si>
    <t>部材の再利用可能性向上への取組み</t>
    <rPh sb="9" eb="11">
      <t>コウジョウ</t>
    </rPh>
    <rPh sb="13" eb="15">
      <t>トリク</t>
    </rPh>
    <phoneticPr fontId="20"/>
  </si>
  <si>
    <t>汚染物質含有材料の使用回避</t>
    <rPh sb="0" eb="2">
      <t>オセン</t>
    </rPh>
    <rPh sb="2" eb="4">
      <t>ブッシツ</t>
    </rPh>
    <rPh sb="4" eb="6">
      <t>ガンユウ</t>
    </rPh>
    <rPh sb="6" eb="8">
      <t>ザイリョウ</t>
    </rPh>
    <rPh sb="9" eb="11">
      <t>シヨウ</t>
    </rPh>
    <rPh sb="11" eb="13">
      <t>カイヒ</t>
    </rPh>
    <phoneticPr fontId="20"/>
  </si>
  <si>
    <t>有害物質を含まない材料の使用</t>
    <rPh sb="0" eb="2">
      <t>ユウガイ</t>
    </rPh>
    <rPh sb="2" eb="4">
      <t>ブッシツ</t>
    </rPh>
    <rPh sb="5" eb="6">
      <t>フク</t>
    </rPh>
    <rPh sb="12" eb="14">
      <t>シヨウ</t>
    </rPh>
    <phoneticPr fontId="20"/>
  </si>
  <si>
    <t>フロン・ハロンの回避</t>
  </si>
  <si>
    <t>NC</t>
    <phoneticPr fontId="20"/>
  </si>
  <si>
    <t>消火剤</t>
    <rPh sb="0" eb="3">
      <t>ショウカザイ</t>
    </rPh>
    <phoneticPr fontId="20"/>
  </si>
  <si>
    <t>冷媒</t>
    <rPh sb="0" eb="2">
      <t>レイバイ</t>
    </rPh>
    <phoneticPr fontId="20"/>
  </si>
  <si>
    <t>地球温暖化への配慮</t>
    <rPh sb="0" eb="2">
      <t>ﾁｷｭｳ</t>
    </rPh>
    <rPh sb="2" eb="5">
      <t>ｵﾝﾀﾞﾝｶ</t>
    </rPh>
    <rPh sb="7" eb="9">
      <t>ﾊｲﾘｮ</t>
    </rPh>
    <phoneticPr fontId="2" type="noConversion"/>
  </si>
  <si>
    <t>地域環境への配慮</t>
    <rPh sb="0" eb="2">
      <t>ﾁｲｷ</t>
    </rPh>
    <rPh sb="2" eb="4">
      <t>ｶﾝｷｮｳ</t>
    </rPh>
    <rPh sb="6" eb="8">
      <t>ﾊｲﾘｮ</t>
    </rPh>
    <phoneticPr fontId="2" type="noConversion"/>
  </si>
  <si>
    <t>EB</t>
    <phoneticPr fontId="20"/>
  </si>
  <si>
    <t>NC</t>
    <phoneticPr fontId="20"/>
  </si>
  <si>
    <t>大気汚染防止</t>
    <rPh sb="0" eb="2">
      <t>タイキ</t>
    </rPh>
    <rPh sb="2" eb="4">
      <t>オセン</t>
    </rPh>
    <rPh sb="4" eb="6">
      <t>ボウシ</t>
    </rPh>
    <phoneticPr fontId="20"/>
  </si>
  <si>
    <t>温熱環境悪化の改善</t>
    <phoneticPr fontId="20"/>
  </si>
  <si>
    <t>地域インフラへの負荷抑制</t>
    <phoneticPr fontId="20"/>
  </si>
  <si>
    <t>EB</t>
    <phoneticPr fontId="20"/>
  </si>
  <si>
    <t>NC</t>
    <phoneticPr fontId="20"/>
  </si>
  <si>
    <t>雨水排水負荷低減</t>
    <phoneticPr fontId="20"/>
  </si>
  <si>
    <t>汚水処理負荷抑制</t>
    <phoneticPr fontId="20"/>
  </si>
  <si>
    <t>交通負荷抑制</t>
    <phoneticPr fontId="20"/>
  </si>
  <si>
    <t>廃棄物処理負荷抑制</t>
    <phoneticPr fontId="20"/>
  </si>
  <si>
    <t>周辺環境への配慮</t>
    <rPh sb="0" eb="2">
      <t>ｼｭｳﾍﾝ</t>
    </rPh>
    <rPh sb="2" eb="4">
      <t>ｶﾝｷｮｳ</t>
    </rPh>
    <rPh sb="6" eb="8">
      <t>ﾊｲﾘｮ</t>
    </rPh>
    <phoneticPr fontId="2" type="noConversion"/>
  </si>
  <si>
    <t>騒音・振動・悪臭の防止</t>
    <rPh sb="0" eb="2">
      <t>ソウオン</t>
    </rPh>
    <rPh sb="3" eb="5">
      <t>シンドウ</t>
    </rPh>
    <rPh sb="6" eb="8">
      <t>アクシュウ</t>
    </rPh>
    <rPh sb="9" eb="11">
      <t>ボウシ</t>
    </rPh>
    <phoneticPr fontId="20"/>
  </si>
  <si>
    <t>騒音</t>
    <phoneticPr fontId="20"/>
  </si>
  <si>
    <t>振動</t>
    <phoneticPr fontId="20"/>
  </si>
  <si>
    <t>悪臭</t>
    <phoneticPr fontId="20"/>
  </si>
  <si>
    <t>光害の抑制</t>
    <rPh sb="0" eb="1">
      <t>ヒカリ</t>
    </rPh>
    <rPh sb="1" eb="2">
      <t>ガイ</t>
    </rPh>
    <rPh sb="3" eb="5">
      <t>ヨクセイ</t>
    </rPh>
    <phoneticPr fontId="20"/>
  </si>
  <si>
    <t>EB</t>
    <phoneticPr fontId="20"/>
  </si>
  <si>
    <t>NC</t>
    <phoneticPr fontId="20"/>
  </si>
  <si>
    <t>外に漏れる光への対策</t>
    <phoneticPr fontId="20"/>
  </si>
  <si>
    <t>昼光の建物外壁による反射光への対策</t>
    <phoneticPr fontId="20"/>
  </si>
  <si>
    <t>■建物名称</t>
    <rPh sb="1" eb="3">
      <t>タテモノ</t>
    </rPh>
    <rPh sb="3" eb="5">
      <t>メイショウ</t>
    </rPh>
    <phoneticPr fontId="20"/>
  </si>
  <si>
    <t xml:space="preserve"> 工場、車庫、倉庫、観覧場、卸売市場、電算室など</t>
    <rPh sb="1" eb="3">
      <t>コウジョウ</t>
    </rPh>
    <rPh sb="4" eb="6">
      <t>シャコ</t>
    </rPh>
    <rPh sb="7" eb="9">
      <t>ソウコ</t>
    </rPh>
    <rPh sb="10" eb="12">
      <t>カンラン</t>
    </rPh>
    <rPh sb="12" eb="13">
      <t>バ</t>
    </rPh>
    <rPh sb="14" eb="16">
      <t>オロシウリ</t>
    </rPh>
    <rPh sb="16" eb="18">
      <t>シジョウ</t>
    </rPh>
    <rPh sb="19" eb="21">
      <t>デンサン</t>
    </rPh>
    <rPh sb="21" eb="22">
      <t>シツ</t>
    </rPh>
    <phoneticPr fontId="20"/>
  </si>
  <si>
    <t>発泡剤（断熱材等）</t>
    <rPh sb="0" eb="2">
      <t>ハッポウ</t>
    </rPh>
    <rPh sb="2" eb="3">
      <t>ザイ</t>
    </rPh>
    <rPh sb="4" eb="6">
      <t>ダンネツ</t>
    </rPh>
    <rPh sb="6" eb="7">
      <t>ザイ</t>
    </rPh>
    <rPh sb="7" eb="8">
      <t>トウ</t>
    </rPh>
    <phoneticPr fontId="20"/>
  </si>
  <si>
    <t>雑排水等利用システム導入の有無　[雑排水再利用率]</t>
    <rPh sb="0" eb="3">
      <t>ザッパイスイ</t>
    </rPh>
    <rPh sb="3" eb="4">
      <t>ナド</t>
    </rPh>
    <rPh sb="4" eb="6">
      <t>リヨウ</t>
    </rPh>
    <rPh sb="10" eb="12">
      <t>ドウニュウ</t>
    </rPh>
    <rPh sb="13" eb="15">
      <t>ウム</t>
    </rPh>
    <rPh sb="17" eb="18">
      <t>ザツ</t>
    </rPh>
    <rPh sb="18" eb="20">
      <t>ハイスイ</t>
    </rPh>
    <rPh sb="20" eb="21">
      <t>サイ</t>
    </rPh>
    <rPh sb="21" eb="23">
      <t>リヨウ</t>
    </rPh>
    <rPh sb="23" eb="24">
      <t>リツ</t>
    </rPh>
    <phoneticPr fontId="20"/>
  </si>
  <si>
    <t>雨水利用・雑排水等の利用</t>
    <rPh sb="0" eb="2">
      <t>ｳｽｲ</t>
    </rPh>
    <rPh sb="2" eb="4">
      <t>ﾘﾖｳ</t>
    </rPh>
    <rPh sb="5" eb="8">
      <t>ｻﾞﾂﾊｲｽｲ</t>
    </rPh>
    <rPh sb="8" eb="9">
      <t>とう</t>
    </rPh>
    <rPh sb="10" eb="12">
      <t>ﾘﾖｳ</t>
    </rPh>
    <phoneticPr fontId="30" type="noConversion"/>
  </si>
  <si>
    <t>設備騒音対策</t>
    <phoneticPr fontId="20"/>
  </si>
  <si>
    <t>室内騒音レベル</t>
    <rPh sb="0" eb="2">
      <t>シツナイ</t>
    </rPh>
    <phoneticPr fontId="20"/>
  </si>
  <si>
    <t>界床遮音性能（軽量衝撃源）</t>
    <phoneticPr fontId="20"/>
  </si>
  <si>
    <t>界床遮音性能（重量衝撃源）</t>
    <phoneticPr fontId="20"/>
  </si>
  <si>
    <t>維持管理に配慮した設計[総合的な取組み]</t>
    <phoneticPr fontId="20"/>
  </si>
  <si>
    <t>※LR1/2.自然エネルギー利用</t>
    <rPh sb="7" eb="9">
      <t>シゼン</t>
    </rPh>
    <rPh sb="14" eb="16">
      <t>リヨウ</t>
    </rPh>
    <phoneticPr fontId="20"/>
  </si>
  <si>
    <t>既存</t>
    <rPh sb="0" eb="2">
      <t>キソン</t>
    </rPh>
    <phoneticPr fontId="20"/>
  </si>
  <si>
    <t>新築</t>
    <rPh sb="0" eb="2">
      <t>シンチク</t>
    </rPh>
    <phoneticPr fontId="20"/>
  </si>
  <si>
    <t>既存学校版</t>
    <rPh sb="0" eb="2">
      <t>キソン</t>
    </rPh>
    <rPh sb="2" eb="4">
      <t>ガッコウ</t>
    </rPh>
    <rPh sb="4" eb="5">
      <t>バン</t>
    </rPh>
    <phoneticPr fontId="20"/>
  </si>
  <si>
    <t>基本設計段階</t>
    <rPh sb="0" eb="2">
      <t>キホン</t>
    </rPh>
    <rPh sb="2" eb="4">
      <t>セッケイ</t>
    </rPh>
    <rPh sb="4" eb="6">
      <t>ダンカイ</t>
    </rPh>
    <phoneticPr fontId="20"/>
  </si>
  <si>
    <t>簡易評価</t>
    <rPh sb="0" eb="2">
      <t>カンイ</t>
    </rPh>
    <rPh sb="2" eb="4">
      <t>ヒョウカ</t>
    </rPh>
    <phoneticPr fontId="20"/>
  </si>
  <si>
    <t>実施設計段階</t>
    <rPh sb="0" eb="2">
      <t>ジッシ</t>
    </rPh>
    <rPh sb="2" eb="4">
      <t>セッケイ</t>
    </rPh>
    <rPh sb="4" eb="6">
      <t>ダンカイ</t>
    </rPh>
    <phoneticPr fontId="20"/>
  </si>
  <si>
    <t>省エネルギー計画書による評価</t>
    <rPh sb="0" eb="1">
      <t>ショウ</t>
    </rPh>
    <rPh sb="6" eb="9">
      <t>ケイカクショ</t>
    </rPh>
    <rPh sb="12" eb="14">
      <t>ヒョウカ</t>
    </rPh>
    <phoneticPr fontId="20"/>
  </si>
  <si>
    <t>竣工段階</t>
    <rPh sb="0" eb="2">
      <t>シュンコウ</t>
    </rPh>
    <rPh sb="2" eb="4">
      <t>ダンカイ</t>
    </rPh>
    <phoneticPr fontId="20"/>
  </si>
  <si>
    <t>維持管理に配慮した設計</t>
    <rPh sb="0" eb="2">
      <t>イジ</t>
    </rPh>
    <rPh sb="2" eb="4">
      <t>カンリ</t>
    </rPh>
    <rPh sb="5" eb="7">
      <t>ハイリョ</t>
    </rPh>
    <rPh sb="9" eb="11">
      <t>セッケイ</t>
    </rPh>
    <phoneticPr fontId="20"/>
  </si>
  <si>
    <t>色欄について、プルダウンメニューから選択、または数値を記入</t>
    <rPh sb="0" eb="1">
      <t>イロ</t>
    </rPh>
    <rPh sb="1" eb="2">
      <t>ラン</t>
    </rPh>
    <rPh sb="18" eb="20">
      <t>センタク</t>
    </rPh>
    <rPh sb="24" eb="26">
      <t>スウチ</t>
    </rPh>
    <rPh sb="27" eb="29">
      <t>キニュウ</t>
    </rPh>
    <phoneticPr fontId="20"/>
  </si>
  <si>
    <t>集合住宅</t>
    <rPh sb="0" eb="2">
      <t>シュウゴウ</t>
    </rPh>
    <rPh sb="2" eb="4">
      <t>ジュウタク</t>
    </rPh>
    <phoneticPr fontId="20"/>
  </si>
  <si>
    <t>非住宅</t>
    <rPh sb="0" eb="1">
      <t>ヒ</t>
    </rPh>
    <rPh sb="1" eb="3">
      <t>ジュウタク</t>
    </rPh>
    <phoneticPr fontId="20"/>
  </si>
  <si>
    <t>建物全体</t>
    <rPh sb="0" eb="2">
      <t>タテモノ</t>
    </rPh>
    <rPh sb="2" eb="4">
      <t>ゼンタイ</t>
    </rPh>
    <phoneticPr fontId="20"/>
  </si>
  <si>
    <t>集会所</t>
    <rPh sb="0" eb="2">
      <t>シュウカイ</t>
    </rPh>
    <rPh sb="2" eb="3">
      <t>ジョ</t>
    </rPh>
    <phoneticPr fontId="20"/>
  </si>
  <si>
    <t>ホテル</t>
  </si>
  <si>
    <t>風害の抑制</t>
    <phoneticPr fontId="30" type="noConversion"/>
  </si>
  <si>
    <t>等級未入力</t>
    <rPh sb="0" eb="2">
      <t>トウキュウ</t>
    </rPh>
    <rPh sb="2" eb="5">
      <t>ミニュウリョク</t>
    </rPh>
    <phoneticPr fontId="20"/>
  </si>
  <si>
    <t>対象外</t>
    <rPh sb="0" eb="3">
      <t>タイショウガイ</t>
    </rPh>
    <phoneticPr fontId="20"/>
  </si>
  <si>
    <t>-</t>
    <phoneticPr fontId="20"/>
  </si>
  <si>
    <t>室温</t>
    <rPh sb="0" eb="2">
      <t>シツオン</t>
    </rPh>
    <phoneticPr fontId="20"/>
  </si>
  <si>
    <r>
      <t>kg-CO</t>
    </r>
    <r>
      <rPr>
        <vertAlign val="subscript"/>
        <sz val="10"/>
        <rFont val="ＭＳ Ｐゴシック"/>
        <family val="3"/>
        <charset val="128"/>
      </rPr>
      <t>2</t>
    </r>
    <r>
      <rPr>
        <sz val="10"/>
        <rFont val="ＭＳ Ｐゴシック"/>
        <family val="3"/>
        <charset val="128"/>
      </rPr>
      <t>/年</t>
    </r>
    <rPh sb="7" eb="8">
      <t>ネン</t>
    </rPh>
    <phoneticPr fontId="20"/>
  </si>
  <si>
    <t>共用部</t>
    <rPh sb="0" eb="2">
      <t>キョウヨウ</t>
    </rPh>
    <rPh sb="2" eb="3">
      <t>ブ</t>
    </rPh>
    <phoneticPr fontId="20"/>
  </si>
  <si>
    <t>オンサイト</t>
  </si>
  <si>
    <t>オフサイト</t>
  </si>
  <si>
    <t>％</t>
    <phoneticPr fontId="20"/>
  </si>
  <si>
    <t>Sum</t>
    <phoneticPr fontId="20"/>
  </si>
  <si>
    <t>after</t>
    <phoneticPr fontId="20"/>
  </si>
  <si>
    <t>Rank(green star)</t>
  </si>
  <si>
    <t>(blank star)</t>
  </si>
  <si>
    <t>MJ/年㎡</t>
    <rPh sb="3" eb="4">
      <t>ネン</t>
    </rPh>
    <phoneticPr fontId="20"/>
  </si>
  <si>
    <t>備考</t>
    <rPh sb="0" eb="2">
      <t>ビコウ</t>
    </rPh>
    <phoneticPr fontId="20"/>
  </si>
  <si>
    <t>建物用途</t>
    <rPh sb="0" eb="2">
      <t>タテモノ</t>
    </rPh>
    <rPh sb="2" eb="4">
      <t>ヨウト</t>
    </rPh>
    <phoneticPr fontId="20"/>
  </si>
  <si>
    <t>－</t>
    <phoneticPr fontId="20"/>
  </si>
  <si>
    <t>その他</t>
    <rPh sb="2" eb="3">
      <t>タ</t>
    </rPh>
    <phoneticPr fontId="20"/>
  </si>
  <si>
    <t>映り込み対策</t>
    <rPh sb="0" eb="1">
      <t>ウツ</t>
    </rPh>
    <rPh sb="2" eb="3">
      <t>コ</t>
    </rPh>
    <rPh sb="4" eb="6">
      <t>タイサク</t>
    </rPh>
    <phoneticPr fontId="20"/>
  </si>
  <si>
    <t>①参照値／
②建築物の取組み</t>
    <phoneticPr fontId="20"/>
  </si>
  <si>
    <t>参考</t>
    <rPh sb="0" eb="2">
      <t>サンコウ</t>
    </rPh>
    <phoneticPr fontId="20"/>
  </si>
  <si>
    <t>太陽光発電による削減分</t>
    <rPh sb="0" eb="2">
      <t>タイヨウ</t>
    </rPh>
    <rPh sb="2" eb="3">
      <t>ヒカリ</t>
    </rPh>
    <rPh sb="3" eb="5">
      <t>ハツデン</t>
    </rPh>
    <rPh sb="8" eb="10">
      <t>サクゲン</t>
    </rPh>
    <rPh sb="10" eb="11">
      <t>ブン</t>
    </rPh>
    <phoneticPr fontId="20"/>
  </si>
  <si>
    <t>(内訳）自家消費分</t>
    <rPh sb="1" eb="3">
      <t>ウチワケ</t>
    </rPh>
    <rPh sb="4" eb="6">
      <t>ジカ</t>
    </rPh>
    <rPh sb="6" eb="8">
      <t>ショウヒ</t>
    </rPh>
    <rPh sb="8" eb="9">
      <t>ブン</t>
    </rPh>
    <phoneticPr fontId="20"/>
  </si>
  <si>
    <t>余剰売電分</t>
    <rPh sb="0" eb="2">
      <t>ヨジョウ</t>
    </rPh>
    <rPh sb="2" eb="4">
      <t>バイデン</t>
    </rPh>
    <rPh sb="4" eb="5">
      <t>ブン</t>
    </rPh>
    <phoneticPr fontId="20"/>
  </si>
  <si>
    <t>その他再生可能エネルギー</t>
    <rPh sb="2" eb="3">
      <t>ホカ</t>
    </rPh>
    <rPh sb="3" eb="5">
      <t>サイセイ</t>
    </rPh>
    <rPh sb="5" eb="7">
      <t>カノウ</t>
    </rPh>
    <phoneticPr fontId="20"/>
  </si>
  <si>
    <t>－</t>
    <phoneticPr fontId="20"/>
  </si>
  <si>
    <t>④上記+
　オフサイト手法</t>
    <phoneticPr fontId="20"/>
  </si>
  <si>
    <t>(a)　グリーン電力証書によるカーボンオフセット</t>
    <phoneticPr fontId="20"/>
  </si>
  <si>
    <t>－</t>
    <phoneticPr fontId="20"/>
  </si>
  <si>
    <t>(b)グリーン熱証書によるカーボンオフセット</t>
    <phoneticPr fontId="20"/>
  </si>
  <si>
    <t>（ｃ）その他カーボンクレジット</t>
    <phoneticPr fontId="20"/>
  </si>
  <si>
    <t>(d)調整後排出量（調整後排出係数による）と実排出量の差</t>
    <phoneticPr fontId="20"/>
  </si>
  <si>
    <t>①参照値／
②建築物の取組み</t>
    <phoneticPr fontId="20"/>
  </si>
  <si>
    <t>－</t>
    <phoneticPr fontId="20"/>
  </si>
  <si>
    <t>③上記+②以外の
　オンサイト手法</t>
    <phoneticPr fontId="20"/>
  </si>
  <si>
    <t>－</t>
    <phoneticPr fontId="20"/>
  </si>
  <si>
    <t>(a)　グリーン電力証書によるカーボンオフセット</t>
    <phoneticPr fontId="20"/>
  </si>
  <si>
    <t>(b)グリーン熱証書によるカーボンオフセット</t>
    <phoneticPr fontId="20"/>
  </si>
  <si>
    <t>（ｃ）その他カーボンクレジット</t>
    <phoneticPr fontId="20"/>
  </si>
  <si>
    <t>(d)調整後排出量（調整後排出係数による）と実排出量の差</t>
    <phoneticPr fontId="20"/>
  </si>
  <si>
    <t>○○による</t>
    <phoneticPr fontId="20"/>
  </si>
  <si>
    <t>○○による</t>
    <phoneticPr fontId="20"/>
  </si>
  <si>
    <t>③上記+②以外の
　オンサイト手法</t>
    <phoneticPr fontId="20"/>
  </si>
  <si>
    <t>－</t>
    <phoneticPr fontId="20"/>
  </si>
  <si>
    <t>(a)　グリーン電力証書によるカーボンオフセット</t>
    <phoneticPr fontId="20"/>
  </si>
  <si>
    <t>(b)グリーン熱証書によるカーボンオフセット</t>
    <phoneticPr fontId="20"/>
  </si>
  <si>
    <t>（ｃ）その他カーボンクレジット</t>
    <phoneticPr fontId="20"/>
  </si>
  <si>
    <t>(d)調整後排出量（調整後排出係数による）と実排出量の差</t>
    <phoneticPr fontId="20"/>
  </si>
  <si>
    <t>＜参考＞　個別計算にあたって、利用できる計算値</t>
    <rPh sb="1" eb="3">
      <t>サンコウ</t>
    </rPh>
    <rPh sb="5" eb="7">
      <t>コベツ</t>
    </rPh>
    <rPh sb="7" eb="9">
      <t>ケイサン</t>
    </rPh>
    <rPh sb="15" eb="17">
      <t>リヨウ</t>
    </rPh>
    <rPh sb="20" eb="23">
      <t>ケイサンチ</t>
    </rPh>
    <phoneticPr fontId="20"/>
  </si>
  <si>
    <t>太陽光発電によるCO2削減量</t>
    <rPh sb="0" eb="3">
      <t>タイヨウコウ</t>
    </rPh>
    <rPh sb="3" eb="5">
      <t>ハツデン</t>
    </rPh>
    <rPh sb="11" eb="13">
      <t>サクゲン</t>
    </rPh>
    <rPh sb="13" eb="14">
      <t>リョウ</t>
    </rPh>
    <phoneticPr fontId="20"/>
  </si>
  <si>
    <t>太陽光発電の発電量</t>
    <phoneticPr fontId="20"/>
  </si>
  <si>
    <t>合計</t>
    <phoneticPr fontId="20"/>
  </si>
  <si>
    <t>kWh/年</t>
    <phoneticPr fontId="20"/>
  </si>
  <si>
    <t>自家消費分</t>
    <phoneticPr fontId="20"/>
  </si>
  <si>
    <t>kWh/年</t>
    <phoneticPr fontId="20"/>
  </si>
  <si>
    <t>段階</t>
    <phoneticPr fontId="20"/>
  </si>
  <si>
    <t>余剰売電分</t>
    <phoneticPr fontId="20"/>
  </si>
  <si>
    <t>CO2削減量</t>
    <rPh sb="3" eb="5">
      <t>サクゲン</t>
    </rPh>
    <rPh sb="5" eb="6">
      <t>リョウ</t>
    </rPh>
    <phoneticPr fontId="20"/>
  </si>
  <si>
    <t>合計  [1]</t>
    <phoneticPr fontId="20"/>
  </si>
  <si>
    <t>自家消費分</t>
    <phoneticPr fontId="20"/>
  </si>
  <si>
    <t>余剰売電分</t>
    <phoneticPr fontId="20"/>
  </si>
  <si>
    <t>算定に用いた排出係数</t>
    <rPh sb="0" eb="2">
      <t>サンテイ</t>
    </rPh>
    <rPh sb="3" eb="4">
      <t>モチ</t>
    </rPh>
    <rPh sb="6" eb="8">
      <t>ハイシュツ</t>
    </rPh>
    <rPh sb="8" eb="10">
      <t>ケイスウ</t>
    </rPh>
    <phoneticPr fontId="20"/>
  </si>
  <si>
    <t>自家消費分</t>
    <phoneticPr fontId="20"/>
  </si>
  <si>
    <r>
      <t>kg-CO</t>
    </r>
    <r>
      <rPr>
        <vertAlign val="subscript"/>
        <sz val="10"/>
        <rFont val="ＭＳ Ｐゴシック"/>
        <family val="3"/>
        <charset val="128"/>
      </rPr>
      <t>2</t>
    </r>
    <r>
      <rPr>
        <sz val="10"/>
        <rFont val="ＭＳ Ｐゴシック"/>
        <family val="3"/>
        <charset val="128"/>
      </rPr>
      <t>/kWh</t>
    </r>
    <phoneticPr fontId="20"/>
  </si>
  <si>
    <r>
      <t>kg-CO</t>
    </r>
    <r>
      <rPr>
        <vertAlign val="subscript"/>
        <sz val="10"/>
        <rFont val="ＭＳ Ｐゴシック"/>
        <family val="3"/>
        <charset val="128"/>
      </rPr>
      <t>2</t>
    </r>
    <r>
      <rPr>
        <sz val="10"/>
        <rFont val="ＭＳ Ｐゴシック"/>
        <family val="3"/>
        <charset val="128"/>
      </rPr>
      <t>/kWh</t>
    </r>
    <phoneticPr fontId="20"/>
  </si>
  <si>
    <t>実排出係数の場合</t>
    <rPh sb="0" eb="1">
      <t>ジツ</t>
    </rPh>
    <rPh sb="1" eb="3">
      <t>ハイシュツ</t>
    </rPh>
    <rPh sb="3" eb="5">
      <t>ケイスウ</t>
    </rPh>
    <rPh sb="6" eb="8">
      <t>バアイ</t>
    </rPh>
    <phoneticPr fontId="20"/>
  </si>
  <si>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0"/>
  </si>
  <si>
    <t>評価建物(③)の電力消費量</t>
    <phoneticPr fontId="20"/>
  </si>
  <si>
    <t>実排出係数</t>
    <rPh sb="0" eb="1">
      <t>ジツ</t>
    </rPh>
    <rPh sb="1" eb="3">
      <t>ハイシュツ</t>
    </rPh>
    <rPh sb="3" eb="5">
      <t>ケイスウ</t>
    </rPh>
    <phoneticPr fontId="20"/>
  </si>
  <si>
    <r>
      <t>kg-CO</t>
    </r>
    <r>
      <rPr>
        <vertAlign val="subscript"/>
        <sz val="10"/>
        <rFont val="ＭＳ Ｐゴシック"/>
        <family val="3"/>
        <charset val="128"/>
      </rPr>
      <t>2</t>
    </r>
    <r>
      <rPr>
        <sz val="10"/>
        <rFont val="ＭＳ Ｐゴシック"/>
        <family val="3"/>
        <charset val="128"/>
      </rPr>
      <t>/kWh</t>
    </r>
    <phoneticPr fontId="20"/>
  </si>
  <si>
    <t>調整後排出係数</t>
    <rPh sb="0" eb="3">
      <t>チョウセイゴ</t>
    </rPh>
    <rPh sb="3" eb="5">
      <t>ハイシュツ</t>
    </rPh>
    <rPh sb="5" eb="7">
      <t>ケイスウ</t>
    </rPh>
    <phoneticPr fontId="20"/>
  </si>
  <si>
    <t>実排出量との差</t>
    <phoneticPr fontId="20"/>
  </si>
  <si>
    <t>延床面積あたり　[2]</t>
    <rPh sb="0" eb="2">
      <t>ノベユカ</t>
    </rPh>
    <rPh sb="2" eb="4">
      <t>メンセキ</t>
    </rPh>
    <phoneticPr fontId="20"/>
  </si>
  <si>
    <t>小中高</t>
    <rPh sb="0" eb="3">
      <t>ショウチュウコウ</t>
    </rPh>
    <phoneticPr fontId="20"/>
  </si>
  <si>
    <t>室内騒音レベル</t>
    <rPh sb="0" eb="2">
      <t>シツナイ</t>
    </rPh>
    <rPh sb="2" eb="4">
      <t>ソウオン</t>
    </rPh>
    <phoneticPr fontId="20"/>
  </si>
  <si>
    <t>時間外空調に対する配慮</t>
  </si>
  <si>
    <t xml:space="preserve"> ダニ・カビ等</t>
  </si>
  <si>
    <t>生物資源の保全と創出</t>
    <rPh sb="2" eb="4">
      <t>シゲン</t>
    </rPh>
    <phoneticPr fontId="20"/>
  </si>
  <si>
    <t>雑排水等再利用システム導入の有無</t>
  </si>
  <si>
    <t>発泡剤（断熱材等）</t>
  </si>
  <si>
    <t>地域インフラへの負荷抑制</t>
    <rPh sb="0" eb="2">
      <t>チイキ</t>
    </rPh>
    <rPh sb="8" eb="10">
      <t>フカ</t>
    </rPh>
    <rPh sb="10" eb="12">
      <t>ヨクセイ</t>
    </rPh>
    <phoneticPr fontId="20"/>
  </si>
  <si>
    <t>悪臭</t>
    <rPh sb="0" eb="2">
      <t>アクシュウ</t>
    </rPh>
    <phoneticPr fontId="20"/>
  </si>
  <si>
    <t>総合的な取組み</t>
    <rPh sb="0" eb="3">
      <t>ソウゴウテキ</t>
    </rPh>
    <rPh sb="4" eb="5">
      <t>ト</t>
    </rPh>
    <rPh sb="5" eb="6">
      <t>ク</t>
    </rPh>
    <phoneticPr fontId="20"/>
  </si>
  <si>
    <t>清掃管理業務</t>
    <rPh sb="0" eb="2">
      <t>セイソウ</t>
    </rPh>
    <rPh sb="2" eb="4">
      <t>カンリ</t>
    </rPh>
    <rPh sb="4" eb="6">
      <t>ギョウム</t>
    </rPh>
    <phoneticPr fontId="20"/>
  </si>
  <si>
    <t>官公庁</t>
    <rPh sb="0" eb="3">
      <t>カンコウチョウ</t>
    </rPh>
    <phoneticPr fontId="20"/>
  </si>
  <si>
    <t>幼稚園・保育園</t>
    <rPh sb="0" eb="3">
      <t>ヨウチエン</t>
    </rPh>
    <rPh sb="4" eb="7">
      <t>ホイクエン</t>
    </rPh>
    <phoneticPr fontId="20"/>
  </si>
  <si>
    <t>大学・専門学校</t>
    <rPh sb="0" eb="2">
      <t>ダイガク</t>
    </rPh>
    <rPh sb="3" eb="5">
      <t>センモン</t>
    </rPh>
    <rPh sb="5" eb="7">
      <t>ガッコウ</t>
    </rPh>
    <phoneticPr fontId="20"/>
  </si>
  <si>
    <t>デパート・スーパー</t>
  </si>
  <si>
    <t>劇場・ホール</t>
    <rPh sb="0" eb="2">
      <t>ゲキジョウ</t>
    </rPh>
    <phoneticPr fontId="20"/>
  </si>
  <si>
    <t>展示施設</t>
    <rPh sb="0" eb="2">
      <t>テンジ</t>
    </rPh>
    <rPh sb="2" eb="4">
      <t>シセツ</t>
    </rPh>
    <phoneticPr fontId="20"/>
  </si>
  <si>
    <t>スポーツ施設</t>
    <rPh sb="4" eb="6">
      <t>シセツ</t>
    </rPh>
    <phoneticPr fontId="20"/>
  </si>
  <si>
    <t>電算室</t>
    <rPh sb="0" eb="3">
      <t>デンサンシツ</t>
    </rPh>
    <phoneticPr fontId="20"/>
  </si>
  <si>
    <t>福祉施設</t>
    <rPh sb="0" eb="2">
      <t>フクシ</t>
    </rPh>
    <rPh sb="2" eb="4">
      <t>シセツ</t>
    </rPh>
    <phoneticPr fontId="20"/>
  </si>
  <si>
    <t>■評価ソフト：</t>
    <rPh sb="1" eb="3">
      <t>ヒョウカ</t>
    </rPh>
    <phoneticPr fontId="20"/>
  </si>
  <si>
    <t>④スコア表示シート</t>
    <rPh sb="4" eb="6">
      <t>ﾋｮｳｼﾞ</t>
    </rPh>
    <phoneticPr fontId="30" type="noConversion"/>
  </si>
  <si>
    <t>建物全体・共用部分</t>
  </si>
  <si>
    <t>住居・宿泊部分</t>
    <phoneticPr fontId="20"/>
  </si>
  <si>
    <t>全体</t>
    <phoneticPr fontId="20"/>
  </si>
  <si>
    <t>NA</t>
    <phoneticPr fontId="20"/>
  </si>
  <si>
    <t>score</t>
    <phoneticPr fontId="20"/>
  </si>
  <si>
    <t>配慮項目</t>
    <phoneticPr fontId="20"/>
  </si>
  <si>
    <t>重み係数</t>
    <rPh sb="0" eb="1">
      <t>オモ</t>
    </rPh>
    <phoneticPr fontId="20"/>
  </si>
  <si>
    <t>before</t>
    <phoneticPr fontId="20"/>
  </si>
  <si>
    <t>after</t>
    <phoneticPr fontId="20"/>
  </si>
  <si>
    <t>weight(set)
before</t>
    <phoneticPr fontId="20"/>
  </si>
  <si>
    <t>weight(set)
after</t>
    <phoneticPr fontId="20"/>
  </si>
  <si>
    <t>Q 建築物の環境品質</t>
    <phoneticPr fontId="20"/>
  </si>
  <si>
    <t>Q1</t>
    <phoneticPr fontId="30" type="noConversion"/>
  </si>
  <si>
    <t>室内環境</t>
    <phoneticPr fontId="20"/>
  </si>
  <si>
    <t>湿度制御</t>
    <rPh sb="0" eb="2">
      <t>ｼﾂﾄﾞ</t>
    </rPh>
    <rPh sb="2" eb="4">
      <t>ｾｲｷﾞｮ</t>
    </rPh>
    <phoneticPr fontId="30" type="noConversion"/>
  </si>
  <si>
    <t>非再生性資源の使用量削減</t>
    <rPh sb="0" eb="1">
      <t>ﾋ</t>
    </rPh>
    <rPh sb="1" eb="3">
      <t>ｻｲｾｲ</t>
    </rPh>
    <rPh sb="3" eb="4">
      <t>ｾｲ</t>
    </rPh>
    <rPh sb="4" eb="6">
      <t>ｼｹﾞﾝ</t>
    </rPh>
    <rPh sb="7" eb="10">
      <t>ｼﾖｳﾘｮｳ</t>
    </rPh>
    <rPh sb="10" eb="12">
      <t>ｻｸｹﾞﾝ</t>
    </rPh>
    <phoneticPr fontId="30" type="noConversion"/>
  </si>
  <si>
    <t>地域区分Ⅰ</t>
    <phoneticPr fontId="20"/>
  </si>
  <si>
    <t>N.A.</t>
  </si>
  <si>
    <t>汚染物質含有材料の使用回避</t>
    <rPh sb="0" eb="2">
      <t>ｵｾﾝ</t>
    </rPh>
    <rPh sb="2" eb="4">
      <t>ﾌﾞｯｼﾂ</t>
    </rPh>
    <rPh sb="4" eb="6">
      <t>ｶﾞﾝﾕｳ</t>
    </rPh>
    <rPh sb="6" eb="8">
      <t>ｻﾞｲﾘｮｳ</t>
    </rPh>
    <rPh sb="9" eb="11">
      <t>ｼﾖｳ</t>
    </rPh>
    <rPh sb="11" eb="13">
      <t>ｶｲﾋ</t>
    </rPh>
    <phoneticPr fontId="30" type="noConversion"/>
  </si>
  <si>
    <r>
      <t>1-1</t>
    </r>
    <r>
      <rPr>
        <b/>
        <sz val="12"/>
        <color indexed="9"/>
        <rFont val="ＭＳ Ｐゴシック"/>
        <family val="3"/>
        <charset val="128"/>
      </rPr>
      <t>　建物概要</t>
    </r>
    <rPh sb="4" eb="5">
      <t>ｹﾝ</t>
    </rPh>
    <rPh sb="5" eb="6">
      <t>ﾓﾉ</t>
    </rPh>
    <rPh sb="6" eb="8">
      <t>ｶﾞｲﾖｳ</t>
    </rPh>
    <phoneticPr fontId="30" type="noConversion"/>
  </si>
  <si>
    <r>
      <t>1-2</t>
    </r>
    <r>
      <rPr>
        <b/>
        <sz val="12"/>
        <color indexed="9"/>
        <rFont val="ＭＳ Ｐゴシック"/>
        <family val="3"/>
        <charset val="128"/>
      </rPr>
      <t>　外観</t>
    </r>
    <rPh sb="4" eb="6">
      <t>ガイカン</t>
    </rPh>
    <phoneticPr fontId="20"/>
  </si>
  <si>
    <t>建物名称</t>
    <rPh sb="0" eb="2">
      <t>ﾀﾃﾓﾉ</t>
    </rPh>
    <rPh sb="2" eb="4">
      <t>ﾒｲｼｮｳ</t>
    </rPh>
    <phoneticPr fontId="30" type="noConversion"/>
  </si>
  <si>
    <t>階数</t>
    <rPh sb="0" eb="2">
      <t>カイスウ</t>
    </rPh>
    <phoneticPr fontId="20"/>
  </si>
  <si>
    <t>radar chart</t>
  </si>
  <si>
    <t>建設地</t>
    <rPh sb="0" eb="3">
      <t>ｹﾝｾﾂﾁ</t>
    </rPh>
    <phoneticPr fontId="30" type="noConversion"/>
  </si>
  <si>
    <t>構造</t>
    <rPh sb="0" eb="2">
      <t>コウゾウ</t>
    </rPh>
    <phoneticPr fontId="20"/>
  </si>
  <si>
    <t>建物用途</t>
    <rPh sb="0" eb="2">
      <t>ﾀﾃﾓﾉ</t>
    </rPh>
    <rPh sb="2" eb="4">
      <t>ﾖｳﾄ</t>
    </rPh>
    <phoneticPr fontId="30" type="noConversion"/>
  </si>
  <si>
    <t>改修後の想定使用年数</t>
    <rPh sb="6" eb="8">
      <t>シヨウ</t>
    </rPh>
    <phoneticPr fontId="20"/>
  </si>
  <si>
    <t>年</t>
    <rPh sb="0" eb="1">
      <t>ネン</t>
    </rPh>
    <phoneticPr fontId="20"/>
  </si>
  <si>
    <t>LR2 資源・
マテリアル</t>
    <rPh sb="4" eb="6">
      <t>シゲン</t>
    </rPh>
    <phoneticPr fontId="20"/>
  </si>
  <si>
    <t>改修工事期間</t>
  </si>
  <si>
    <t>敷地面積</t>
    <rPh sb="0" eb="2">
      <t>ｼｷﾁ</t>
    </rPh>
    <rPh sb="2" eb="4">
      <t>ﾒﾝｾｷ</t>
    </rPh>
    <phoneticPr fontId="30" type="noConversion"/>
  </si>
  <si>
    <t>建築面積</t>
    <rPh sb="0" eb="2">
      <t>ｹﾝﾁｸ</t>
    </rPh>
    <rPh sb="2" eb="4">
      <t>ﾒﾝｾｷ</t>
    </rPh>
    <phoneticPr fontId="30" type="noConversion"/>
  </si>
  <si>
    <t>延床面積</t>
    <rPh sb="0" eb="1">
      <t>ﾉ</t>
    </rPh>
    <rPh sb="1" eb="4">
      <t>ﾕｶﾒﾝｾｷ</t>
    </rPh>
    <phoneticPr fontId="30" type="noConversion"/>
  </si>
  <si>
    <t>改修対象項目</t>
  </si>
  <si>
    <t>躯体</t>
  </si>
  <si>
    <t>改修目的</t>
  </si>
  <si>
    <t>現在までの主な改修履歴</t>
  </si>
  <si>
    <t>外装</t>
  </si>
  <si>
    <t>内装</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</si>
  <si>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</si>
  <si>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0" type="noConversion"/>
  </si>
  <si>
    <t>基準</t>
    <rPh sb="0" eb="2">
      <t>キジュン</t>
    </rPh>
    <phoneticPr fontId="20"/>
  </si>
  <si>
    <t>評価</t>
    <rPh sb="0" eb="2">
      <t>ヒョウカ</t>
    </rPh>
    <phoneticPr fontId="20"/>
  </si>
  <si>
    <t>原点</t>
    <rPh sb="0" eb="2">
      <t>ゲンテン</t>
    </rPh>
    <phoneticPr fontId="20"/>
  </si>
  <si>
    <t>X目盛線</t>
    <rPh sb="1" eb="3">
      <t>メモ</t>
    </rPh>
    <rPh sb="3" eb="4">
      <t>セン</t>
    </rPh>
    <phoneticPr fontId="20"/>
  </si>
  <si>
    <t>Y目盛線</t>
    <rPh sb="1" eb="3">
      <t>メモ</t>
    </rPh>
    <rPh sb="3" eb="4">
      <t>セン</t>
    </rPh>
    <phoneticPr fontId="20"/>
  </si>
  <si>
    <t>S</t>
    <phoneticPr fontId="20"/>
  </si>
  <si>
    <t>A</t>
    <phoneticPr fontId="20"/>
  </si>
  <si>
    <t>B+</t>
    <phoneticPr fontId="20"/>
  </si>
  <si>
    <t>B-</t>
    <phoneticPr fontId="20"/>
  </si>
  <si>
    <t>LCCO2(kg-CO2/ym2)</t>
    <phoneticPr fontId="20"/>
  </si>
  <si>
    <t>建設</t>
    <rPh sb="0" eb="2">
      <t>ケンセツ</t>
    </rPh>
    <phoneticPr fontId="20"/>
  </si>
  <si>
    <t>修繕・更新・解体</t>
    <rPh sb="0" eb="2">
      <t>シュウゼン</t>
    </rPh>
    <rPh sb="3" eb="5">
      <t>コウシン</t>
    </rPh>
    <rPh sb="6" eb="8">
      <t>カイタイ</t>
    </rPh>
    <phoneticPr fontId="20"/>
  </si>
  <si>
    <t>運用</t>
    <rPh sb="0" eb="2">
      <t>ウンヨウ</t>
    </rPh>
    <phoneticPr fontId="20"/>
  </si>
  <si>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0"/>
  </si>
  <si>
    <t>N.A.</t>
    <phoneticPr fontId="20"/>
  </si>
  <si>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0"/>
  </si>
  <si>
    <t>※個別計算</t>
    <rPh sb="1" eb="3">
      <t>コベツ</t>
    </rPh>
    <rPh sb="3" eb="5">
      <t>ケイサン</t>
    </rPh>
    <phoneticPr fontId="20"/>
  </si>
  <si>
    <r>
      <t>2-4</t>
    </r>
    <r>
      <rPr>
        <b/>
        <sz val="12"/>
        <color indexed="9"/>
        <rFont val="ＭＳ Ｐゴシック"/>
        <family val="3"/>
        <charset val="128"/>
      </rPr>
      <t>　中項目の評価（バーチャート）</t>
    </r>
    <phoneticPr fontId="20"/>
  </si>
  <si>
    <r>
      <t>Q</t>
    </r>
    <r>
      <rPr>
        <b/>
        <sz val="11"/>
        <color indexed="26"/>
        <rFont val="ＭＳ Ｐゴシック"/>
        <family val="3"/>
        <charset val="128"/>
      </rPr>
      <t>　環境品質</t>
    </r>
    <rPh sb="2" eb="4">
      <t>カンキョウ</t>
    </rPh>
    <rPh sb="4" eb="6">
      <t>ヒンシツ</t>
    </rPh>
    <phoneticPr fontId="20"/>
  </si>
  <si>
    <t>音環境</t>
  </si>
  <si>
    <t>機能性</t>
    <rPh sb="0" eb="3">
      <t>キノウセイ</t>
    </rPh>
    <phoneticPr fontId="20"/>
  </si>
  <si>
    <t>生物環境</t>
    <rPh sb="0" eb="2">
      <t>セイブツ</t>
    </rPh>
    <rPh sb="2" eb="4">
      <t>カンキョウ</t>
    </rPh>
    <phoneticPr fontId="20"/>
  </si>
  <si>
    <t>温熱環境</t>
  </si>
  <si>
    <t>排出係数の設定</t>
    <rPh sb="0" eb="2">
      <t>ハイシュツ</t>
    </rPh>
    <rPh sb="2" eb="4">
      <t>ケイスウ</t>
    </rPh>
    <rPh sb="5" eb="7">
      <t>セッテイ</t>
    </rPh>
    <phoneticPr fontId="20"/>
  </si>
  <si>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0"/>
  </si>
  <si>
    <t>←オプションボタン番号</t>
    <rPh sb="9" eb="11">
      <t>バンゴウ</t>
    </rPh>
    <phoneticPr fontId="20"/>
  </si>
  <si>
    <t>電力事業社名/根拠等</t>
    <rPh sb="0" eb="2">
      <t>デンリョク</t>
    </rPh>
    <rPh sb="2" eb="4">
      <t>ジギョウ</t>
    </rPh>
    <rPh sb="4" eb="6">
      <t>シャメイ</t>
    </rPh>
    <rPh sb="7" eb="9">
      <t>コンキョ</t>
    </rPh>
    <rPh sb="9" eb="10">
      <t>トウ</t>
    </rPh>
    <phoneticPr fontId="20"/>
  </si>
  <si>
    <t>↓事業社名</t>
    <rPh sb="1" eb="3">
      <t>ジギョウ</t>
    </rPh>
    <rPh sb="3" eb="5">
      <t>シャメイ</t>
    </rPh>
    <phoneticPr fontId="20"/>
  </si>
  <si>
    <t>↓排出係数</t>
    <rPh sb="1" eb="3">
      <t>ハイシュツ</t>
    </rPh>
    <rPh sb="3" eb="5">
      <t>ケイスウ</t>
    </rPh>
    <phoneticPr fontId="20"/>
  </si>
  <si>
    <t>　（１）評価条件として、与えられた排出係数を用いる場合</t>
    <phoneticPr fontId="20"/>
  </si>
  <si>
    <t>排出係数</t>
    <phoneticPr fontId="20"/>
  </si>
  <si>
    <t>(t-CO2/kWh)</t>
    <phoneticPr fontId="20"/>
  </si>
  <si>
    <t>　（２）温暖化対策推進法に基づく温室効果ガス排出量の算定方法を参考とする場合</t>
    <rPh sb="31" eb="33">
      <t>サンコウ</t>
    </rPh>
    <phoneticPr fontId="20"/>
  </si>
  <si>
    <t>　　①</t>
    <phoneticPr fontId="20"/>
  </si>
  <si>
    <t>電気事業者（一般電気事業者及び特定規模電気事業者（PPS））から供給された電気</t>
    <phoneticPr fontId="20"/>
  </si>
  <si>
    <t>事業者名</t>
  </si>
  <si>
    <t>東京電力株式会社</t>
  </si>
  <si>
    <t>(t-CO2/kWh)</t>
  </si>
  <si>
    <t>　　②</t>
    <phoneticPr fontId="20"/>
  </si>
  <si>
    <t>根拠等</t>
    <rPh sb="0" eb="2">
      <t>コンキョ</t>
    </rPh>
    <rPh sb="2" eb="3">
      <t>トウ</t>
    </rPh>
    <phoneticPr fontId="20"/>
  </si>
  <si>
    <t>降順並び替え</t>
    <rPh sb="0" eb="2">
      <t>コウジュン</t>
    </rPh>
    <rPh sb="2" eb="3">
      <t>ナラ</t>
    </rPh>
    <rPh sb="4" eb="5">
      <t>カ</t>
    </rPh>
    <phoneticPr fontId="20"/>
  </si>
  <si>
    <t>イーレックス株式会社</t>
  </si>
  <si>
    <t>実排出係数との差</t>
    <rPh sb="0" eb="1">
      <t>ジツ</t>
    </rPh>
    <rPh sb="1" eb="3">
      <t>ハイシュツ</t>
    </rPh>
    <rPh sb="3" eb="5">
      <t>ケイスウ</t>
    </rPh>
    <rPh sb="7" eb="8">
      <t>サ</t>
    </rPh>
    <phoneticPr fontId="20"/>
  </si>
  <si>
    <t>エネサーブ株式会社</t>
  </si>
  <si>
    <t>サミットエナジー株式会社</t>
  </si>
  <si>
    <t>ダイヤモンドパワー株式会社</t>
  </si>
  <si>
    <t>パナソニック株式会社</t>
  </si>
  <si>
    <t>王子製紙株式会社</t>
  </si>
  <si>
    <t>沖縄電力株式会社</t>
  </si>
  <si>
    <t>株式会社Ｆ－Ｐｏｗｅｒ</t>
  </si>
  <si>
    <t>株式会社エネット</t>
  </si>
  <si>
    <t>関西電力株式会社</t>
  </si>
  <si>
    <t>丸紅株式会社</t>
  </si>
  <si>
    <t>九州電力株式会社</t>
  </si>
  <si>
    <t>四国電力株式会社</t>
  </si>
  <si>
    <t>昭和シェル石油株式会社</t>
  </si>
  <si>
    <t>中国電力株式会社</t>
  </si>
  <si>
    <t>中部電力株式会社</t>
  </si>
  <si>
    <t>東北電力株式会社</t>
  </si>
  <si>
    <t>北海道電力株式会社</t>
  </si>
  <si>
    <t>北陸電力株式会社</t>
  </si>
  <si>
    <t>■エネルギー消費実績に基づくレベルの加点・減点（工場、集合住宅を除く）</t>
    <rPh sb="24" eb="26">
      <t>コウジョウ</t>
    </rPh>
    <rPh sb="27" eb="29">
      <t>シュウゴウ</t>
    </rPh>
    <rPh sb="29" eb="31">
      <t>ジュウタク</t>
    </rPh>
    <rPh sb="32" eb="33">
      <t>ノゾ</t>
    </rPh>
    <phoneticPr fontId="20"/>
  </si>
  <si>
    <t>-</t>
  </si>
  <si>
    <t>室用途</t>
    <rPh sb="0" eb="1">
      <t>シツ</t>
    </rPh>
    <rPh sb="1" eb="3">
      <t>ヨウト</t>
    </rPh>
    <phoneticPr fontId="20"/>
  </si>
  <si>
    <t>エネルギー消費量</t>
    <rPh sb="5" eb="7">
      <t>ショウヒ</t>
    </rPh>
    <rPh sb="7" eb="8">
      <t>リョウ</t>
    </rPh>
    <phoneticPr fontId="20"/>
  </si>
  <si>
    <t>厨房</t>
    <rPh sb="0" eb="2">
      <t>チュウボウ</t>
    </rPh>
    <phoneticPr fontId="20"/>
  </si>
  <si>
    <t>3)　評価対象となるエネルギー消費量</t>
    <rPh sb="3" eb="5">
      <t>ヒョウカ</t>
    </rPh>
    <rPh sb="5" eb="7">
      <t>タイショウ</t>
    </rPh>
    <rPh sb="15" eb="18">
      <t>ショウヒリョウ</t>
    </rPh>
    <phoneticPr fontId="20"/>
  </si>
  <si>
    <t>2.　使用状況に準じた延床面積の構成比率の入力</t>
    <rPh sb="3" eb="5">
      <t>シヨウ</t>
    </rPh>
    <rPh sb="5" eb="7">
      <t>ジョウキョウ</t>
    </rPh>
    <rPh sb="8" eb="9">
      <t>ジュン</t>
    </rPh>
    <rPh sb="11" eb="13">
      <t>ノベユカ</t>
    </rPh>
    <rPh sb="13" eb="15">
      <t>メンセキ</t>
    </rPh>
    <rPh sb="16" eb="18">
      <t>コウセイ</t>
    </rPh>
    <rPh sb="18" eb="20">
      <t>ヒリツ</t>
    </rPh>
    <rPh sb="21" eb="23">
      <t>ニュウリョク</t>
    </rPh>
    <phoneticPr fontId="20"/>
  </si>
  <si>
    <t>　　　　3.　地区の選択</t>
    <rPh sb="7" eb="9">
      <t>チク</t>
    </rPh>
    <rPh sb="10" eb="12">
      <t>センタク</t>
    </rPh>
    <phoneticPr fontId="20"/>
  </si>
  <si>
    <t>関東</t>
    <rPh sb="0" eb="2">
      <t>カントウ</t>
    </rPh>
    <phoneticPr fontId="20"/>
  </si>
  <si>
    <t>1)　実績評価の対象面積</t>
    <rPh sb="3" eb="5">
      <t>ジッセキ</t>
    </rPh>
    <rPh sb="5" eb="7">
      <t>ヒョウカ</t>
    </rPh>
    <rPh sb="8" eb="10">
      <t>タイショウ</t>
    </rPh>
    <rPh sb="10" eb="12">
      <t>メンセキ</t>
    </rPh>
    <phoneticPr fontId="20"/>
  </si>
  <si>
    <t>2)　延床面積の構成比率入力</t>
    <rPh sb="3" eb="7">
      <t>ノベユカメンセキ</t>
    </rPh>
    <rPh sb="8" eb="10">
      <t>コウセイ</t>
    </rPh>
    <rPh sb="10" eb="12">
      <t>ヒリツ</t>
    </rPh>
    <rPh sb="12" eb="14">
      <t>ニュウリョク</t>
    </rPh>
    <phoneticPr fontId="20"/>
  </si>
  <si>
    <t>地区選択に基づく境界値aおよびb</t>
    <rPh sb="0" eb="2">
      <t>チク</t>
    </rPh>
    <rPh sb="2" eb="4">
      <t>センタク</t>
    </rPh>
    <rPh sb="5" eb="6">
      <t>モト</t>
    </rPh>
    <rPh sb="8" eb="10">
      <t>キョウカイ</t>
    </rPh>
    <rPh sb="10" eb="11">
      <t>チ</t>
    </rPh>
    <phoneticPr fontId="20"/>
  </si>
  <si>
    <t>用途別面積(㎡)</t>
    <rPh sb="0" eb="2">
      <t>ヨウト</t>
    </rPh>
    <rPh sb="2" eb="3">
      <t>ベツ</t>
    </rPh>
    <rPh sb="3" eb="5">
      <t>メンセキ</t>
    </rPh>
    <phoneticPr fontId="20"/>
  </si>
  <si>
    <t>構成比率</t>
    <rPh sb="0" eb="2">
      <t>コウセイ</t>
    </rPh>
    <rPh sb="2" eb="4">
      <t>ヒリツ</t>
    </rPh>
    <phoneticPr fontId="20"/>
  </si>
  <si>
    <t>北海道</t>
    <rPh sb="0" eb="3">
      <t>ホッカイドウ</t>
    </rPh>
    <phoneticPr fontId="20"/>
  </si>
  <si>
    <t>関西</t>
    <rPh sb="0" eb="2">
      <t>カンサイ</t>
    </rPh>
    <phoneticPr fontId="20"/>
  </si>
  <si>
    <t>e</t>
  </si>
  <si>
    <t>東北</t>
    <rPh sb="0" eb="2">
      <t>トウホク</t>
    </rPh>
    <phoneticPr fontId="20"/>
  </si>
  <si>
    <t>c</t>
  </si>
  <si>
    <t>九州</t>
    <rPh sb="0" eb="2">
      <t>キュウシュウ</t>
    </rPh>
    <phoneticPr fontId="20"/>
  </si>
  <si>
    <t>g</t>
  </si>
  <si>
    <t>電算･情報センター</t>
    <rPh sb="0" eb="2">
      <t>デンサン</t>
    </rPh>
    <rPh sb="3" eb="5">
      <t>ジョウホウ</t>
    </rPh>
    <phoneticPr fontId="20"/>
  </si>
  <si>
    <t>中部</t>
    <rPh sb="0" eb="2">
      <t>チュウブ</t>
    </rPh>
    <phoneticPr fontId="20"/>
  </si>
  <si>
    <t>中国・四国</t>
    <rPh sb="0" eb="2">
      <t>チュウゴク</t>
    </rPh>
    <rPh sb="3" eb="5">
      <t>シコク</t>
    </rPh>
    <phoneticPr fontId="20"/>
  </si>
  <si>
    <t>f</t>
  </si>
  <si>
    <t>d</t>
  </si>
  <si>
    <t>b</t>
  </si>
  <si>
    <t>小・中学校</t>
    <rPh sb="0" eb="1">
      <t>ショウ</t>
    </rPh>
    <rPh sb="2" eb="3">
      <t>チュウ</t>
    </rPh>
    <rPh sb="3" eb="5">
      <t>ガッコウ</t>
    </rPh>
    <phoneticPr fontId="20"/>
  </si>
  <si>
    <t>a</t>
  </si>
  <si>
    <t>0.　既存</t>
    <rPh sb="3" eb="5">
      <t>キソン</t>
    </rPh>
    <phoneticPr fontId="20"/>
  </si>
  <si>
    <t>延面積比率</t>
    <rPh sb="0" eb="1">
      <t>ノ</t>
    </rPh>
    <rPh sb="1" eb="3">
      <t>メンセキ</t>
    </rPh>
    <rPh sb="3" eb="5">
      <t>ヒリツ</t>
    </rPh>
    <phoneticPr fontId="20"/>
  </si>
  <si>
    <t xml:space="preserve"> Q</t>
    <phoneticPr fontId="20"/>
  </si>
  <si>
    <t>住居宿泊・共用部面積比率</t>
    <rPh sb="0" eb="2">
      <t>ジュウキョ</t>
    </rPh>
    <rPh sb="2" eb="4">
      <t>シュクハク</t>
    </rPh>
    <rPh sb="5" eb="7">
      <t>キョウヨウ</t>
    </rPh>
    <rPh sb="7" eb="8">
      <t>ブ</t>
    </rPh>
    <rPh sb="8" eb="10">
      <t>メンセキ</t>
    </rPh>
    <rPh sb="10" eb="12">
      <t>ヒリツ</t>
    </rPh>
    <phoneticPr fontId="20"/>
  </si>
  <si>
    <t>Q</t>
    <phoneticPr fontId="20"/>
  </si>
  <si>
    <t>建築物の環境品質</t>
    <phoneticPr fontId="20"/>
  </si>
  <si>
    <t>3.2.3</t>
    <phoneticPr fontId="20"/>
  </si>
  <si>
    <t>病院o</t>
    <phoneticPr fontId="20"/>
  </si>
  <si>
    <t>ホテルo</t>
    <phoneticPr fontId="20"/>
  </si>
  <si>
    <t>集合住宅o</t>
    <phoneticPr fontId="20"/>
  </si>
  <si>
    <t>延面積比率</t>
    <phoneticPr fontId="20"/>
  </si>
  <si>
    <t>地球温暖化への配慮</t>
    <rPh sb="0" eb="2">
      <t>ﾁｷｭｳ</t>
    </rPh>
    <rPh sb="2" eb="5">
      <t>ｵﾝﾀﾞﾝｶ</t>
    </rPh>
    <rPh sb="7" eb="9">
      <t>ﾊｲﾘｮ</t>
    </rPh>
    <phoneticPr fontId="30" type="noConversion"/>
  </si>
  <si>
    <t>地域環境への配慮</t>
    <rPh sb="0" eb="2">
      <t>ﾁｲｷ</t>
    </rPh>
    <rPh sb="2" eb="4">
      <t>ｶﾝｷｮｳ</t>
    </rPh>
    <rPh sb="6" eb="8">
      <t>ﾊｲﾘｮ</t>
    </rPh>
    <phoneticPr fontId="30" type="noConversion"/>
  </si>
  <si>
    <t>大気汚染防止</t>
    <rPh sb="0" eb="2">
      <t>ﾀｲｷ</t>
    </rPh>
    <rPh sb="2" eb="4">
      <t>ｵｾﾝ</t>
    </rPh>
    <rPh sb="4" eb="6">
      <t>ﾎﾞｳｼ</t>
    </rPh>
    <phoneticPr fontId="30" type="noConversion"/>
  </si>
  <si>
    <t>交通負荷抑制</t>
    <rPh sb="0" eb="2">
      <t>ｺｳﾂｳ</t>
    </rPh>
    <rPh sb="2" eb="4">
      <t>ﾌｶ</t>
    </rPh>
    <rPh sb="4" eb="6">
      <t>ﾖｸｾｲ</t>
    </rPh>
    <phoneticPr fontId="30" type="noConversion"/>
  </si>
  <si>
    <t>廃棄物処理負荷抑制</t>
    <rPh sb="0" eb="3">
      <t>ﾊｲｷﾌﾞﾂ</t>
    </rPh>
    <rPh sb="3" eb="5">
      <t>ｼｮﾘ</t>
    </rPh>
    <rPh sb="5" eb="7">
      <t>ﾌｶ</t>
    </rPh>
    <rPh sb="7" eb="9">
      <t>ﾖｸｾｲ</t>
    </rPh>
    <phoneticPr fontId="30" type="noConversion"/>
  </si>
  <si>
    <t>周辺環境への配慮</t>
    <rPh sb="0" eb="2">
      <t>ｼｭｳﾍﾝ</t>
    </rPh>
    <rPh sb="2" eb="4">
      <t>ｶﾝｷｮｳ</t>
    </rPh>
    <rPh sb="6" eb="8">
      <t>ﾊｲﾘｮ</t>
    </rPh>
    <phoneticPr fontId="30" type="noConversion"/>
  </si>
  <si>
    <t>騒音・振動・悪臭の防止</t>
    <rPh sb="0" eb="2">
      <t>ｿｳｵﾝ</t>
    </rPh>
    <rPh sb="3" eb="5">
      <t>ｼﾝﾄﾞｳ</t>
    </rPh>
    <rPh sb="6" eb="8">
      <t>ｱｸｼｭｳ</t>
    </rPh>
    <rPh sb="9" eb="11">
      <t>ﾎﾞｳｼ</t>
    </rPh>
    <phoneticPr fontId="30" type="noConversion"/>
  </si>
  <si>
    <t>騒音</t>
    <rPh sb="0" eb="2">
      <t>ｿｳｵﾝ</t>
    </rPh>
    <phoneticPr fontId="30" type="noConversion"/>
  </si>
  <si>
    <t>振動</t>
    <rPh sb="0" eb="2">
      <t>ｼﾝﾄﾞｳ</t>
    </rPh>
    <phoneticPr fontId="30" type="noConversion"/>
  </si>
  <si>
    <t>砂塵の抑制</t>
    <rPh sb="0" eb="2">
      <t>ｻｼﾞﾝ</t>
    </rPh>
    <rPh sb="3" eb="5">
      <t>ﾖｸｾｲ</t>
    </rPh>
    <phoneticPr fontId="30" type="noConversion"/>
  </si>
  <si>
    <t>日照阻害の抑制</t>
    <phoneticPr fontId="30" type="noConversion"/>
  </si>
  <si>
    <t>光害の抑制</t>
    <rPh sb="0" eb="1">
      <t>ﾋｶﾘ</t>
    </rPh>
    <phoneticPr fontId="30" type="noConversion"/>
  </si>
  <si>
    <t>高等学校</t>
    <rPh sb="0" eb="2">
      <t>コウトウ</t>
    </rPh>
    <rPh sb="2" eb="4">
      <t>ガッコウ</t>
    </rPh>
    <phoneticPr fontId="20"/>
  </si>
  <si>
    <t>研究機関</t>
    <rPh sb="0" eb="2">
      <t>ケンキュウ</t>
    </rPh>
    <rPh sb="2" eb="4">
      <t>キカン</t>
    </rPh>
    <phoneticPr fontId="20"/>
  </si>
  <si>
    <t>4.　エネルギー消費実績に基づくレベルの上下</t>
    <rPh sb="20" eb="22">
      <t>ジョウゲ</t>
    </rPh>
    <phoneticPr fontId="20"/>
  </si>
  <si>
    <t>2)　延床面積あたりのエネルギー消費量実績　</t>
    <rPh sb="3" eb="5">
      <t>ノベユカ</t>
    </rPh>
    <rPh sb="5" eb="7">
      <t>メンセキ</t>
    </rPh>
    <rPh sb="16" eb="18">
      <t>ショウヒ</t>
    </rPh>
    <rPh sb="18" eb="19">
      <t>リョウ</t>
    </rPh>
    <rPh sb="19" eb="21">
      <t>ジッセキ</t>
    </rPh>
    <phoneticPr fontId="20"/>
  </si>
  <si>
    <t>3)　境界値</t>
    <rPh sb="3" eb="5">
      <t>キョウカイ</t>
    </rPh>
    <rPh sb="5" eb="6">
      <t>チ</t>
    </rPh>
    <phoneticPr fontId="20"/>
  </si>
  <si>
    <t>境界値 a</t>
    <rPh sb="0" eb="2">
      <t>キョウカイ</t>
    </rPh>
    <rPh sb="2" eb="3">
      <t>チ</t>
    </rPh>
    <phoneticPr fontId="20"/>
  </si>
  <si>
    <t>境界値 b</t>
    <rPh sb="0" eb="2">
      <t>キョウカイ</t>
    </rPh>
    <rPh sb="2" eb="3">
      <t>チ</t>
    </rPh>
    <phoneticPr fontId="20"/>
  </si>
  <si>
    <t>4)　エネルギー消費実績に基づくレベルの上下</t>
    <rPh sb="8" eb="10">
      <t>ショウヒ</t>
    </rPh>
    <rPh sb="10" eb="12">
      <t>ジッセキ</t>
    </rPh>
    <rPh sb="13" eb="14">
      <t>モト</t>
    </rPh>
    <rPh sb="20" eb="22">
      <t>ジョウゲ</t>
    </rPh>
    <phoneticPr fontId="20"/>
  </si>
  <si>
    <t>※加点条件；[実績値]&lt;境界値a、　減点条件；[実績値]&gt;境界値b</t>
    <rPh sb="1" eb="3">
      <t>カテン</t>
    </rPh>
    <rPh sb="3" eb="5">
      <t>ジョウケン</t>
    </rPh>
    <rPh sb="7" eb="9">
      <t>ジッセキ</t>
    </rPh>
    <rPh sb="9" eb="10">
      <t>チ</t>
    </rPh>
    <rPh sb="12" eb="14">
      <t>キョウカイ</t>
    </rPh>
    <rPh sb="14" eb="15">
      <t>チ</t>
    </rPh>
    <rPh sb="18" eb="20">
      <t>ゲンテン</t>
    </rPh>
    <rPh sb="20" eb="22">
      <t>ジョウケン</t>
    </rPh>
    <phoneticPr fontId="20"/>
  </si>
  <si>
    <t>■エネルギー消費実績に基づく加点・減点の判断基準値　[MJ/㎡年]</t>
    <rPh sb="6" eb="8">
      <t>ショウヒ</t>
    </rPh>
    <rPh sb="8" eb="10">
      <t>ジッセキ</t>
    </rPh>
    <rPh sb="11" eb="12">
      <t>モト</t>
    </rPh>
    <rPh sb="14" eb="16">
      <t>カテン</t>
    </rPh>
    <rPh sb="17" eb="19">
      <t>ゲンテン</t>
    </rPh>
    <rPh sb="20" eb="22">
      <t>ハンダン</t>
    </rPh>
    <rPh sb="22" eb="24">
      <t>キジュン</t>
    </rPh>
    <rPh sb="24" eb="25">
      <t>チ</t>
    </rPh>
    <rPh sb="31" eb="32">
      <t>ネン</t>
    </rPh>
    <phoneticPr fontId="20"/>
  </si>
  <si>
    <t>境界値a</t>
    <rPh sb="0" eb="2">
      <t>キョウカイ</t>
    </rPh>
    <rPh sb="2" eb="3">
      <t>チ</t>
    </rPh>
    <phoneticPr fontId="20"/>
  </si>
  <si>
    <t>a（傾き）</t>
    <rPh sb="2" eb="3">
      <t>カタム</t>
    </rPh>
    <phoneticPr fontId="20"/>
  </si>
  <si>
    <t>ｂ（切片）</t>
    <rPh sb="2" eb="4">
      <t>セッペン</t>
    </rPh>
    <phoneticPr fontId="20"/>
  </si>
  <si>
    <t>3-1.　建築物の取組み（②）</t>
    <rPh sb="5" eb="8">
      <t>ケンチクブツ</t>
    </rPh>
    <rPh sb="9" eb="11">
      <t>トリク</t>
    </rPh>
    <phoneticPr fontId="20"/>
  </si>
  <si>
    <t>参照値（①）</t>
    <rPh sb="0" eb="2">
      <t>サンショウ</t>
    </rPh>
    <rPh sb="2" eb="3">
      <t>チ</t>
    </rPh>
    <phoneticPr fontId="20"/>
  </si>
  <si>
    <t>3-2.　上記+上記以外のオンサイト手法（③）</t>
    <rPh sb="5" eb="7">
      <t>ジョウキ</t>
    </rPh>
    <rPh sb="8" eb="10">
      <t>ジョウキ</t>
    </rPh>
    <rPh sb="10" eb="12">
      <t>イガイ</t>
    </rPh>
    <rPh sb="18" eb="20">
      <t>シュホウ</t>
    </rPh>
    <phoneticPr fontId="20"/>
  </si>
  <si>
    <t>削減量</t>
    <rPh sb="0" eb="2">
      <t>サクゲン</t>
    </rPh>
    <rPh sb="2" eb="3">
      <t>リョウ</t>
    </rPh>
    <phoneticPr fontId="20"/>
  </si>
  <si>
    <t>売電分</t>
    <rPh sb="0" eb="2">
      <t>バイデン</t>
    </rPh>
    <rPh sb="2" eb="3">
      <t>ブン</t>
    </rPh>
    <phoneticPr fontId="20"/>
  </si>
  <si>
    <r>
      <t xml:space="preserve"> [</t>
    </r>
    <r>
      <rPr>
        <sz val="11"/>
        <rFont val="ＭＳ Ｐゴシック"/>
        <family val="3"/>
        <charset val="128"/>
      </rPr>
      <t>2</t>
    </r>
    <r>
      <rPr>
        <sz val="11"/>
        <rFont val="ＭＳ Ｐゴシック"/>
        <family val="3"/>
        <charset val="128"/>
      </rPr>
      <t>]代替値</t>
    </r>
    <rPh sb="4" eb="6">
      <t>ダイタイ</t>
    </rPh>
    <rPh sb="6" eb="7">
      <t>チ</t>
    </rPh>
    <phoneticPr fontId="20"/>
  </si>
  <si>
    <r>
      <t xml:space="preserve">1. </t>
    </r>
    <r>
      <rPr>
        <b/>
        <sz val="10"/>
        <rFont val="ＭＳ Ｐゴシック"/>
        <family val="3"/>
        <charset val="128"/>
      </rPr>
      <t>エネルギー消費量実績の入力</t>
    </r>
    <rPh sb="8" eb="11">
      <t>ショウヒリョウ</t>
    </rPh>
    <rPh sb="11" eb="13">
      <t>ジッセキ</t>
    </rPh>
    <rPh sb="14" eb="16">
      <t>ニュウリョク</t>
    </rPh>
    <phoneticPr fontId="20"/>
  </si>
  <si>
    <r>
      <t>1)　実績評価の対象面積</t>
    </r>
    <r>
      <rPr>
        <b/>
        <sz val="10"/>
        <color indexed="10"/>
        <rFont val="ＭＳ Ｐゴシック"/>
        <family val="3"/>
        <charset val="128"/>
      </rPr>
      <t>（工場、集合住宅を除く）</t>
    </r>
    <rPh sb="3" eb="5">
      <t>ジッセキ</t>
    </rPh>
    <rPh sb="5" eb="7">
      <t>ヒョウカ</t>
    </rPh>
    <rPh sb="8" eb="10">
      <t>タイショウ</t>
    </rPh>
    <rPh sb="10" eb="12">
      <t>メンセキ</t>
    </rPh>
    <phoneticPr fontId="20"/>
  </si>
  <si>
    <r>
      <t>kg-CO</t>
    </r>
    <r>
      <rPr>
        <vertAlign val="subscript"/>
        <sz val="10"/>
        <rFont val="ＭＳ Ｐゴシック"/>
        <family val="3"/>
        <charset val="128"/>
      </rPr>
      <t>2</t>
    </r>
    <r>
      <rPr>
        <sz val="10"/>
        <rFont val="ＭＳ Ｐゴシック"/>
        <family val="3"/>
        <charset val="128"/>
      </rPr>
      <t>/MJ</t>
    </r>
    <phoneticPr fontId="20"/>
  </si>
  <si>
    <t>（調整後排出係数</t>
    <rPh sb="1" eb="4">
      <t>チョウセイゴ</t>
    </rPh>
    <rPh sb="4" eb="6">
      <t>ハイシュツ</t>
    </rPh>
    <rPh sb="6" eb="8">
      <t>ケイスウ</t>
    </rPh>
    <phoneticPr fontId="20"/>
  </si>
  <si>
    <t>kg-CO2/kWh）</t>
    <phoneticPr fontId="20"/>
  </si>
  <si>
    <t>代替値</t>
  </si>
  <si>
    <t>■CO2データベース</t>
    <phoneticPr fontId="20"/>
  </si>
  <si>
    <t>電力　（実排出係数）</t>
    <rPh sb="0" eb="2">
      <t>デンリョク</t>
    </rPh>
    <rPh sb="4" eb="5">
      <t>ジツ</t>
    </rPh>
    <rPh sb="5" eb="7">
      <t>ハイシュツ</t>
    </rPh>
    <rPh sb="7" eb="9">
      <t>ケイスウ</t>
    </rPh>
    <phoneticPr fontId="28"/>
  </si>
  <si>
    <t>耐用性・信頼性</t>
    <rPh sb="1" eb="2">
      <t>ヨウ</t>
    </rPh>
    <rPh sb="4" eb="7">
      <t>シンライセイ</t>
    </rPh>
    <phoneticPr fontId="20"/>
  </si>
  <si>
    <t>光・視環境</t>
  </si>
  <si>
    <t>対応性･更新性</t>
    <rPh sb="0" eb="3">
      <t>タイオウセイ</t>
    </rPh>
    <rPh sb="4" eb="6">
      <t>コウシン</t>
    </rPh>
    <rPh sb="6" eb="7">
      <t>セイ</t>
    </rPh>
    <phoneticPr fontId="20"/>
  </si>
  <si>
    <t>地域性・文化</t>
    <rPh sb="0" eb="3">
      <t>チイキセイ</t>
    </rPh>
    <rPh sb="4" eb="6">
      <t>ブンカ</t>
    </rPh>
    <phoneticPr fontId="20"/>
  </si>
  <si>
    <t>空気質環境</t>
    <rPh sb="3" eb="5">
      <t>カンキョウ</t>
    </rPh>
    <phoneticPr fontId="20"/>
  </si>
  <si>
    <r>
      <t>LR</t>
    </r>
    <r>
      <rPr>
        <b/>
        <sz val="11"/>
        <color indexed="42"/>
        <rFont val="ＭＳ Ｐゴシック"/>
        <family val="3"/>
        <charset val="128"/>
      </rPr>
      <t>　環境負荷低減性</t>
    </r>
    <phoneticPr fontId="20"/>
  </si>
  <si>
    <t>LR-2 資源ﾏﾃﾘｱﾙ</t>
    <rPh sb="5" eb="7">
      <t>シゲン</t>
    </rPh>
    <phoneticPr fontId="20"/>
  </si>
  <si>
    <t>LR-3 敷地外環境</t>
    <rPh sb="5" eb="7">
      <t>シキチ</t>
    </rPh>
    <rPh sb="7" eb="8">
      <t>ガイ</t>
    </rPh>
    <rPh sb="8" eb="10">
      <t>カンキョウ</t>
    </rPh>
    <phoneticPr fontId="20"/>
  </si>
  <si>
    <t>熱負荷抑制</t>
    <rPh sb="0" eb="1">
      <t>ネツ</t>
    </rPh>
    <rPh sb="1" eb="3">
      <t>フカ</t>
    </rPh>
    <rPh sb="3" eb="5">
      <t>ヨクセイ</t>
    </rPh>
    <phoneticPr fontId="20"/>
  </si>
  <si>
    <t>水資源</t>
    <rPh sb="0" eb="1">
      <t>ミズ</t>
    </rPh>
    <rPh sb="1" eb="3">
      <t>シゲン</t>
    </rPh>
    <phoneticPr fontId="20"/>
  </si>
  <si>
    <t>地球温暖化への配慮</t>
    <rPh sb="0" eb="2">
      <t>チキュウ</t>
    </rPh>
    <rPh sb="2" eb="5">
      <t>オンダンカ</t>
    </rPh>
    <rPh sb="7" eb="9">
      <t>ハイリョ</t>
    </rPh>
    <phoneticPr fontId="20"/>
  </si>
  <si>
    <t>自然ｴﾈﾙｷﾞｰ</t>
    <rPh sb="0" eb="2">
      <t>シゼン</t>
    </rPh>
    <phoneticPr fontId="20"/>
  </si>
  <si>
    <t xml:space="preserve">     小・中学校　(北海道)</t>
    <rPh sb="12" eb="15">
      <t>ホッカイドウ</t>
    </rPh>
    <phoneticPr fontId="20"/>
  </si>
  <si>
    <t xml:space="preserve"> 非住宅　小計</t>
    <rPh sb="1" eb="2">
      <t>ヒ</t>
    </rPh>
    <rPh sb="2" eb="4">
      <t>ジュウタク</t>
    </rPh>
    <rPh sb="5" eb="7">
      <t>ショウケイ</t>
    </rPh>
    <phoneticPr fontId="20"/>
  </si>
  <si>
    <t>㎡                  専用部</t>
    <rPh sb="19" eb="21">
      <t>センヨウ</t>
    </rPh>
    <rPh sb="21" eb="22">
      <t>ブ</t>
    </rPh>
    <phoneticPr fontId="20"/>
  </si>
  <si>
    <t xml:space="preserve">                   共用部</t>
    <rPh sb="19" eb="21">
      <t>キョウヨウ</t>
    </rPh>
    <rPh sb="21" eb="22">
      <t>ブ</t>
    </rPh>
    <phoneticPr fontId="20"/>
  </si>
  <si>
    <t xml:space="preserve"> 事務所</t>
    <phoneticPr fontId="20"/>
  </si>
  <si>
    <t>㎡                  事務所</t>
    <phoneticPr fontId="20"/>
  </si>
  <si>
    <t>官公庁</t>
    <phoneticPr fontId="20"/>
  </si>
  <si>
    <t>㎡</t>
    <phoneticPr fontId="20"/>
  </si>
  <si>
    <t>㎡       幼稚園・保育園</t>
    <phoneticPr fontId="20"/>
  </si>
  <si>
    <t xml:space="preserve">                     高校</t>
    <phoneticPr fontId="20"/>
  </si>
  <si>
    <t xml:space="preserve">         大学・専門学校</t>
    <phoneticPr fontId="20"/>
  </si>
  <si>
    <t>㎡   デパート・スーパー</t>
    <phoneticPr fontId="20"/>
  </si>
  <si>
    <t>その他物販</t>
    <phoneticPr fontId="20"/>
  </si>
  <si>
    <t>㎡          劇場・ホール</t>
    <phoneticPr fontId="20"/>
  </si>
  <si>
    <t>展示施設</t>
    <phoneticPr fontId="20"/>
  </si>
  <si>
    <t>スポーツ施設</t>
    <phoneticPr fontId="20"/>
  </si>
  <si>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0"/>
  </si>
  <si>
    <t>S造、</t>
    <rPh sb="1" eb="2">
      <t>ゾウ</t>
    </rPh>
    <phoneticPr fontId="20"/>
  </si>
  <si>
    <t>レベル3</t>
  </si>
  <si>
    <t>レベル4</t>
  </si>
  <si>
    <t>レベル5</t>
  </si>
  <si>
    <t>ホテル</t>
    <phoneticPr fontId="20"/>
  </si>
  <si>
    <t>レベル3</t>
    <phoneticPr fontId="20"/>
  </si>
  <si>
    <t>レベル4</t>
    <phoneticPr fontId="20"/>
  </si>
  <si>
    <t>レベル5</t>
    <phoneticPr fontId="20"/>
  </si>
  <si>
    <t>ホテル</t>
    <phoneticPr fontId="20"/>
  </si>
  <si>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8"/>
  </si>
  <si>
    <t>LPG</t>
    <phoneticPr fontId="20"/>
  </si>
  <si>
    <t>kg-CO2/MJ</t>
    <phoneticPr fontId="20"/>
  </si>
  <si>
    <t>平成２４年度の電気事業者別実排出係数等の公表値</t>
    <phoneticPr fontId="20"/>
  </si>
  <si>
    <t>実排出係数及び代替値</t>
    <phoneticPr fontId="20"/>
  </si>
  <si>
    <t>調整後排出係数</t>
    <phoneticPr fontId="20"/>
  </si>
  <si>
    <t>出光グリーンパワー株式会社</t>
  </si>
  <si>
    <t>伊藤忠エネクス株式会社</t>
  </si>
  <si>
    <t>荏原環境プラント株式会社</t>
  </si>
  <si>
    <t>オリックス株式会社</t>
  </si>
  <si>
    <t>株式会社イーセル</t>
  </si>
  <si>
    <t>株式会社Ｇ－Ｐｏｗｅｒ</t>
  </si>
  <si>
    <t>株式会社日本セレモニー</t>
  </si>
  <si>
    <t>ＪＸ日鉱日石エネルギー株式会社</t>
  </si>
  <si>
    <t>ＪＥＮホールディングス株式会社</t>
  </si>
  <si>
    <t>志賀高原リゾート開発株式会社</t>
  </si>
  <si>
    <t>新日鉄住金エンジニアリング株式会社</t>
  </si>
  <si>
    <t>泉北天然ガス発電株式会社</t>
  </si>
  <si>
    <t>テス・エンジニアリング株式会社</t>
  </si>
  <si>
    <t>東京エコサービス株式会社</t>
  </si>
  <si>
    <t>日本テクノ株式会社</t>
  </si>
  <si>
    <t>日本ロジテック協同組合</t>
  </si>
  <si>
    <t>プレミアムグリーンパワー株式会社</t>
  </si>
  <si>
    <t>ミツウロコグリーンエネルギー株式会社</t>
  </si>
  <si>
    <t>リエスパワー株式会社</t>
  </si>
  <si>
    <t>建物用途</t>
  </si>
  <si>
    <t>評価建物</t>
    <rPh sb="0" eb="2">
      <t>ヒョウカ</t>
    </rPh>
    <rPh sb="2" eb="4">
      <t>タテモノ</t>
    </rPh>
    <phoneticPr fontId="20"/>
  </si>
  <si>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4"/>
  </si>
  <si>
    <t>エネルギー種別一次エネルギー構成比率</t>
    <rPh sb="5" eb="7">
      <t>シュベツ</t>
    </rPh>
    <rPh sb="7" eb="9">
      <t>イチジ</t>
    </rPh>
    <rPh sb="14" eb="16">
      <t>コウセイ</t>
    </rPh>
    <rPh sb="16" eb="18">
      <t>ヒリツ</t>
    </rPh>
    <phoneticPr fontId="4"/>
  </si>
  <si>
    <t>CO2換算係数</t>
    <rPh sb="3" eb="5">
      <t>カンサン</t>
    </rPh>
    <rPh sb="5" eb="7">
      <t>ケイスウ</t>
    </rPh>
    <phoneticPr fontId="20"/>
  </si>
  <si>
    <t>300㎡未満</t>
    <rPh sb="4" eb="6">
      <t>ミマン</t>
    </rPh>
    <phoneticPr fontId="4"/>
  </si>
  <si>
    <t>300㎡以上
2,000㎡未満</t>
    <rPh sb="4" eb="6">
      <t>イジョウ</t>
    </rPh>
    <rPh sb="13" eb="15">
      <t>ミマン</t>
    </rPh>
    <phoneticPr fontId="4"/>
  </si>
  <si>
    <t>2,000㎡以上
1万㎡未満</t>
    <rPh sb="6" eb="8">
      <t>イジョウ</t>
    </rPh>
    <rPh sb="10" eb="11">
      <t>マン</t>
    </rPh>
    <rPh sb="12" eb="14">
      <t>ミマン</t>
    </rPh>
    <phoneticPr fontId="4"/>
  </si>
  <si>
    <t>1万㎡以上
3万㎡未満</t>
    <rPh sb="1" eb="2">
      <t>マン</t>
    </rPh>
    <rPh sb="3" eb="5">
      <t>イジョウ</t>
    </rPh>
    <rPh sb="7" eb="8">
      <t>マン</t>
    </rPh>
    <rPh sb="9" eb="11">
      <t>ミマン</t>
    </rPh>
    <phoneticPr fontId="4"/>
  </si>
  <si>
    <t>3万㎡以上</t>
    <rPh sb="1" eb="2">
      <t>マン</t>
    </rPh>
    <rPh sb="3" eb="5">
      <t>イジョウ</t>
    </rPh>
    <phoneticPr fontId="4"/>
  </si>
  <si>
    <t>電気</t>
    <rPh sb="0" eb="2">
      <t>デンキ</t>
    </rPh>
    <phoneticPr fontId="4"/>
  </si>
  <si>
    <t>その他※</t>
    <rPh sb="2" eb="3">
      <t>ホカ</t>
    </rPh>
    <phoneticPr fontId="4"/>
  </si>
  <si>
    <t>LPG</t>
  </si>
  <si>
    <t>官公庁</t>
  </si>
  <si>
    <t>学校等</t>
    <rPh sb="0" eb="2">
      <t>ガッコウ</t>
    </rPh>
    <rPh sb="2" eb="3">
      <t>トウ</t>
    </rPh>
    <phoneticPr fontId="20"/>
  </si>
  <si>
    <t>幼稚園・保育園</t>
  </si>
  <si>
    <t>小・中学校</t>
  </si>
  <si>
    <t>高校</t>
  </si>
  <si>
    <t>大学・専門学校</t>
  </si>
  <si>
    <t>物販店舗等</t>
    <rPh sb="0" eb="2">
      <t>ブッパン</t>
    </rPh>
    <rPh sb="2" eb="4">
      <t>テンポ</t>
    </rPh>
    <rPh sb="4" eb="5">
      <t>トウ</t>
    </rPh>
    <phoneticPr fontId="20"/>
  </si>
  <si>
    <t>その他物販</t>
  </si>
  <si>
    <t>集会所等</t>
    <rPh sb="0" eb="3">
      <t>シュウカイジョ</t>
    </rPh>
    <rPh sb="3" eb="4">
      <t>トウ</t>
    </rPh>
    <phoneticPr fontId="20"/>
  </si>
  <si>
    <t>劇場・ホール</t>
  </si>
  <si>
    <t>展示施設</t>
  </si>
  <si>
    <t>スポーツ施設</t>
  </si>
  <si>
    <t>ホテル・旅館</t>
  </si>
  <si>
    <t>専有部</t>
    <rPh sb="0" eb="2">
      <t>センユウ</t>
    </rPh>
    <rPh sb="2" eb="3">
      <t>ブ</t>
    </rPh>
    <phoneticPr fontId="20"/>
  </si>
  <si>
    <t>共用部</t>
    <rPh sb="0" eb="3">
      <t>キョウヨウブ</t>
    </rPh>
    <phoneticPr fontId="20"/>
  </si>
  <si>
    <t>出典：</t>
    <rPh sb="0" eb="2">
      <t>シュッテン</t>
    </rPh>
    <phoneticPr fontId="20"/>
  </si>
  <si>
    <t>「DECC非住宅建築物の環境関連データーベース（2013年4月公開データ、一般財団法人日本サステナブル建築協会）」を集計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0"/>
  </si>
  <si>
    <t>※集合住宅は灯油</t>
    <rPh sb="1" eb="3">
      <t>シュウゴウ</t>
    </rPh>
    <rPh sb="3" eb="5">
      <t>ジュウタク</t>
    </rPh>
    <rPh sb="6" eb="8">
      <t>トウユ</t>
    </rPh>
    <phoneticPr fontId="20"/>
  </si>
  <si>
    <t>「家庭部門エネルギー種別最終エネルギー消費（平成23年度におけるエネルギー需給実績、資源エネルギー庁）」</t>
    <phoneticPr fontId="20"/>
  </si>
  <si>
    <t>工場については、統計値がないため、省エネ法告示第7号による事務所の照明エネルギー消費量としている。</t>
    <rPh sb="0" eb="2">
      <t>コウジョウ</t>
    </rPh>
    <rPh sb="8" eb="10">
      <t>トウケイ</t>
    </rPh>
    <rPh sb="10" eb="11">
      <t>チ</t>
    </rPh>
    <rPh sb="17" eb="18">
      <t>ショウ</t>
    </rPh>
    <rPh sb="20" eb="21">
      <t>ホウ</t>
    </rPh>
    <rPh sb="21" eb="23">
      <t>コクジ</t>
    </rPh>
    <rPh sb="23" eb="24">
      <t>ダイ</t>
    </rPh>
    <rPh sb="25" eb="26">
      <t>ゴウ</t>
    </rPh>
    <rPh sb="29" eb="31">
      <t>ジム</t>
    </rPh>
    <rPh sb="31" eb="32">
      <t>ショ</t>
    </rPh>
    <rPh sb="33" eb="35">
      <t>ショウメイ</t>
    </rPh>
    <rPh sb="40" eb="43">
      <t>ショウヒリョウ</t>
    </rPh>
    <phoneticPr fontId="20"/>
  </si>
  <si>
    <t>LR1/3c 仕様基準評価の場合のCO2排出量算出に用いる一次エネルギー消費量</t>
    <rPh sb="7" eb="9">
      <t>シヨウ</t>
    </rPh>
    <rPh sb="9" eb="11">
      <t>キジュン</t>
    </rPh>
    <rPh sb="11" eb="13">
      <t>ヒョウカ</t>
    </rPh>
    <rPh sb="14" eb="16">
      <t>バアイ</t>
    </rPh>
    <phoneticPr fontId="20"/>
  </si>
  <si>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0"/>
  </si>
  <si>
    <t>設備の方式</t>
  </si>
  <si>
    <t>LR1/3cの</t>
    <phoneticPr fontId="20"/>
  </si>
  <si>
    <t>地域区分</t>
  </si>
  <si>
    <t>「－」の場合</t>
    <phoneticPr fontId="20"/>
  </si>
  <si>
    <t>暖房</t>
  </si>
  <si>
    <t>冷房</t>
  </si>
  <si>
    <t>評価ﾚﾍﾞﾙ</t>
    <phoneticPr fontId="20"/>
  </si>
  <si>
    <t>Ａａ0</t>
    <phoneticPr fontId="20"/>
  </si>
  <si>
    <t>Ａ</t>
  </si>
  <si>
    <t>ａ</t>
  </si>
  <si>
    <t>レベル１</t>
  </si>
  <si>
    <t>Ａａ1</t>
    <phoneticPr fontId="20"/>
  </si>
  <si>
    <t>レベル４</t>
  </si>
  <si>
    <t>Ａａ4</t>
    <phoneticPr fontId="20"/>
  </si>
  <si>
    <t>Ａｂ0</t>
    <phoneticPr fontId="20"/>
  </si>
  <si>
    <t>ｂ</t>
  </si>
  <si>
    <t>Ａｂ1</t>
    <phoneticPr fontId="20"/>
  </si>
  <si>
    <t>Ａｂ4</t>
    <phoneticPr fontId="20"/>
  </si>
  <si>
    <t>Ｂａ0</t>
    <phoneticPr fontId="20"/>
  </si>
  <si>
    <t>Ｂ</t>
  </si>
  <si>
    <t>Ｂａ1</t>
    <phoneticPr fontId="20"/>
  </si>
  <si>
    <t>Ｂａ4</t>
  </si>
  <si>
    <t>Ｂｂ0</t>
    <phoneticPr fontId="20"/>
  </si>
  <si>
    <t>Ｂｂ1</t>
    <phoneticPr fontId="20"/>
  </si>
  <si>
    <t>Ｂｂ4</t>
    <phoneticPr fontId="20"/>
  </si>
  <si>
    <t>Ｃａ0</t>
    <phoneticPr fontId="20"/>
  </si>
  <si>
    <t>Ｃ</t>
  </si>
  <si>
    <t>Ｃａ1</t>
    <phoneticPr fontId="20"/>
  </si>
  <si>
    <t>Ｃａ4</t>
    <phoneticPr fontId="20"/>
  </si>
  <si>
    <t>Ｃｂ0</t>
    <phoneticPr fontId="20"/>
  </si>
  <si>
    <t>Ｃｂ1</t>
    <phoneticPr fontId="20"/>
  </si>
  <si>
    <t>Ｃｂ4</t>
    <phoneticPr fontId="20"/>
  </si>
  <si>
    <t>平成２４年度の電気事業者別実排出係数等の公表値</t>
    <rPh sb="22" eb="23">
      <t>チ</t>
    </rPh>
    <phoneticPr fontId="20"/>
  </si>
  <si>
    <t>◇算定省令に基づく電気事業者ごとの実排出係数及び代替値</t>
    <phoneticPr fontId="20"/>
  </si>
  <si>
    <t>ｔ-CO2/kWh</t>
    <phoneticPr fontId="20"/>
  </si>
  <si>
    <t xml:space="preserve"> [1]実排出係数 </t>
    <phoneticPr fontId="20"/>
  </si>
  <si>
    <t>排出係数</t>
    <phoneticPr fontId="20"/>
  </si>
  <si>
    <t>(t-CO2/kWh)</t>
    <phoneticPr fontId="20"/>
  </si>
  <si>
    <t>　　③</t>
    <phoneticPr fontId="20"/>
  </si>
  <si>
    <t>代替値</t>
    <phoneticPr fontId="20"/>
  </si>
  <si>
    <t>　（３）上記以外の場合</t>
    <phoneticPr fontId="20"/>
  </si>
  <si>
    <t>(t-CO2/kWh)</t>
    <phoneticPr fontId="20"/>
  </si>
  <si>
    <t>１地域</t>
    <rPh sb="1" eb="3">
      <t>チイキ</t>
    </rPh>
    <phoneticPr fontId="20"/>
  </si>
  <si>
    <t>２地域</t>
    <rPh sb="1" eb="3">
      <t>チイキ</t>
    </rPh>
    <phoneticPr fontId="20"/>
  </si>
  <si>
    <t>３地域</t>
    <rPh sb="1" eb="3">
      <t>チイキ</t>
    </rPh>
    <phoneticPr fontId="20"/>
  </si>
  <si>
    <t>４地域</t>
    <rPh sb="1" eb="3">
      <t>チイキ</t>
    </rPh>
    <phoneticPr fontId="20"/>
  </si>
  <si>
    <t>５地域</t>
    <rPh sb="1" eb="3">
      <t>チイキ</t>
    </rPh>
    <phoneticPr fontId="20"/>
  </si>
  <si>
    <t>６地域</t>
    <rPh sb="1" eb="3">
      <t>チイキ</t>
    </rPh>
    <phoneticPr fontId="20"/>
  </si>
  <si>
    <t>７地域</t>
    <rPh sb="1" eb="3">
      <t>チイキ</t>
    </rPh>
    <phoneticPr fontId="20"/>
  </si>
  <si>
    <t>８地域</t>
    <rPh sb="1" eb="3">
      <t>チイキ</t>
    </rPh>
    <phoneticPr fontId="20"/>
  </si>
  <si>
    <t>小中（北海道）</t>
    <rPh sb="0" eb="1">
      <t>ショウ</t>
    </rPh>
    <rPh sb="1" eb="2">
      <t>チュウ</t>
    </rPh>
    <rPh sb="3" eb="6">
      <t>ホッカイドウ</t>
    </rPh>
    <phoneticPr fontId="20"/>
  </si>
  <si>
    <t>小中（その他）</t>
    <rPh sb="0" eb="2">
      <t>ショウチュウ</t>
    </rPh>
    <rPh sb="5" eb="6">
      <t>ホカ</t>
    </rPh>
    <phoneticPr fontId="20"/>
  </si>
  <si>
    <t>■LR1　「省エネルギー計画書」等からの必要事項の転記</t>
    <rPh sb="16" eb="17">
      <t>トウ</t>
    </rPh>
    <phoneticPr fontId="20"/>
  </si>
  <si>
    <t>BPI=</t>
    <phoneticPr fontId="20"/>
  </si>
  <si>
    <t>非住宅用途</t>
    <rPh sb="0" eb="1">
      <t>ヒ</t>
    </rPh>
    <rPh sb="1" eb="3">
      <t>ジュウタク</t>
    </rPh>
    <rPh sb="3" eb="5">
      <t>ヨウト</t>
    </rPh>
    <phoneticPr fontId="20"/>
  </si>
  <si>
    <t>住宅用途</t>
    <rPh sb="0" eb="2">
      <t>ジュウタク</t>
    </rPh>
    <rPh sb="2" eb="4">
      <t>ヨウト</t>
    </rPh>
    <phoneticPr fontId="20"/>
  </si>
  <si>
    <t>BPIm=</t>
    <phoneticPr fontId="20"/>
  </si>
  <si>
    <t>1</t>
    <phoneticPr fontId="20"/>
  </si>
  <si>
    <t>建物の外皮性能</t>
    <rPh sb="0" eb="2">
      <t>タテモノ</t>
    </rPh>
    <rPh sb="3" eb="5">
      <t>ガイヒ</t>
    </rPh>
    <rPh sb="5" eb="7">
      <t>セイノウ</t>
    </rPh>
    <phoneticPr fontId="20"/>
  </si>
  <si>
    <t>BPI</t>
    <phoneticPr fontId="20"/>
  </si>
  <si>
    <t>レベル</t>
    <phoneticPr fontId="20"/>
  </si>
  <si>
    <t>1～7地域</t>
    <rPh sb="3" eb="5">
      <t>チイキ</t>
    </rPh>
    <phoneticPr fontId="20"/>
  </si>
  <si>
    <t>品確法</t>
    <rPh sb="0" eb="3">
      <t>ヒンカクホウ</t>
    </rPh>
    <phoneticPr fontId="20"/>
  </si>
  <si>
    <t>BPIによる評価の場合</t>
    <rPh sb="6" eb="8">
      <t>ヒョウカ</t>
    </rPh>
    <rPh sb="9" eb="11">
      <t>バアイ</t>
    </rPh>
    <phoneticPr fontId="20"/>
  </si>
  <si>
    <t>BPImによる評価の場合</t>
    <rPh sb="7" eb="9">
      <t>ヒョウカ</t>
    </rPh>
    <rPh sb="10" eb="12">
      <t>バアイ</t>
    </rPh>
    <phoneticPr fontId="20"/>
  </si>
  <si>
    <t>地域</t>
    <rPh sb="0" eb="2">
      <t>チイキ</t>
    </rPh>
    <phoneticPr fontId="20"/>
  </si>
  <si>
    <t>BPIｍ</t>
    <phoneticPr fontId="20"/>
  </si>
  <si>
    <t>床面積</t>
    <rPh sb="0" eb="3">
      <t>ユカメンセキ</t>
    </rPh>
    <phoneticPr fontId="20"/>
  </si>
  <si>
    <t>㎡（工場除く）</t>
    <rPh sb="2" eb="4">
      <t>コウジョウ</t>
    </rPh>
    <rPh sb="4" eb="5">
      <t>ノゾ</t>
    </rPh>
    <phoneticPr fontId="20"/>
  </si>
  <si>
    <t>㎡</t>
    <phoneticPr fontId="20"/>
  </si>
  <si>
    <t>比率</t>
    <rPh sb="0" eb="2">
      <t>ヒリツ</t>
    </rPh>
    <phoneticPr fontId="20"/>
  </si>
  <si>
    <t>LR1/1. 建物外皮の熱負荷抑制</t>
    <rPh sb="7" eb="9">
      <t>タテモノ</t>
    </rPh>
    <rPh sb="9" eb="11">
      <t>ガイヒ</t>
    </rPh>
    <rPh sb="12" eb="13">
      <t>ネツ</t>
    </rPh>
    <rPh sb="13" eb="15">
      <t>フカ</t>
    </rPh>
    <rPh sb="15" eb="17">
      <t>ヨクセイ</t>
    </rPh>
    <phoneticPr fontId="20"/>
  </si>
  <si>
    <t>旧PAL低減率への換算</t>
    <rPh sb="0" eb="1">
      <t>キュウ</t>
    </rPh>
    <rPh sb="4" eb="6">
      <t>テイゲン</t>
    </rPh>
    <rPh sb="6" eb="7">
      <t>リツ</t>
    </rPh>
    <rPh sb="9" eb="11">
      <t>カンサン</t>
    </rPh>
    <phoneticPr fontId="20"/>
  </si>
  <si>
    <t>％</t>
    <phoneticPr fontId="20"/>
  </si>
  <si>
    <t>PAL*低減率</t>
    <rPh sb="4" eb="6">
      <t>テイゲン</t>
    </rPh>
    <rPh sb="6" eb="7">
      <t>リツ</t>
    </rPh>
    <phoneticPr fontId="20"/>
  </si>
  <si>
    <t>PAL低減率</t>
    <rPh sb="3" eb="5">
      <t>テイゲン</t>
    </rPh>
    <rPh sb="5" eb="6">
      <t>リツ</t>
    </rPh>
    <phoneticPr fontId="20"/>
  </si>
  <si>
    <t>[PAL＊低減率]＜2.5</t>
    <rPh sb="5" eb="7">
      <t>テイゲン</t>
    </rPh>
    <rPh sb="7" eb="8">
      <t>リツ</t>
    </rPh>
    <phoneticPr fontId="20"/>
  </si>
  <si>
    <t>2.5≦[PAL＊低減率]＜7.5</t>
    <rPh sb="9" eb="11">
      <t>テイゲン</t>
    </rPh>
    <rPh sb="11" eb="12">
      <t>リツ</t>
    </rPh>
    <phoneticPr fontId="20"/>
  </si>
  <si>
    <t>3</t>
    <phoneticPr fontId="20"/>
  </si>
  <si>
    <t>建物の一次エネルギー消費量</t>
    <rPh sb="0" eb="2">
      <t>タテモノ</t>
    </rPh>
    <rPh sb="3" eb="5">
      <t>イチジ</t>
    </rPh>
    <rPh sb="10" eb="13">
      <t>ショウヒリョウ</t>
    </rPh>
    <phoneticPr fontId="20"/>
  </si>
  <si>
    <t>7.5≦[PAL＊低減率]＜10</t>
    <rPh sb="9" eb="11">
      <t>テイゲン</t>
    </rPh>
    <rPh sb="11" eb="12">
      <t>リツ</t>
    </rPh>
    <phoneticPr fontId="20"/>
  </si>
  <si>
    <t>専有部（全戸合計）</t>
    <rPh sb="0" eb="2">
      <t>センユウ</t>
    </rPh>
    <rPh sb="2" eb="3">
      <t>ブ</t>
    </rPh>
    <rPh sb="4" eb="6">
      <t>ゼンコ</t>
    </rPh>
    <rPh sb="6" eb="8">
      <t>ゴウケイ</t>
    </rPh>
    <phoneticPr fontId="20"/>
  </si>
  <si>
    <t>10≦[PAL＊低減率]</t>
    <rPh sb="8" eb="10">
      <t>テイゲン</t>
    </rPh>
    <rPh sb="10" eb="11">
      <t>リツ</t>
    </rPh>
    <phoneticPr fontId="20"/>
  </si>
  <si>
    <t>BEIｍ=</t>
    <phoneticPr fontId="20"/>
  </si>
  <si>
    <t>一次エネルギー消費率=</t>
    <rPh sb="0" eb="2">
      <t>イチジ</t>
    </rPh>
    <rPh sb="7" eb="9">
      <t>ショウヒ</t>
    </rPh>
    <rPh sb="9" eb="10">
      <t>リツ</t>
    </rPh>
    <phoneticPr fontId="20"/>
  </si>
  <si>
    <t>※専有部は家電・調理分除く</t>
    <rPh sb="1" eb="3">
      <t>センユウ</t>
    </rPh>
    <rPh sb="3" eb="4">
      <t>ブ</t>
    </rPh>
    <rPh sb="5" eb="7">
      <t>カデン</t>
    </rPh>
    <rPh sb="8" eb="10">
      <t>チョウリ</t>
    </rPh>
    <rPh sb="10" eb="11">
      <t>ブン</t>
    </rPh>
    <rPh sb="11" eb="12">
      <t>ノゾ</t>
    </rPh>
    <phoneticPr fontId="20"/>
  </si>
  <si>
    <t>BEIｍ（ｵﾝｻｲﾄ分含まない）=</t>
    <rPh sb="10" eb="11">
      <t>ブン</t>
    </rPh>
    <rPh sb="11" eb="12">
      <t>フク</t>
    </rPh>
    <phoneticPr fontId="20"/>
  </si>
  <si>
    <t>LR1/3.設備システムの高効率化</t>
    <rPh sb="6" eb="8">
      <t>セツビ</t>
    </rPh>
    <rPh sb="13" eb="17">
      <t>コウコウリツカ</t>
    </rPh>
    <phoneticPr fontId="20"/>
  </si>
  <si>
    <t>LR1/3.2　実績値を用いた総合評価</t>
    <phoneticPr fontId="20"/>
  </si>
  <si>
    <t>(1)補正</t>
    <rPh sb="3" eb="5">
      <t>ホセイ</t>
    </rPh>
    <phoneticPr fontId="20"/>
  </si>
  <si>
    <t>(2)実測値</t>
    <rPh sb="3" eb="6">
      <t>ジッソクチ</t>
    </rPh>
    <phoneticPr fontId="20"/>
  </si>
  <si>
    <t>ERRへの換算</t>
    <rPh sb="5" eb="7">
      <t>カンサン</t>
    </rPh>
    <phoneticPr fontId="20"/>
  </si>
  <si>
    <t>■基準一次エネルギー消費量</t>
    <rPh sb="1" eb="3">
      <t>ｷｼﾞｭﾝ</t>
    </rPh>
    <rPh sb="3" eb="5">
      <t>ｲﾁｼﾞ</t>
    </rPh>
    <rPh sb="10" eb="13">
      <t>ｼｮｳﾋﾘｮｳ</t>
    </rPh>
    <phoneticPr fontId="30" type="noConversion"/>
  </si>
  <si>
    <t>GJ/年</t>
    <rPh sb="3" eb="4">
      <t>ネン</t>
    </rPh>
    <phoneticPr fontId="20"/>
  </si>
  <si>
    <t>うち、その他エネルギー消費量（家電・調理分）</t>
    <rPh sb="5" eb="6">
      <t>ホカ</t>
    </rPh>
    <rPh sb="11" eb="14">
      <t>ショウヒリョウ</t>
    </rPh>
    <rPh sb="15" eb="17">
      <t>カデン</t>
    </rPh>
    <rPh sb="18" eb="20">
      <t>チョウリ</t>
    </rPh>
    <rPh sb="20" eb="21">
      <t>ブン</t>
    </rPh>
    <phoneticPr fontId="20"/>
  </si>
  <si>
    <t>←簡易計算から転記してよい</t>
    <rPh sb="1" eb="3">
      <t>カンイ</t>
    </rPh>
    <rPh sb="3" eb="5">
      <t>ケイサン</t>
    </rPh>
    <rPh sb="7" eb="9">
      <t>テンキ</t>
    </rPh>
    <phoneticPr fontId="20"/>
  </si>
  <si>
    <t>■設計一次エネルギー消費量(1)</t>
    <rPh sb="1" eb="3">
      <t>ｾｯｹｲ</t>
    </rPh>
    <rPh sb="3" eb="5">
      <t>ｲﾁｼﾞ</t>
    </rPh>
    <rPh sb="10" eb="13">
      <t>ｼｮｳﾋﾘｮｳ</t>
    </rPh>
    <phoneticPr fontId="30" type="noConversion"/>
  </si>
  <si>
    <t>■設計一次エネルギー消費量(2)※</t>
    <rPh sb="1" eb="3">
      <t>ｾｯｹｲ</t>
    </rPh>
    <rPh sb="3" eb="5">
      <t>ｲﾁｼﾞ</t>
    </rPh>
    <rPh sb="10" eb="13">
      <t>ｼｮｳﾋﾘｮｳ</t>
    </rPh>
    <phoneticPr fontId="30" type="noConversion"/>
  </si>
  <si>
    <t>■太陽光発電等エネルギー総量（③ｵﾝｻｲﾄの取組）</t>
    <rPh sb="1" eb="4">
      <t>ﾀｲﾖｳｺｳ</t>
    </rPh>
    <rPh sb="4" eb="6">
      <t>ﾊﾂﾃﾞﾝ</t>
    </rPh>
    <rPh sb="6" eb="7">
      <t>ﾄｳ</t>
    </rPh>
    <rPh sb="12" eb="14">
      <t>ｿｳﾘｮｳ</t>
    </rPh>
    <rPh sb="22" eb="24">
      <t>ﾄﾘｸﾐ</t>
    </rPh>
    <phoneticPr fontId="30" type="noConversion"/>
  </si>
  <si>
    <t>BEI(1)</t>
    <phoneticPr fontId="20"/>
  </si>
  <si>
    <t>BEI(2)</t>
    <phoneticPr fontId="20"/>
  </si>
  <si>
    <t>ERRレベル</t>
    <phoneticPr fontId="20"/>
  </si>
  <si>
    <t>※設計一次エネルギー消費量(2)；省エネルギー計算でBEIを求める際の設計一次エネルギー消費量(1)に、</t>
    <rPh sb="1" eb="3">
      <t>セッケイ</t>
    </rPh>
    <rPh sb="3" eb="5">
      <t>イチジ</t>
    </rPh>
    <rPh sb="10" eb="13">
      <t>ショウヒリョウ</t>
    </rPh>
    <rPh sb="17" eb="18">
      <t>ショウ</t>
    </rPh>
    <rPh sb="23" eb="25">
      <t>ケイサン</t>
    </rPh>
    <rPh sb="30" eb="31">
      <t>モト</t>
    </rPh>
    <rPh sb="33" eb="34">
      <t>サイ</t>
    </rPh>
    <rPh sb="35" eb="37">
      <t>セッケイ</t>
    </rPh>
    <rPh sb="37" eb="39">
      <t>イチジ</t>
    </rPh>
    <rPh sb="44" eb="47">
      <t>ショウヒリョウ</t>
    </rPh>
    <phoneticPr fontId="20"/>
  </si>
  <si>
    <t>　　③オンサイトの取組で評価するエネルギー消費削減量（太陽光発電分等）を足し戻した一次エネルギー量</t>
    <rPh sb="36" eb="37">
      <t>タ</t>
    </rPh>
    <rPh sb="38" eb="39">
      <t>モド</t>
    </rPh>
    <rPh sb="41" eb="43">
      <t>イチジ</t>
    </rPh>
    <rPh sb="48" eb="49">
      <t>リョウ</t>
    </rPh>
    <phoneticPr fontId="20"/>
  </si>
  <si>
    <t>■</t>
    <phoneticPr fontId="20"/>
  </si>
  <si>
    <t>住戸部その他エネルギー（家電・調理分）の簡易計算</t>
    <rPh sb="0" eb="2">
      <t>ジュウコ</t>
    </rPh>
    <rPh sb="2" eb="3">
      <t>ブ</t>
    </rPh>
    <rPh sb="5" eb="6">
      <t>ホカ</t>
    </rPh>
    <rPh sb="12" eb="14">
      <t>カデン</t>
    </rPh>
    <rPh sb="15" eb="17">
      <t>チョウリ</t>
    </rPh>
    <rPh sb="17" eb="18">
      <t>ブン</t>
    </rPh>
    <rPh sb="20" eb="22">
      <t>カンイ</t>
    </rPh>
    <rPh sb="22" eb="24">
      <t>ケイサン</t>
    </rPh>
    <phoneticPr fontId="20"/>
  </si>
  <si>
    <t>面積比率</t>
    <rPh sb="0" eb="2">
      <t>メンセキ</t>
    </rPh>
    <rPh sb="2" eb="4">
      <t>ヒリツ</t>
    </rPh>
    <phoneticPr fontId="20"/>
  </si>
  <si>
    <r>
      <t>延面積</t>
    </r>
    <r>
      <rPr>
        <sz val="10"/>
        <rFont val="ＭＳ Ｐゴシック"/>
        <family val="3"/>
        <charset val="128"/>
      </rPr>
      <t>(㎡)</t>
    </r>
    <rPh sb="0" eb="1">
      <t>ノ</t>
    </rPh>
    <rPh sb="1" eb="3">
      <t>メンセキ</t>
    </rPh>
    <phoneticPr fontId="20"/>
  </si>
  <si>
    <t>αM</t>
    <phoneticPr fontId="20"/>
  </si>
  <si>
    <t>住戸数</t>
    <rPh sb="0" eb="1">
      <t>ジュウ</t>
    </rPh>
    <rPh sb="1" eb="3">
      <t>コスウ</t>
    </rPh>
    <phoneticPr fontId="20"/>
  </si>
  <si>
    <t>βM</t>
    <phoneticPr fontId="20"/>
  </si>
  <si>
    <t>EM</t>
    <phoneticPr fontId="20"/>
  </si>
  <si>
    <t>計</t>
    <rPh sb="0" eb="1">
      <t>ケイ</t>
    </rPh>
    <phoneticPr fontId="20"/>
  </si>
  <si>
    <t>い（30㎡未満）</t>
    <rPh sb="5" eb="7">
      <t>ミマン</t>
    </rPh>
    <phoneticPr fontId="20"/>
  </si>
  <si>
    <t>ろ（30㎡以上、60㎡未満）</t>
    <rPh sb="5" eb="7">
      <t>イジョウ</t>
    </rPh>
    <rPh sb="11" eb="13">
      <t>ミマン</t>
    </rPh>
    <phoneticPr fontId="20"/>
  </si>
  <si>
    <t>は（60㎡以上、90㎡未満）</t>
    <rPh sb="5" eb="7">
      <t>イジョウ</t>
    </rPh>
    <rPh sb="11" eb="13">
      <t>ミマン</t>
    </rPh>
    <phoneticPr fontId="20"/>
  </si>
  <si>
    <t>に（90㎡以上、120㎡未満）</t>
    <rPh sb="5" eb="7">
      <t>イジョウ</t>
    </rPh>
    <rPh sb="12" eb="14">
      <t>ミマン</t>
    </rPh>
    <phoneticPr fontId="20"/>
  </si>
  <si>
    <t>ほ（120㎡以上）</t>
    <rPh sb="6" eb="8">
      <t>イジョウ</t>
    </rPh>
    <phoneticPr fontId="20"/>
  </si>
  <si>
    <t>算定プログラムによる評価</t>
    <rPh sb="0" eb="2">
      <t>サンテイ</t>
    </rPh>
    <rPh sb="10" eb="12">
      <t>ヒョウカ</t>
    </rPh>
    <phoneticPr fontId="20"/>
  </si>
  <si>
    <t>「住宅に係るエネルギーの合理化に関する設計、施工及び維持保全の指針」に定められる「一次エネルギー消費量に関する基準」を満たし、且つ日本住宅性能表示基準「5-1断熱等性能等級」における等級４を満たす場合はレベル４と評価することができる。上記を満たさない場合はレベル１を選択する。</t>
    <rPh sb="133" eb="135">
      <t>センタク</t>
    </rPh>
    <phoneticPr fontId="20"/>
  </si>
  <si>
    <t>採点レベル</t>
    <rPh sb="0" eb="2">
      <t>サイテン</t>
    </rPh>
    <phoneticPr fontId="20"/>
  </si>
  <si>
    <t>暖房方式</t>
    <rPh sb="0" eb="2">
      <t>ダンボウ</t>
    </rPh>
    <rPh sb="2" eb="4">
      <t>ホウシキ</t>
    </rPh>
    <phoneticPr fontId="20"/>
  </si>
  <si>
    <t>－</t>
  </si>
  <si>
    <t>冷房方式</t>
    <rPh sb="0" eb="2">
      <t>レイボウ</t>
    </rPh>
    <rPh sb="2" eb="4">
      <t>ホウシキ</t>
    </rPh>
    <phoneticPr fontId="20"/>
  </si>
  <si>
    <t>Ａ：単位住戸全体を暖房する方式</t>
  </si>
  <si>
    <t>ａ ：単位住戸全体を冷房する方式</t>
  </si>
  <si>
    <t>Ｂ：居室のみを暖房する方式（連続運転）</t>
  </si>
  <si>
    <t>ｂ ：居室のみを冷房する方式（間歇運転）</t>
  </si>
  <si>
    <t>－</t>
    <phoneticPr fontId="20"/>
  </si>
  <si>
    <t>Ｃ：居室のみを暖房する方式（間歇運転）</t>
  </si>
  <si>
    <t>－：上記以外（不明な場合を含む）</t>
    <rPh sb="2" eb="4">
      <t>ジョウキ</t>
    </rPh>
    <rPh sb="4" eb="6">
      <t>イガイ</t>
    </rPh>
    <rPh sb="7" eb="9">
      <t>フメイ</t>
    </rPh>
    <rPh sb="10" eb="12">
      <t>バアイ</t>
    </rPh>
    <rPh sb="13" eb="14">
      <t>フク</t>
    </rPh>
    <phoneticPr fontId="3"/>
  </si>
  <si>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0"/>
  </si>
  <si>
    <t>建築物の取組み（②）</t>
    <rPh sb="0" eb="3">
      <t>ケンチクブツ</t>
    </rPh>
    <rPh sb="4" eb="6">
      <t>トリク</t>
    </rPh>
    <phoneticPr fontId="20"/>
  </si>
  <si>
    <t>BEI(2)</t>
    <phoneticPr fontId="20"/>
  </si>
  <si>
    <t>自然エネルギー削減量</t>
    <rPh sb="0" eb="2">
      <t>シゼン</t>
    </rPh>
    <rPh sb="7" eb="9">
      <t>サクゲン</t>
    </rPh>
    <rPh sb="9" eb="10">
      <t>リョウ</t>
    </rPh>
    <phoneticPr fontId="20"/>
  </si>
  <si>
    <t>効率的な運用低減率</t>
    <rPh sb="0" eb="2">
      <t>コウリツ</t>
    </rPh>
    <rPh sb="2" eb="3">
      <t>テキ</t>
    </rPh>
    <rPh sb="4" eb="6">
      <t>ウンヨウ</t>
    </rPh>
    <rPh sb="6" eb="8">
      <t>テイゲン</t>
    </rPh>
    <rPh sb="8" eb="9">
      <t>リツ</t>
    </rPh>
    <phoneticPr fontId="20"/>
  </si>
  <si>
    <t>非住宅部</t>
    <rPh sb="0" eb="1">
      <t>ヒ</t>
    </rPh>
    <rPh sb="1" eb="3">
      <t>ジュウタク</t>
    </rPh>
    <rPh sb="3" eb="4">
      <t>ブ</t>
    </rPh>
    <phoneticPr fontId="20"/>
  </si>
  <si>
    <t>用途別面積</t>
    <rPh sb="0" eb="2">
      <t>ヨウト</t>
    </rPh>
    <rPh sb="2" eb="3">
      <t>ベツ</t>
    </rPh>
    <rPh sb="3" eb="5">
      <t>メンセキ</t>
    </rPh>
    <phoneticPr fontId="32"/>
  </si>
  <si>
    <t>一次エネルギー消費量</t>
    <rPh sb="0" eb="2">
      <t>イチジ</t>
    </rPh>
    <rPh sb="7" eb="10">
      <t>ショウヒリョウ</t>
    </rPh>
    <phoneticPr fontId="32"/>
  </si>
  <si>
    <t>換算係数</t>
    <rPh sb="0" eb="2">
      <t>カンサン</t>
    </rPh>
    <rPh sb="2" eb="4">
      <t>ケイスウ</t>
    </rPh>
    <phoneticPr fontId="32"/>
  </si>
  <si>
    <t>統計値　MJ/年㎡</t>
    <rPh sb="0" eb="2">
      <t>トウケイ</t>
    </rPh>
    <rPh sb="2" eb="3">
      <t>チ</t>
    </rPh>
    <rPh sb="7" eb="8">
      <t>ネン</t>
    </rPh>
    <phoneticPr fontId="20"/>
  </si>
  <si>
    <t>電気％</t>
    <rPh sb="0" eb="2">
      <t>デンキ</t>
    </rPh>
    <phoneticPr fontId="20"/>
  </si>
  <si>
    <t>非住宅部分</t>
    <rPh sb="0" eb="1">
      <t>ヒ</t>
    </rPh>
    <rPh sb="1" eb="3">
      <t>ジュウタク</t>
    </rPh>
    <rPh sb="3" eb="5">
      <t>ブブン</t>
    </rPh>
    <phoneticPr fontId="20"/>
  </si>
  <si>
    <t>(GJ/年）</t>
    <rPh sb="4" eb="5">
      <t>ネン</t>
    </rPh>
    <phoneticPr fontId="20"/>
  </si>
  <si>
    <t>■自然エネルギーの直接利用量</t>
    <rPh sb="1" eb="3">
      <t>シゼン</t>
    </rPh>
    <rPh sb="9" eb="11">
      <t>チョクセツ</t>
    </rPh>
    <rPh sb="11" eb="13">
      <t>リヨウ</t>
    </rPh>
    <rPh sb="13" eb="14">
      <t>リョウ</t>
    </rPh>
    <phoneticPr fontId="20"/>
  </si>
  <si>
    <t>設計段階</t>
    <rPh sb="0" eb="2">
      <t>セッケイ</t>
    </rPh>
    <rPh sb="2" eb="4">
      <t>ダンカイ</t>
    </rPh>
    <phoneticPr fontId="20"/>
  </si>
  <si>
    <t>LR1/2.1　定量評価</t>
    <rPh sb="8" eb="10">
      <t>テイリョウ</t>
    </rPh>
    <rPh sb="10" eb="12">
      <t>ヒョウカ</t>
    </rPh>
    <phoneticPr fontId="20"/>
  </si>
  <si>
    <t>MＪ／年㎡　</t>
    <phoneticPr fontId="20"/>
  </si>
  <si>
    <t>LR1/2. 自然ｴﾈﾙｷﾞｰ利用</t>
    <rPh sb="7" eb="9">
      <t>シゼン</t>
    </rPh>
    <rPh sb="15" eb="17">
      <t>リヨウ</t>
    </rPh>
    <phoneticPr fontId="20"/>
  </si>
  <si>
    <t>小中学校・集合住宅</t>
    <rPh sb="0" eb="4">
      <t>ショウチュウガッコウ</t>
    </rPh>
    <rPh sb="5" eb="7">
      <t>シュウゴウ</t>
    </rPh>
    <rPh sb="7" eb="9">
      <t>ジュウタク</t>
    </rPh>
    <phoneticPr fontId="20"/>
  </si>
  <si>
    <t>上記以外</t>
    <rPh sb="0" eb="2">
      <t>ジョウキ</t>
    </rPh>
    <rPh sb="2" eb="4">
      <t>イガイ</t>
    </rPh>
    <phoneticPr fontId="20"/>
  </si>
  <si>
    <t>■効率的な運用</t>
    <rPh sb="1" eb="4">
      <t>コウリツテキ</t>
    </rPh>
    <rPh sb="5" eb="7">
      <t>ウンヨウ</t>
    </rPh>
    <phoneticPr fontId="20"/>
  </si>
  <si>
    <t>低減率</t>
    <rPh sb="0" eb="2">
      <t>テイゲン</t>
    </rPh>
    <rPh sb="2" eb="3">
      <t>リツ</t>
    </rPh>
    <phoneticPr fontId="20"/>
  </si>
  <si>
    <t>LR1/4.　効率的な運用</t>
    <rPh sb="7" eb="10">
      <t>コウリツテキ</t>
    </rPh>
    <rPh sb="11" eb="13">
      <t>ウンヨウ</t>
    </rPh>
    <phoneticPr fontId="20"/>
  </si>
  <si>
    <t>住宅部</t>
    <rPh sb="0" eb="2">
      <t>ジュウタク</t>
    </rPh>
    <rPh sb="2" eb="3">
      <t>ブ</t>
    </rPh>
    <phoneticPr fontId="20"/>
  </si>
  <si>
    <t>専有部面積</t>
    <rPh sb="0" eb="2">
      <t>センユウ</t>
    </rPh>
    <rPh sb="2" eb="3">
      <t>ブ</t>
    </rPh>
    <rPh sb="3" eb="5">
      <t>メンセキ</t>
    </rPh>
    <phoneticPr fontId="20"/>
  </si>
  <si>
    <t>仕様基準でLR1/3cを評価した場合</t>
    <rPh sb="0" eb="2">
      <t>シヨウ</t>
    </rPh>
    <rPh sb="2" eb="4">
      <t>キジュン</t>
    </rPh>
    <rPh sb="12" eb="14">
      <t>ヒョウカ</t>
    </rPh>
    <rPh sb="16" eb="18">
      <t>バアイ</t>
    </rPh>
    <phoneticPr fontId="20"/>
  </si>
  <si>
    <t>集合住宅</t>
    <phoneticPr fontId="20"/>
  </si>
  <si>
    <t>ｍ3/㎡</t>
    <phoneticPr fontId="20"/>
  </si>
  <si>
    <t>ホテル</t>
    <phoneticPr fontId="20"/>
  </si>
  <si>
    <t>◆</t>
    <phoneticPr fontId="20"/>
  </si>
  <si>
    <t>N.A.</t>
    <phoneticPr fontId="20"/>
  </si>
  <si>
    <t>一次エネ消費量　GJ/年</t>
    <phoneticPr fontId="20"/>
  </si>
  <si>
    <t>参照建物①</t>
    <rPh sb="0" eb="2">
      <t>サンショウ</t>
    </rPh>
    <rPh sb="2" eb="4">
      <t>タテモノ</t>
    </rPh>
    <phoneticPr fontId="20"/>
  </si>
  <si>
    <t>評価建物②</t>
    <rPh sb="0" eb="2">
      <t>ヒョウカ</t>
    </rPh>
    <rPh sb="2" eb="4">
      <t>タテモノ</t>
    </rPh>
    <phoneticPr fontId="20"/>
  </si>
  <si>
    <r>
      <t>kg-CO</t>
    </r>
    <r>
      <rPr>
        <vertAlign val="subscript"/>
        <sz val="10"/>
        <rFont val="ＭＳ Ｐゴシック"/>
        <family val="3"/>
        <charset val="128"/>
      </rPr>
      <t>2</t>
    </r>
    <r>
      <rPr>
        <sz val="10"/>
        <rFont val="ＭＳ Ｐゴシック"/>
        <family val="3"/>
        <charset val="128"/>
      </rPr>
      <t>/MJ</t>
    </r>
    <phoneticPr fontId="20"/>
  </si>
  <si>
    <t>住宅　専有部（住戸全体）</t>
    <rPh sb="0" eb="2">
      <t>ジュウタク</t>
    </rPh>
    <rPh sb="3" eb="5">
      <t>センユウ</t>
    </rPh>
    <rPh sb="5" eb="6">
      <t>ブ</t>
    </rPh>
    <rPh sb="7" eb="9">
      <t>ジュウコ</t>
    </rPh>
    <rPh sb="9" eb="11">
      <t>ゼンタイ</t>
    </rPh>
    <phoneticPr fontId="20"/>
  </si>
  <si>
    <t>住宅　共用部</t>
    <rPh sb="0" eb="2">
      <t>ジュウタク</t>
    </rPh>
    <rPh sb="3" eb="6">
      <t>キョウヨウブ</t>
    </rPh>
    <phoneticPr fontId="20"/>
  </si>
  <si>
    <t>削減分</t>
    <rPh sb="0" eb="2">
      <t>サクゲン</t>
    </rPh>
    <rPh sb="2" eb="3">
      <t>ブン</t>
    </rPh>
    <phoneticPr fontId="20"/>
  </si>
  <si>
    <t>評価建物③</t>
    <rPh sb="0" eb="2">
      <t>ヒョウカ</t>
    </rPh>
    <rPh sb="2" eb="4">
      <t>タテモノ</t>
    </rPh>
    <phoneticPr fontId="20"/>
  </si>
  <si>
    <t>Q1</t>
    <phoneticPr fontId="30" type="noConversion"/>
  </si>
  <si>
    <t>室内環境</t>
    <phoneticPr fontId="20"/>
  </si>
  <si>
    <t>騒音</t>
    <phoneticPr fontId="20"/>
  </si>
  <si>
    <t>騒音</t>
    <phoneticPr fontId="20"/>
  </si>
  <si>
    <t>1.2.1</t>
    <phoneticPr fontId="20"/>
  </si>
  <si>
    <t>開口部遮音性能</t>
    <phoneticPr fontId="20"/>
  </si>
  <si>
    <t>1.2.2</t>
    <phoneticPr fontId="20"/>
  </si>
  <si>
    <t>1.2.3</t>
    <phoneticPr fontId="20"/>
  </si>
  <si>
    <t>1.2.3</t>
    <phoneticPr fontId="20"/>
  </si>
  <si>
    <t>1.2.4</t>
    <phoneticPr fontId="20"/>
  </si>
  <si>
    <t>2.1.1</t>
    <phoneticPr fontId="20"/>
  </si>
  <si>
    <t>2.1.1</t>
    <phoneticPr fontId="20"/>
  </si>
  <si>
    <t>室温</t>
    <phoneticPr fontId="20"/>
  </si>
  <si>
    <t>2.3.1</t>
    <phoneticPr fontId="20"/>
  </si>
  <si>
    <t>2.3.1</t>
    <phoneticPr fontId="20"/>
  </si>
  <si>
    <t>2.3.2</t>
    <phoneticPr fontId="20"/>
  </si>
  <si>
    <t>2.3.2</t>
    <phoneticPr fontId="20"/>
  </si>
  <si>
    <t>3.1.1</t>
    <phoneticPr fontId="20"/>
  </si>
  <si>
    <t>3.1.2</t>
    <phoneticPr fontId="20"/>
  </si>
  <si>
    <t>3.1.2</t>
    <phoneticPr fontId="20"/>
  </si>
  <si>
    <t>3.1.3</t>
    <phoneticPr fontId="20"/>
  </si>
  <si>
    <t>3.2.1</t>
    <phoneticPr fontId="20"/>
  </si>
  <si>
    <t>3.2.1</t>
    <phoneticPr fontId="20"/>
  </si>
  <si>
    <t>3.2.2</t>
    <phoneticPr fontId="20"/>
  </si>
  <si>
    <t>3.2.2</t>
    <phoneticPr fontId="20"/>
  </si>
  <si>
    <t>3.2.3</t>
    <phoneticPr fontId="20"/>
  </si>
  <si>
    <t>3.3.1</t>
    <phoneticPr fontId="20"/>
  </si>
  <si>
    <t>3.3.1</t>
    <phoneticPr fontId="20"/>
  </si>
  <si>
    <t>照度</t>
    <phoneticPr fontId="20"/>
  </si>
  <si>
    <t>照度</t>
    <phoneticPr fontId="20"/>
  </si>
  <si>
    <t>3.3.2</t>
    <phoneticPr fontId="20"/>
  </si>
  <si>
    <t>照度均斉度</t>
    <phoneticPr fontId="20"/>
  </si>
  <si>
    <t>4.1.1</t>
    <phoneticPr fontId="20"/>
  </si>
  <si>
    <t>4.1.2</t>
    <phoneticPr fontId="20"/>
  </si>
  <si>
    <t xml:space="preserve"> アスベスト対策</t>
    <phoneticPr fontId="20"/>
  </si>
  <si>
    <t>4.1.3</t>
    <phoneticPr fontId="20"/>
  </si>
  <si>
    <t>4.1.4</t>
    <phoneticPr fontId="20"/>
  </si>
  <si>
    <t>4.2.1</t>
    <phoneticPr fontId="20"/>
  </si>
  <si>
    <t>4.2.2</t>
    <phoneticPr fontId="20"/>
  </si>
  <si>
    <t>4.2.2</t>
    <phoneticPr fontId="20"/>
  </si>
  <si>
    <t>4.2.3</t>
    <phoneticPr fontId="20"/>
  </si>
  <si>
    <t>4.2.4</t>
    <phoneticPr fontId="20"/>
  </si>
  <si>
    <t>給気計画</t>
    <phoneticPr fontId="20"/>
  </si>
  <si>
    <t>4.3.1</t>
    <phoneticPr fontId="20"/>
  </si>
  <si>
    <t>CO2の監視</t>
    <phoneticPr fontId="20"/>
  </si>
  <si>
    <t>4.3.2</t>
    <phoneticPr fontId="20"/>
  </si>
  <si>
    <t>喫煙の制御</t>
    <phoneticPr fontId="20"/>
  </si>
  <si>
    <t>Q2</t>
    <phoneticPr fontId="20"/>
  </si>
  <si>
    <t>サービス性能</t>
    <phoneticPr fontId="20"/>
  </si>
  <si>
    <t>1.1.1</t>
    <phoneticPr fontId="20"/>
  </si>
  <si>
    <t>1.1.2</t>
    <phoneticPr fontId="20"/>
  </si>
  <si>
    <t>高度情報通信設備対応</t>
    <phoneticPr fontId="20"/>
  </si>
  <si>
    <t>1.1.3</t>
    <phoneticPr fontId="20"/>
  </si>
  <si>
    <t>1.2.1</t>
    <phoneticPr fontId="20"/>
  </si>
  <si>
    <t>1.2.2</t>
    <phoneticPr fontId="20"/>
  </si>
  <si>
    <t>1.2.3</t>
    <phoneticPr fontId="20"/>
  </si>
  <si>
    <t>0</t>
    <phoneticPr fontId="20"/>
  </si>
  <si>
    <t>2.1.1</t>
    <phoneticPr fontId="20"/>
  </si>
  <si>
    <t>2.1.2</t>
    <phoneticPr fontId="20"/>
  </si>
  <si>
    <t>2.2.1</t>
    <phoneticPr fontId="20"/>
  </si>
  <si>
    <t>2.2.2</t>
    <phoneticPr fontId="20"/>
  </si>
  <si>
    <t>2.2.3</t>
    <phoneticPr fontId="20"/>
  </si>
  <si>
    <t>2.2.4</t>
    <phoneticPr fontId="20"/>
  </si>
  <si>
    <t>2.2.5</t>
    <phoneticPr fontId="20"/>
  </si>
  <si>
    <t>2.2.6</t>
    <phoneticPr fontId="20"/>
  </si>
  <si>
    <t>2.3.1</t>
    <phoneticPr fontId="20"/>
  </si>
  <si>
    <t>2.3.2</t>
    <phoneticPr fontId="20"/>
  </si>
  <si>
    <t>2.3.3</t>
    <phoneticPr fontId="20"/>
  </si>
  <si>
    <t>2.4.1</t>
    <phoneticPr fontId="20"/>
  </si>
  <si>
    <t>3.1.1</t>
    <phoneticPr fontId="20"/>
  </si>
  <si>
    <t>3.1.2</t>
    <phoneticPr fontId="20"/>
  </si>
  <si>
    <t>3.3.1</t>
    <phoneticPr fontId="20"/>
  </si>
  <si>
    <t>3.3.2</t>
    <phoneticPr fontId="20"/>
  </si>
  <si>
    <t>3.3.2</t>
    <phoneticPr fontId="20"/>
  </si>
  <si>
    <t>3.3.3</t>
    <phoneticPr fontId="20"/>
  </si>
  <si>
    <t>3.3.3</t>
    <phoneticPr fontId="20"/>
  </si>
  <si>
    <t>3.3.4</t>
    <phoneticPr fontId="20"/>
  </si>
  <si>
    <t>3.3.5</t>
    <phoneticPr fontId="20"/>
  </si>
  <si>
    <t>3.3.5</t>
    <phoneticPr fontId="20"/>
  </si>
  <si>
    <t>3.3.6</t>
    <phoneticPr fontId="20"/>
  </si>
  <si>
    <t>Q3</t>
    <phoneticPr fontId="20"/>
  </si>
  <si>
    <t>Q3</t>
    <phoneticPr fontId="20"/>
  </si>
  <si>
    <t>室外環境（敷地内）</t>
    <phoneticPr fontId="20"/>
  </si>
  <si>
    <t>室外環境（敷地内）</t>
    <phoneticPr fontId="20"/>
  </si>
  <si>
    <t>まちなみ・景観への配慮</t>
    <phoneticPr fontId="20"/>
  </si>
  <si>
    <t>まちなみ・景観への配慮</t>
    <phoneticPr fontId="20"/>
  </si>
  <si>
    <t>地域性・アメニティへの配慮</t>
    <phoneticPr fontId="20"/>
  </si>
  <si>
    <t>3.1</t>
    <phoneticPr fontId="20"/>
  </si>
  <si>
    <t>3.1</t>
    <phoneticPr fontId="20"/>
  </si>
  <si>
    <t>地域性への配慮、快適性の向上</t>
    <phoneticPr fontId="20"/>
  </si>
  <si>
    <t>地域性への配慮、快適性の向上</t>
    <phoneticPr fontId="20"/>
  </si>
  <si>
    <t>3.2</t>
    <phoneticPr fontId="20"/>
  </si>
  <si>
    <t>3.2</t>
    <phoneticPr fontId="20"/>
  </si>
  <si>
    <t>敷地内温熱環境の向上</t>
    <phoneticPr fontId="20"/>
  </si>
  <si>
    <t>敷地内温熱環境の向上</t>
    <phoneticPr fontId="20"/>
  </si>
  <si>
    <t>LR</t>
    <phoneticPr fontId="30" type="noConversion"/>
  </si>
  <si>
    <t>LR1</t>
    <phoneticPr fontId="30" type="noConversion"/>
  </si>
  <si>
    <t>LR</t>
    <phoneticPr fontId="20"/>
  </si>
  <si>
    <t>LR</t>
    <phoneticPr fontId="20"/>
  </si>
  <si>
    <t>エネルギー</t>
    <phoneticPr fontId="20"/>
  </si>
  <si>
    <t>エネルギー</t>
    <phoneticPr fontId="20"/>
  </si>
  <si>
    <t>建物外皮の熱負荷抑制</t>
    <rPh sb="0" eb="2">
      <t>タテモノ</t>
    </rPh>
    <rPh sb="2" eb="4">
      <t>ガイヒ</t>
    </rPh>
    <rPh sb="5" eb="6">
      <t>ネツ</t>
    </rPh>
    <rPh sb="6" eb="8">
      <t>フカ</t>
    </rPh>
    <rPh sb="8" eb="10">
      <t>ヨクセイ</t>
    </rPh>
    <phoneticPr fontId="20"/>
  </si>
  <si>
    <t>2.1</t>
    <phoneticPr fontId="20"/>
  </si>
  <si>
    <t>2.1</t>
    <phoneticPr fontId="20"/>
  </si>
  <si>
    <t>2.2</t>
    <phoneticPr fontId="20"/>
  </si>
  <si>
    <t>2.2</t>
    <phoneticPr fontId="20"/>
  </si>
  <si>
    <t>3a.3b</t>
    <phoneticPr fontId="20"/>
  </si>
  <si>
    <t>LR1 3</t>
    <phoneticPr fontId="20"/>
  </si>
  <si>
    <t>非住宅部分</t>
    <rPh sb="0" eb="1">
      <t>ﾋ</t>
    </rPh>
    <rPh sb="1" eb="3">
      <t>ｼﾞｭｳﾀｸ</t>
    </rPh>
    <rPh sb="3" eb="5">
      <t>ﾌﾞﾌﾞﾝ</t>
    </rPh>
    <phoneticPr fontId="30" type="noConversion"/>
  </si>
  <si>
    <t>3b.c</t>
    <phoneticPr fontId="20"/>
  </si>
  <si>
    <t>LR1 3b</t>
    <phoneticPr fontId="20"/>
  </si>
  <si>
    <t>LR1 3b</t>
    <phoneticPr fontId="20"/>
  </si>
  <si>
    <t>住宅以外の評価</t>
    <rPh sb="0" eb="2">
      <t>ｼﾞｭｳﾀｸ</t>
    </rPh>
    <rPh sb="2" eb="4">
      <t>ｲｶﾞｲ</t>
    </rPh>
    <rPh sb="5" eb="7">
      <t>ﾋｮｳｶ</t>
    </rPh>
    <phoneticPr fontId="30" type="noConversion"/>
  </si>
  <si>
    <t>4.1.1</t>
    <phoneticPr fontId="20"/>
  </si>
  <si>
    <t>LR1 4.1</t>
    <phoneticPr fontId="20"/>
  </si>
  <si>
    <t>LR1 4.1</t>
    <phoneticPr fontId="20"/>
  </si>
  <si>
    <t>モニタリング</t>
    <phoneticPr fontId="30" type="noConversion"/>
  </si>
  <si>
    <t>4.1.2</t>
    <phoneticPr fontId="20"/>
  </si>
  <si>
    <t>住宅の評価</t>
    <rPh sb="0" eb="2">
      <t>ｼﾞｭｳﾀｸ</t>
    </rPh>
    <rPh sb="3" eb="5">
      <t>ﾋｮｳｶ</t>
    </rPh>
    <phoneticPr fontId="30" type="noConversion"/>
  </si>
  <si>
    <t>4.2.1</t>
    <phoneticPr fontId="20"/>
  </si>
  <si>
    <t>LR1 4.2</t>
    <phoneticPr fontId="20"/>
  </si>
  <si>
    <t>LR1 4.2</t>
    <phoneticPr fontId="20"/>
  </si>
  <si>
    <t>モニタリング</t>
    <phoneticPr fontId="3"/>
  </si>
  <si>
    <t>運用管理体制</t>
    <rPh sb="0" eb="2">
      <t>ウンヨウ</t>
    </rPh>
    <rPh sb="2" eb="4">
      <t>カンリ</t>
    </rPh>
    <rPh sb="4" eb="6">
      <t>タイセイ</t>
    </rPh>
    <phoneticPr fontId="20"/>
  </si>
  <si>
    <t>LR2</t>
    <phoneticPr fontId="30" type="noConversion"/>
  </si>
  <si>
    <t>資源・マテリアル</t>
    <phoneticPr fontId="20"/>
  </si>
  <si>
    <t>雨水利用システム導入の有無</t>
    <phoneticPr fontId="20"/>
  </si>
  <si>
    <t>2.3</t>
    <phoneticPr fontId="20"/>
  </si>
  <si>
    <t>2.4</t>
    <phoneticPr fontId="20"/>
  </si>
  <si>
    <t>躯体材料以外におけるリサイクル材の使用</t>
  </si>
  <si>
    <t>2.5</t>
    <phoneticPr fontId="20"/>
  </si>
  <si>
    <t>持続可能な森林から産出された木材</t>
    <phoneticPr fontId="20"/>
  </si>
  <si>
    <t>2.6</t>
    <phoneticPr fontId="20"/>
  </si>
  <si>
    <t>3.2.1</t>
    <phoneticPr fontId="20"/>
  </si>
  <si>
    <t>消火剤</t>
    <phoneticPr fontId="20"/>
  </si>
  <si>
    <t>消火剤</t>
    <phoneticPr fontId="20"/>
  </si>
  <si>
    <t>3.2.2</t>
    <phoneticPr fontId="20"/>
  </si>
  <si>
    <t>発泡剤（断熱材等）</t>
    <phoneticPr fontId="20"/>
  </si>
  <si>
    <t>3.2.3</t>
    <phoneticPr fontId="20"/>
  </si>
  <si>
    <t>3.2.3</t>
    <phoneticPr fontId="20"/>
  </si>
  <si>
    <t>LR3</t>
    <phoneticPr fontId="30" type="noConversion"/>
  </si>
  <si>
    <t>敷地外環境</t>
    <phoneticPr fontId="20"/>
  </si>
  <si>
    <t>温熱環境悪化の改善</t>
    <phoneticPr fontId="20"/>
  </si>
  <si>
    <t>2.3</t>
    <phoneticPr fontId="20"/>
  </si>
  <si>
    <t>雨水排水負荷低減</t>
    <phoneticPr fontId="30" type="noConversion"/>
  </si>
  <si>
    <t>汚水処理負荷抑制</t>
    <phoneticPr fontId="30" type="noConversion"/>
  </si>
  <si>
    <t>2.3.3</t>
    <phoneticPr fontId="20"/>
  </si>
  <si>
    <t>2.3.4</t>
    <phoneticPr fontId="20"/>
  </si>
  <si>
    <t>3.1.1</t>
    <phoneticPr fontId="20"/>
  </si>
  <si>
    <t>3.1.3</t>
    <phoneticPr fontId="20"/>
  </si>
  <si>
    <t>風害・砂塵、日照阻害の抑制</t>
  </si>
  <si>
    <t>風害の抑制</t>
    <phoneticPr fontId="30" type="noConversion"/>
  </si>
  <si>
    <t>LR3 3.2</t>
    <phoneticPr fontId="20"/>
  </si>
  <si>
    <t>日照阻害の抑制</t>
    <phoneticPr fontId="30" type="noConversion"/>
  </si>
  <si>
    <t>3.3</t>
    <phoneticPr fontId="20"/>
  </si>
  <si>
    <t>屋外照明及び屋内照明のうち外に漏れる光への対策</t>
    <phoneticPr fontId="30" type="noConversion"/>
  </si>
  <si>
    <t>昼光の建物外壁による反射光（グレア）への対策</t>
    <phoneticPr fontId="30" type="noConversion"/>
  </si>
  <si>
    <t>1.2.1</t>
    <phoneticPr fontId="20"/>
  </si>
  <si>
    <t>開口部遮音性能</t>
    <phoneticPr fontId="20"/>
  </si>
  <si>
    <t>1.2.2</t>
    <phoneticPr fontId="20"/>
  </si>
  <si>
    <t>1.2.4</t>
    <phoneticPr fontId="20"/>
  </si>
  <si>
    <t>照度均斉度</t>
    <phoneticPr fontId="20"/>
  </si>
  <si>
    <t>Q1</t>
    <phoneticPr fontId="30" type="noConversion"/>
  </si>
  <si>
    <t>室内環境</t>
    <phoneticPr fontId="20"/>
  </si>
  <si>
    <t>1.2.1</t>
    <phoneticPr fontId="20"/>
  </si>
  <si>
    <t>開口部遮音性能</t>
    <phoneticPr fontId="20"/>
  </si>
  <si>
    <t>1.2.2</t>
    <phoneticPr fontId="20"/>
  </si>
  <si>
    <t>1.2.3</t>
    <phoneticPr fontId="20"/>
  </si>
  <si>
    <t>1.2.4</t>
    <phoneticPr fontId="20"/>
  </si>
  <si>
    <t>2.1.1</t>
    <phoneticPr fontId="20"/>
  </si>
  <si>
    <t>室温</t>
    <phoneticPr fontId="20"/>
  </si>
  <si>
    <t>2.3.1</t>
    <phoneticPr fontId="20"/>
  </si>
  <si>
    <t>2.3.2</t>
    <phoneticPr fontId="20"/>
  </si>
  <si>
    <t>3.1.1</t>
    <phoneticPr fontId="20"/>
  </si>
  <si>
    <t>3.1.2</t>
    <phoneticPr fontId="20"/>
  </si>
  <si>
    <t>3.1.3</t>
    <phoneticPr fontId="20"/>
  </si>
  <si>
    <t>3.2.1</t>
    <phoneticPr fontId="20"/>
  </si>
  <si>
    <t>3.2.2</t>
    <phoneticPr fontId="20"/>
  </si>
  <si>
    <t>3.2.3</t>
    <phoneticPr fontId="20"/>
  </si>
  <si>
    <t>3.3.1</t>
    <phoneticPr fontId="20"/>
  </si>
  <si>
    <t>照度</t>
    <phoneticPr fontId="20"/>
  </si>
  <si>
    <t>3.3.2</t>
    <phoneticPr fontId="20"/>
  </si>
  <si>
    <t>照度均斉度</t>
    <phoneticPr fontId="20"/>
  </si>
  <si>
    <t>4.1.1</t>
    <phoneticPr fontId="20"/>
  </si>
  <si>
    <t>4.1.2</t>
    <phoneticPr fontId="20"/>
  </si>
  <si>
    <t xml:space="preserve"> アスベスト対策</t>
    <phoneticPr fontId="20"/>
  </si>
  <si>
    <t>4.1.3</t>
    <phoneticPr fontId="20"/>
  </si>
  <si>
    <t>4.1.4</t>
    <phoneticPr fontId="20"/>
  </si>
  <si>
    <t>2.1</t>
    <phoneticPr fontId="20"/>
  </si>
  <si>
    <t>2.2</t>
    <phoneticPr fontId="20"/>
  </si>
  <si>
    <t>温熱環境悪化の改善</t>
    <phoneticPr fontId="20"/>
  </si>
  <si>
    <t>2.3</t>
    <phoneticPr fontId="20"/>
  </si>
  <si>
    <t>2.3.1</t>
    <phoneticPr fontId="20"/>
  </si>
  <si>
    <t>雨水排水負荷低減</t>
    <phoneticPr fontId="30" type="noConversion"/>
  </si>
  <si>
    <t>2.3.2</t>
    <phoneticPr fontId="20"/>
  </si>
  <si>
    <t>汚水処理負荷抑制</t>
    <phoneticPr fontId="30" type="noConversion"/>
  </si>
  <si>
    <t>2.3.3</t>
    <phoneticPr fontId="20"/>
  </si>
  <si>
    <t>2.3.4</t>
    <phoneticPr fontId="20"/>
  </si>
  <si>
    <t>3.1</t>
    <phoneticPr fontId="20"/>
  </si>
  <si>
    <t>3.1.1</t>
    <phoneticPr fontId="20"/>
  </si>
  <si>
    <t>3.1.2</t>
    <phoneticPr fontId="20"/>
  </si>
  <si>
    <t>3.1.3</t>
    <phoneticPr fontId="20"/>
  </si>
  <si>
    <t>3.2</t>
    <phoneticPr fontId="20"/>
  </si>
  <si>
    <t>3.2.1</t>
    <phoneticPr fontId="20"/>
  </si>
  <si>
    <t>風害の抑制</t>
    <phoneticPr fontId="30" type="noConversion"/>
  </si>
  <si>
    <t>3.2.2</t>
    <phoneticPr fontId="20"/>
  </si>
  <si>
    <t>LR3 3.2</t>
    <phoneticPr fontId="20"/>
  </si>
  <si>
    <t>3.2.3</t>
    <phoneticPr fontId="20"/>
  </si>
  <si>
    <t>日照阻害の抑制</t>
    <phoneticPr fontId="30" type="noConversion"/>
  </si>
  <si>
    <t>3.3</t>
    <phoneticPr fontId="20"/>
  </si>
  <si>
    <t>3.3.1</t>
    <phoneticPr fontId="20"/>
  </si>
  <si>
    <t>屋外照明及び屋内照明のうち外に漏れる光への対策</t>
    <phoneticPr fontId="30" type="noConversion"/>
  </si>
  <si>
    <t>3.3.2</t>
    <phoneticPr fontId="20"/>
  </si>
  <si>
    <t>昼光の建物外壁による反射光（グレア）への対策</t>
    <phoneticPr fontId="30" type="noConversion"/>
  </si>
  <si>
    <t>Q1</t>
    <phoneticPr fontId="30" type="noConversion"/>
  </si>
  <si>
    <t>室内環境</t>
    <phoneticPr fontId="20"/>
  </si>
  <si>
    <t>騒音</t>
    <phoneticPr fontId="20"/>
  </si>
  <si>
    <t>1.2.1</t>
    <phoneticPr fontId="20"/>
  </si>
  <si>
    <t>開口部遮音性能</t>
    <phoneticPr fontId="20"/>
  </si>
  <si>
    <t>1.2.2</t>
    <phoneticPr fontId="20"/>
  </si>
  <si>
    <t>1.2.3</t>
    <phoneticPr fontId="20"/>
  </si>
  <si>
    <t>1.2.4</t>
    <phoneticPr fontId="20"/>
  </si>
  <si>
    <t>2.1.1</t>
    <phoneticPr fontId="20"/>
  </si>
  <si>
    <t>2.3.1</t>
    <phoneticPr fontId="20"/>
  </si>
  <si>
    <t>2.3.2</t>
    <phoneticPr fontId="20"/>
  </si>
  <si>
    <t>3.1.1</t>
    <phoneticPr fontId="20"/>
  </si>
  <si>
    <t>3.1.2</t>
    <phoneticPr fontId="20"/>
  </si>
  <si>
    <t>3.1.3</t>
    <phoneticPr fontId="20"/>
  </si>
  <si>
    <t>3.2.1</t>
    <phoneticPr fontId="20"/>
  </si>
  <si>
    <t>3.2.2</t>
    <phoneticPr fontId="20"/>
  </si>
  <si>
    <t>3.3.1</t>
    <phoneticPr fontId="20"/>
  </si>
  <si>
    <t>照度</t>
    <phoneticPr fontId="20"/>
  </si>
  <si>
    <t>3.3.2</t>
    <phoneticPr fontId="20"/>
  </si>
  <si>
    <t>照度均斉度</t>
    <phoneticPr fontId="20"/>
  </si>
  <si>
    <t>4.1.1</t>
    <phoneticPr fontId="20"/>
  </si>
  <si>
    <t>4.1.2</t>
    <phoneticPr fontId="20"/>
  </si>
  <si>
    <t xml:space="preserve"> アスベスト対策</t>
    <phoneticPr fontId="20"/>
  </si>
  <si>
    <t>4.1.3</t>
    <phoneticPr fontId="20"/>
  </si>
  <si>
    <t>4.1.4</t>
    <phoneticPr fontId="20"/>
  </si>
  <si>
    <t xml:space="preserve"> Q2 1.3</t>
    <phoneticPr fontId="20"/>
  </si>
  <si>
    <t xml:space="preserve"> Q2 2</t>
    <phoneticPr fontId="20"/>
  </si>
  <si>
    <t xml:space="preserve"> Q2 2.3</t>
    <phoneticPr fontId="20"/>
  </si>
  <si>
    <t>3.3.4</t>
    <phoneticPr fontId="20"/>
  </si>
  <si>
    <t>3.3.6</t>
    <phoneticPr fontId="20"/>
  </si>
  <si>
    <t>地域性・アメニティへの配慮</t>
    <phoneticPr fontId="20"/>
  </si>
  <si>
    <t>LR</t>
    <phoneticPr fontId="30" type="noConversion"/>
  </si>
  <si>
    <t>LR1</t>
    <phoneticPr fontId="30" type="noConversion"/>
  </si>
  <si>
    <t>3a.3b</t>
    <phoneticPr fontId="20"/>
  </si>
  <si>
    <t>LR1 3.1</t>
    <phoneticPr fontId="20"/>
  </si>
  <si>
    <t>3b.c</t>
    <phoneticPr fontId="20"/>
  </si>
  <si>
    <t>LR1 3.2</t>
    <phoneticPr fontId="20"/>
  </si>
  <si>
    <t>実績値を用いた総合評価</t>
  </si>
  <si>
    <t>モニタリング</t>
    <phoneticPr fontId="30" type="noConversion"/>
  </si>
  <si>
    <t>住まい方の提示</t>
    <rPh sb="5" eb="7">
      <t>テイジ</t>
    </rPh>
    <phoneticPr fontId="3"/>
  </si>
  <si>
    <t>エネルギーの管理と制御</t>
  </si>
  <si>
    <t>LR2</t>
    <phoneticPr fontId="30" type="noConversion"/>
  </si>
  <si>
    <t>資源・マテリアル</t>
    <phoneticPr fontId="20"/>
  </si>
  <si>
    <t>雨水利用システム導入の有無</t>
    <phoneticPr fontId="20"/>
  </si>
  <si>
    <t>2.4</t>
    <phoneticPr fontId="20"/>
  </si>
  <si>
    <t>2.5</t>
    <phoneticPr fontId="20"/>
  </si>
  <si>
    <t>持続可能な森林から産出された木材</t>
    <phoneticPr fontId="20"/>
  </si>
  <si>
    <t>2.6</t>
    <phoneticPr fontId="20"/>
  </si>
  <si>
    <t>LR3</t>
    <phoneticPr fontId="30" type="noConversion"/>
  </si>
  <si>
    <t>敷地外環境</t>
    <phoneticPr fontId="20"/>
  </si>
  <si>
    <t>風害、日照阻害の抑制</t>
    <phoneticPr fontId="30" type="noConversion"/>
  </si>
  <si>
    <t>LR1 3.1</t>
    <phoneticPr fontId="20"/>
  </si>
  <si>
    <t>LR1 3.2</t>
    <phoneticPr fontId="20"/>
  </si>
  <si>
    <t>温熱環境悪化の改善</t>
    <phoneticPr fontId="20"/>
  </si>
  <si>
    <t>雨水排水負荷低減</t>
    <phoneticPr fontId="30" type="noConversion"/>
  </si>
  <si>
    <t>汚水処理負荷抑制</t>
    <phoneticPr fontId="30" type="noConversion"/>
  </si>
  <si>
    <t>2.3.4</t>
    <phoneticPr fontId="20"/>
  </si>
  <si>
    <t>3.1.3</t>
    <phoneticPr fontId="20"/>
  </si>
  <si>
    <t>風害、日照阻害の抑制</t>
    <phoneticPr fontId="30" type="noConversion"/>
  </si>
  <si>
    <t>風害の抑制</t>
    <phoneticPr fontId="30" type="noConversion"/>
  </si>
  <si>
    <t>日照阻害の抑制</t>
    <phoneticPr fontId="30" type="noConversion"/>
  </si>
  <si>
    <t>3.3</t>
    <phoneticPr fontId="20"/>
  </si>
  <si>
    <t>屋外照明及び屋内照明のうち外に漏れる光への対策</t>
    <phoneticPr fontId="30" type="noConversion"/>
  </si>
  <si>
    <t>昼光の建物外壁による反射光（グレア）への対策</t>
    <phoneticPr fontId="30" type="noConversion"/>
  </si>
  <si>
    <t>BPI=</t>
    <phoneticPr fontId="20"/>
  </si>
  <si>
    <t>BPIm=</t>
    <phoneticPr fontId="20"/>
  </si>
  <si>
    <t>1</t>
    <phoneticPr fontId="20"/>
  </si>
  <si>
    <t>BPI</t>
    <phoneticPr fontId="20"/>
  </si>
  <si>
    <t>レベル</t>
    <phoneticPr fontId="20"/>
  </si>
  <si>
    <t>BPIｍ</t>
    <phoneticPr fontId="20"/>
  </si>
  <si>
    <t>㎡</t>
    <phoneticPr fontId="20"/>
  </si>
  <si>
    <t>％</t>
    <phoneticPr fontId="20"/>
  </si>
  <si>
    <t>レベル</t>
    <phoneticPr fontId="20"/>
  </si>
  <si>
    <t>3</t>
    <phoneticPr fontId="20"/>
  </si>
  <si>
    <t>BEIｍ=</t>
    <phoneticPr fontId="20"/>
  </si>
  <si>
    <t>LR1/3.1　設計仕様に基づく評価</t>
    <rPh sb="8" eb="10">
      <t>セッケイ</t>
    </rPh>
    <rPh sb="10" eb="12">
      <t>シヨウ</t>
    </rPh>
    <rPh sb="13" eb="14">
      <t>モト</t>
    </rPh>
    <rPh sb="16" eb="18">
      <t>ヒョウカ</t>
    </rPh>
    <phoneticPr fontId="20"/>
  </si>
  <si>
    <t>LR1/3.2　実績値を用いた総合評価</t>
    <phoneticPr fontId="20"/>
  </si>
  <si>
    <t>％</t>
    <phoneticPr fontId="20"/>
  </si>
  <si>
    <t>BEI(1)</t>
    <phoneticPr fontId="20"/>
  </si>
  <si>
    <t>BEI(2)</t>
    <phoneticPr fontId="20"/>
  </si>
  <si>
    <t>ERRレベル</t>
    <phoneticPr fontId="20"/>
  </si>
  <si>
    <t>■</t>
    <phoneticPr fontId="20"/>
  </si>
  <si>
    <t>αM</t>
    <phoneticPr fontId="20"/>
  </si>
  <si>
    <t>βM</t>
    <phoneticPr fontId="20"/>
  </si>
  <si>
    <t>EM</t>
    <phoneticPr fontId="20"/>
  </si>
  <si>
    <t>加点有無</t>
    <rPh sb="0" eb="2">
      <t>カテン</t>
    </rPh>
    <rPh sb="2" eb="4">
      <t>ウム</t>
    </rPh>
    <phoneticPr fontId="20"/>
  </si>
  <si>
    <t>BEI＊</t>
    <phoneticPr fontId="20"/>
  </si>
  <si>
    <t>換算係数(参照値)</t>
    <rPh sb="0" eb="2">
      <t>カンサン</t>
    </rPh>
    <rPh sb="2" eb="4">
      <t>ケイスウ</t>
    </rPh>
    <rPh sb="5" eb="7">
      <t>サンショウ</t>
    </rPh>
    <rPh sb="7" eb="8">
      <t>チ</t>
    </rPh>
    <phoneticPr fontId="32"/>
  </si>
  <si>
    <t>㎡</t>
    <phoneticPr fontId="20"/>
  </si>
  <si>
    <t>MＪ／年㎡　</t>
    <phoneticPr fontId="20"/>
  </si>
  <si>
    <t>仕様基準でLR1/3.1cを評価した場合</t>
    <rPh sb="0" eb="2">
      <t>シヨウ</t>
    </rPh>
    <rPh sb="2" eb="4">
      <t>キジュン</t>
    </rPh>
    <rPh sb="14" eb="16">
      <t>ヒョウカ</t>
    </rPh>
    <rPh sb="18" eb="20">
      <t>バアイ</t>
    </rPh>
    <phoneticPr fontId="20"/>
  </si>
  <si>
    <t>1)　建物全体のエネルギー消費量実績の入力</t>
    <rPh sb="3" eb="5">
      <t>タテモノ</t>
    </rPh>
    <rPh sb="5" eb="7">
      <t>ゼンタイ</t>
    </rPh>
    <rPh sb="13" eb="15">
      <t>ショウヒ</t>
    </rPh>
    <rPh sb="15" eb="16">
      <t>リョウ</t>
    </rPh>
    <rPh sb="16" eb="18">
      <t>ジッセキ</t>
    </rPh>
    <rPh sb="19" eb="21">
      <t>ニュウリョク</t>
    </rPh>
    <phoneticPr fontId="20"/>
  </si>
  <si>
    <t>①非住宅部分全体（集合住宅除く）</t>
    <rPh sb="1" eb="2">
      <t>ヒ</t>
    </rPh>
    <rPh sb="2" eb="4">
      <t>ジュウタク</t>
    </rPh>
    <rPh sb="4" eb="6">
      <t>ブブン</t>
    </rPh>
    <rPh sb="6" eb="8">
      <t>ゼンタイ</t>
    </rPh>
    <rPh sb="9" eb="11">
      <t>シュウゴウ</t>
    </rPh>
    <rPh sb="11" eb="13">
      <t>ジュウタク</t>
    </rPh>
    <rPh sb="13" eb="14">
      <t>ノゾ</t>
    </rPh>
    <phoneticPr fontId="20"/>
  </si>
  <si>
    <t>GJ/年</t>
    <phoneticPr fontId="20"/>
  </si>
  <si>
    <t>②工場部分（給湯・照明のみ対象）※</t>
    <rPh sb="1" eb="3">
      <t>コウジョウ</t>
    </rPh>
    <rPh sb="3" eb="5">
      <t>ブブン</t>
    </rPh>
    <rPh sb="6" eb="8">
      <t>キュウトウ</t>
    </rPh>
    <rPh sb="9" eb="11">
      <t>ショウメイ</t>
    </rPh>
    <rPh sb="13" eb="15">
      <t>タイショウ</t>
    </rPh>
    <phoneticPr fontId="20"/>
  </si>
  <si>
    <t>③評価対象となる建物のエネルギー種別一次エネルギー構成比率（集合住宅除く）※</t>
    <rPh sb="1" eb="3">
      <t>ヒョウカ</t>
    </rPh>
    <rPh sb="3" eb="5">
      <t>タイショウ</t>
    </rPh>
    <rPh sb="8" eb="10">
      <t>タテモノ</t>
    </rPh>
    <rPh sb="16" eb="18">
      <t>シュベツ</t>
    </rPh>
    <rPh sb="18" eb="20">
      <t>イチジ</t>
    </rPh>
    <rPh sb="25" eb="27">
      <t>コウセイ</t>
    </rPh>
    <rPh sb="27" eb="29">
      <t>ヒリツ</t>
    </rPh>
    <rPh sb="30" eb="32">
      <t>シュウゴウ</t>
    </rPh>
    <rPh sb="32" eb="34">
      <t>ジュウタク</t>
    </rPh>
    <rPh sb="34" eb="35">
      <t>ノゾ</t>
    </rPh>
    <phoneticPr fontId="20"/>
  </si>
  <si>
    <t>その他</t>
    <rPh sb="2" eb="3">
      <t>ホカ</t>
    </rPh>
    <phoneticPr fontId="4"/>
  </si>
  <si>
    <t>　※運用CO2算定のための入力項目</t>
    <rPh sb="2" eb="4">
      <t>ウンヨウ</t>
    </rPh>
    <rPh sb="7" eb="9">
      <t>サンテイ</t>
    </rPh>
    <rPh sb="13" eb="15">
      <t>ニュウリョク</t>
    </rPh>
    <rPh sb="15" eb="17">
      <t>コウモク</t>
    </rPh>
    <phoneticPr fontId="20"/>
  </si>
  <si>
    <t>2)　除外部分の入力</t>
    <phoneticPr fontId="20"/>
  </si>
  <si>
    <t>対象部分の床面積(㎡)</t>
    <rPh sb="0" eb="2">
      <t>タイショウ</t>
    </rPh>
    <rPh sb="2" eb="4">
      <t>ブブン</t>
    </rPh>
    <rPh sb="5" eb="6">
      <t>ユカ</t>
    </rPh>
    <rPh sb="6" eb="8">
      <t>メンセキ</t>
    </rPh>
    <phoneticPr fontId="20"/>
  </si>
  <si>
    <t>※備考；　非住宅部分の延床面積</t>
    <rPh sb="1" eb="3">
      <t>ビコウ</t>
    </rPh>
    <rPh sb="5" eb="6">
      <t>ヒ</t>
    </rPh>
    <rPh sb="6" eb="8">
      <t>ジュウタク</t>
    </rPh>
    <rPh sb="8" eb="10">
      <t>ブブン</t>
    </rPh>
    <phoneticPr fontId="20"/>
  </si>
  <si>
    <t>境界値a</t>
    <phoneticPr fontId="20"/>
  </si>
  <si>
    <t>境界値b</t>
    <phoneticPr fontId="20"/>
  </si>
  <si>
    <t>ﾃﾞﾊﾟｰﾄ･ｽｰﾊﾟｰ</t>
  </si>
  <si>
    <t>ﾃﾞﾊﾟｰﾄ･ｽｰﾊﾟｰ</t>
    <phoneticPr fontId="20"/>
  </si>
  <si>
    <t>物販店</t>
    <phoneticPr fontId="20"/>
  </si>
  <si>
    <t>飲食店</t>
    <phoneticPr fontId="20"/>
  </si>
  <si>
    <t>ホテル</t>
    <phoneticPr fontId="20"/>
  </si>
  <si>
    <t>（メインシートより）</t>
    <phoneticPr fontId="20"/>
  </si>
  <si>
    <t>MJ/㎡年</t>
    <phoneticPr fontId="20"/>
  </si>
  <si>
    <t>a</t>
    <phoneticPr fontId="20"/>
  </si>
  <si>
    <t>b</t>
    <phoneticPr fontId="20"/>
  </si>
  <si>
    <t>c</t>
    <phoneticPr fontId="20"/>
  </si>
  <si>
    <t>d</t>
    <phoneticPr fontId="20"/>
  </si>
  <si>
    <t>e</t>
    <phoneticPr fontId="20"/>
  </si>
  <si>
    <t>f</t>
    <phoneticPr fontId="20"/>
  </si>
  <si>
    <t>g</t>
    <phoneticPr fontId="20"/>
  </si>
  <si>
    <t>ﾃﾞﾊﾟｰﾄ･ｽｰﾊﾟｰ</t>
    <phoneticPr fontId="20"/>
  </si>
  <si>
    <t>物販店</t>
    <phoneticPr fontId="20"/>
  </si>
  <si>
    <t>飲食店</t>
    <phoneticPr fontId="20"/>
  </si>
  <si>
    <t>ホテル</t>
    <phoneticPr fontId="20"/>
  </si>
  <si>
    <t>集合住宅</t>
    <phoneticPr fontId="20"/>
  </si>
  <si>
    <t>ｍ3/㎡</t>
    <phoneticPr fontId="20"/>
  </si>
  <si>
    <t>◆</t>
    <phoneticPr fontId="20"/>
  </si>
  <si>
    <t>N.A.</t>
    <phoneticPr fontId="20"/>
  </si>
  <si>
    <t>一次エネ消費量　GJ/年</t>
    <phoneticPr fontId="20"/>
  </si>
  <si>
    <r>
      <t>kg-CO</t>
    </r>
    <r>
      <rPr>
        <vertAlign val="subscript"/>
        <sz val="10"/>
        <rFont val="ＭＳ Ｐゴシック"/>
        <family val="3"/>
        <charset val="128"/>
      </rPr>
      <t>2</t>
    </r>
    <r>
      <rPr>
        <sz val="10"/>
        <rFont val="ＭＳ Ｐゴシック"/>
        <family val="3"/>
        <charset val="128"/>
      </rPr>
      <t>/MJ</t>
    </r>
    <phoneticPr fontId="20"/>
  </si>
  <si>
    <t>kg-CO2/MJ</t>
    <phoneticPr fontId="20"/>
  </si>
  <si>
    <t>改修後</t>
    <rPh sb="0" eb="2">
      <t>カイシュウ</t>
    </rPh>
    <rPh sb="2" eb="3">
      <t>ゴ</t>
    </rPh>
    <phoneticPr fontId="20"/>
  </si>
  <si>
    <t>評価建物</t>
    <rPh sb="0" eb="2">
      <t>ヒョウカ</t>
    </rPh>
    <rPh sb="2" eb="4">
      <t>タテモノ</t>
    </rPh>
    <phoneticPr fontId="20"/>
  </si>
  <si>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0"/>
  </si>
  <si>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0"/>
  </si>
  <si>
    <t>対象外</t>
    <rPh sb="0" eb="3">
      <t>タイショウガイ</t>
    </rPh>
    <phoneticPr fontId="20"/>
  </si>
  <si>
    <t>改修前</t>
    <rPh sb="0" eb="2">
      <t>カイシュウ</t>
    </rPh>
    <rPh sb="2" eb="3">
      <t>マエ</t>
    </rPh>
    <phoneticPr fontId="20"/>
  </si>
  <si>
    <t>改修後</t>
    <rPh sb="0" eb="2">
      <t>カイシュウ</t>
    </rPh>
    <rPh sb="2" eb="3">
      <t>ゴ</t>
    </rPh>
    <phoneticPr fontId="20"/>
  </si>
  <si>
    <t>評価建物のLR1の取り組みによる省エネルギー量から推計</t>
    <rPh sb="0" eb="2">
      <t>ヒョウカ</t>
    </rPh>
    <rPh sb="2" eb="4">
      <t>タテモノ</t>
    </rPh>
    <rPh sb="9" eb="10">
      <t>ト</t>
    </rPh>
    <rPh sb="11" eb="12">
      <t>ク</t>
    </rPh>
    <rPh sb="16" eb="17">
      <t>ショウ</t>
    </rPh>
    <rPh sb="22" eb="23">
      <t>リョウ</t>
    </rPh>
    <rPh sb="23" eb="24">
      <t>スイリョウ</t>
    </rPh>
    <rPh sb="25" eb="27">
      <t>スイケイ</t>
    </rPh>
    <phoneticPr fontId="20"/>
  </si>
  <si>
    <t>エネルギー消費量の実績値（工場用途は照明と給湯分）</t>
    <rPh sb="5" eb="8">
      <t>ショウヒリョウ</t>
    </rPh>
    <rPh sb="9" eb="11">
      <t>ジッセキ</t>
    </rPh>
    <rPh sb="11" eb="12">
      <t>チ</t>
    </rPh>
    <rPh sb="13" eb="15">
      <t>コウジョウ</t>
    </rPh>
    <rPh sb="15" eb="17">
      <t>ヨウト</t>
    </rPh>
    <rPh sb="18" eb="20">
      <t>ショウメイ</t>
    </rPh>
    <rPh sb="21" eb="23">
      <t>キュウトウ</t>
    </rPh>
    <rPh sb="23" eb="24">
      <t>ブン</t>
    </rPh>
    <phoneticPr fontId="20"/>
  </si>
  <si>
    <t>改修しない</t>
    <rPh sb="0" eb="2">
      <t>カイシュウ</t>
    </rPh>
    <phoneticPr fontId="20"/>
  </si>
  <si>
    <t>新築</t>
    <rPh sb="0" eb="2">
      <t>シンチク</t>
    </rPh>
    <phoneticPr fontId="20"/>
  </si>
  <si>
    <t>既存</t>
    <rPh sb="0" eb="2">
      <t>キソン</t>
    </rPh>
    <phoneticPr fontId="20"/>
  </si>
  <si>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0"/>
  </si>
  <si>
    <t>一次ｴﾈﾙｷﾞｰあたり　非住宅</t>
    <rPh sb="0" eb="2">
      <t>イチジ</t>
    </rPh>
    <rPh sb="12" eb="13">
      <t>ヒ</t>
    </rPh>
    <rPh sb="13" eb="15">
      <t>ジュウタク</t>
    </rPh>
    <phoneticPr fontId="20"/>
  </si>
  <si>
    <t>同上　　住宅（専有部）</t>
    <rPh sb="0" eb="2">
      <t>ドウジョウ</t>
    </rPh>
    <rPh sb="4" eb="6">
      <t>ジュウタク</t>
    </rPh>
    <rPh sb="7" eb="9">
      <t>センユウ</t>
    </rPh>
    <rPh sb="9" eb="10">
      <t>ブ</t>
    </rPh>
    <phoneticPr fontId="20"/>
  </si>
  <si>
    <r>
      <t>kg-CO</t>
    </r>
    <r>
      <rPr>
        <vertAlign val="subscript"/>
        <sz val="10"/>
        <rFont val="ＭＳ Ｐゴシック"/>
        <family val="3"/>
        <charset val="128"/>
      </rPr>
      <t>2</t>
    </r>
    <r>
      <rPr>
        <sz val="10"/>
        <rFont val="ＭＳ Ｐゴシック"/>
        <family val="3"/>
        <charset val="128"/>
      </rPr>
      <t>/ｋWh</t>
    </r>
    <phoneticPr fontId="20"/>
  </si>
  <si>
    <t>④上記+
　オフサイト手法</t>
    <phoneticPr fontId="20"/>
  </si>
  <si>
    <t>ratio</t>
    <phoneticPr fontId="20"/>
  </si>
  <si>
    <t>負荷変動・追従制御性</t>
    <phoneticPr fontId="20"/>
  </si>
  <si>
    <t>温度・湿度制御</t>
    <phoneticPr fontId="20"/>
  </si>
  <si>
    <t>時間外空調に対する配慮</t>
    <rPh sb="0" eb="3">
      <t>ジカンガイ</t>
    </rPh>
    <rPh sb="3" eb="5">
      <t>クウチョウ</t>
    </rPh>
    <rPh sb="6" eb="7">
      <t>タイ</t>
    </rPh>
    <rPh sb="9" eb="11">
      <t>ハイリョ</t>
    </rPh>
    <phoneticPr fontId="20"/>
  </si>
  <si>
    <t>照度</t>
    <rPh sb="0" eb="2">
      <t>ショウド</t>
    </rPh>
    <phoneticPr fontId="20"/>
  </si>
  <si>
    <t>照度均斉度</t>
    <rPh sb="0" eb="2">
      <t>ショウド</t>
    </rPh>
    <rPh sb="2" eb="3">
      <t>タモツ</t>
    </rPh>
    <rPh sb="3" eb="4">
      <t>サイ</t>
    </rPh>
    <rPh sb="4" eb="5">
      <t>タビ</t>
    </rPh>
    <phoneticPr fontId="20"/>
  </si>
  <si>
    <t>集合住宅以外の評価(3.1a. 3.1b)</t>
    <rPh sb="0" eb="2">
      <t>シュウゴウ</t>
    </rPh>
    <rPh sb="2" eb="4">
      <t>ジュウタク</t>
    </rPh>
    <rPh sb="4" eb="6">
      <t>イガイ</t>
    </rPh>
    <rPh sb="7" eb="9">
      <t>ヒョウカ</t>
    </rPh>
    <phoneticPr fontId="20"/>
  </si>
  <si>
    <t>集合住宅の評価(3.1c)</t>
    <rPh sb="0" eb="2">
      <t>シュウゴウ</t>
    </rPh>
    <rPh sb="2" eb="4">
      <t>ジュウタク</t>
    </rPh>
    <rPh sb="5" eb="7">
      <t>ヒョウカ</t>
    </rPh>
    <phoneticPr fontId="20"/>
  </si>
  <si>
    <t>実績値を用いた総合評価</t>
    <phoneticPr fontId="20"/>
  </si>
  <si>
    <t>集合住宅以外の評価</t>
    <rPh sb="0" eb="2">
      <t>ｼｭｳｺﾞｳ</t>
    </rPh>
    <rPh sb="2" eb="4">
      <t>ｼﾞｭｳﾀｸ</t>
    </rPh>
    <rPh sb="4" eb="6">
      <t>ｲｶﾞｲ</t>
    </rPh>
    <rPh sb="7" eb="9">
      <t>ﾋｮｳｶ</t>
    </rPh>
    <phoneticPr fontId="30" type="noConversion"/>
  </si>
  <si>
    <t>モニタリング</t>
    <phoneticPr fontId="20"/>
  </si>
  <si>
    <t>集合住宅の評価</t>
    <rPh sb="0" eb="2">
      <t>ｼｭｳｺﾞｳ</t>
    </rPh>
    <rPh sb="2" eb="4">
      <t>ｼﾞｭｳﾀｸ</t>
    </rPh>
    <rPh sb="5" eb="7">
      <t>ﾋｮｳｶ</t>
    </rPh>
    <phoneticPr fontId="30" type="noConversion"/>
  </si>
  <si>
    <t>躯体材料以外におけるリサイクル材の使用</t>
    <rPh sb="0" eb="2">
      <t>クタイ</t>
    </rPh>
    <rPh sb="2" eb="4">
      <t>ザイリョウ</t>
    </rPh>
    <rPh sb="4" eb="6">
      <t>イガイ</t>
    </rPh>
    <rPh sb="15" eb="16">
      <t>ザイ</t>
    </rPh>
    <rPh sb="17" eb="19">
      <t>シヨウ</t>
    </rPh>
    <phoneticPr fontId="21"/>
  </si>
  <si>
    <t>EB</t>
    <phoneticPr fontId="20"/>
  </si>
  <si>
    <t>建物外皮の熱負荷抑制</t>
  </si>
  <si>
    <t>自然エネルギー利用</t>
  </si>
  <si>
    <t>2.1</t>
  </si>
  <si>
    <t>2.2</t>
  </si>
  <si>
    <t>設備システムの高効率化</t>
  </si>
  <si>
    <t>3a.3b</t>
  </si>
  <si>
    <t>非住宅部分</t>
  </si>
  <si>
    <t>3b.c</t>
  </si>
  <si>
    <t>集合住宅の評価</t>
  </si>
  <si>
    <t>効率的運用</t>
  </si>
  <si>
    <t>住宅以外の評価</t>
  </si>
  <si>
    <t>4.1.1</t>
  </si>
  <si>
    <t>モニタリング</t>
  </si>
  <si>
    <t>4.1.2</t>
  </si>
  <si>
    <t>運用管理体制</t>
  </si>
  <si>
    <t>住宅の評価</t>
  </si>
  <si>
    <t>4.2.1</t>
  </si>
  <si>
    <t>住まい方の提示</t>
  </si>
  <si>
    <t>4.2.2</t>
  </si>
  <si>
    <t>2a</t>
  </si>
  <si>
    <t>2a</t>
    <phoneticPr fontId="20"/>
  </si>
  <si>
    <t>2b</t>
  </si>
  <si>
    <t>2b</t>
    <phoneticPr fontId="20"/>
  </si>
  <si>
    <t>2a</t>
    <phoneticPr fontId="20"/>
  </si>
  <si>
    <t>2b</t>
    <phoneticPr fontId="20"/>
  </si>
  <si>
    <t>LR1 2</t>
    <phoneticPr fontId="20"/>
  </si>
  <si>
    <t>小中学校・集合住宅</t>
  </si>
  <si>
    <t>上記以外</t>
  </si>
  <si>
    <t>８地域</t>
  </si>
  <si>
    <t xml:space="preserve"> 事務所、庁舎、郵便局 など</t>
    <rPh sb="1" eb="3">
      <t>ジム</t>
    </rPh>
    <rPh sb="3" eb="4">
      <t>ショ</t>
    </rPh>
    <rPh sb="5" eb="7">
      <t>チョウシャ</t>
    </rPh>
    <rPh sb="8" eb="11">
      <t>ユウビンキョク</t>
    </rPh>
    <phoneticPr fontId="20"/>
  </si>
  <si>
    <r>
      <t>kg-CO</t>
    </r>
    <r>
      <rPr>
        <vertAlign val="subscript"/>
        <sz val="10"/>
        <rFont val="ＭＳ Ｐゴシック"/>
        <family val="3"/>
        <charset val="128"/>
      </rPr>
      <t>2</t>
    </r>
    <r>
      <rPr>
        <sz val="10"/>
        <rFont val="ＭＳ Ｐゴシック"/>
        <family val="3"/>
        <charset val="128"/>
      </rPr>
      <t>/㎡</t>
    </r>
    <phoneticPr fontId="20"/>
  </si>
  <si>
    <t>○○</t>
  </si>
  <si>
    <t>新築</t>
    <rPh sb="0" eb="2">
      <t>シンチク</t>
    </rPh>
    <phoneticPr fontId="20"/>
  </si>
  <si>
    <t>既存</t>
    <rPh sb="0" eb="2">
      <t>キソン</t>
    </rPh>
    <phoneticPr fontId="20"/>
  </si>
  <si>
    <t>■算定プログラムを使わない場合の評価　 (以下の３カ所を必ず選択して下さい）</t>
    <rPh sb="1" eb="3">
      <t>ｻﾝﾃｲ</t>
    </rPh>
    <rPh sb="9" eb="10">
      <t>ﾂｶ</t>
    </rPh>
    <rPh sb="13" eb="15">
      <t>ﾊﾞｱｲ</t>
    </rPh>
    <rPh sb="16" eb="18">
      <t>ﾋｮｳｶ</t>
    </rPh>
    <rPh sb="21" eb="23">
      <t>ｲｶ</t>
    </rPh>
    <rPh sb="26" eb="27">
      <t>ｼｮ</t>
    </rPh>
    <rPh sb="28" eb="29">
      <t>ｶﾅﾗ</t>
    </rPh>
    <rPh sb="30" eb="32">
      <t>ｾﾝﾀｸ</t>
    </rPh>
    <rPh sb="34" eb="35">
      <t>ｸﾀﾞ</t>
    </rPh>
    <phoneticPr fontId="30" type="noConversion"/>
  </si>
  <si>
    <t>一部○○</t>
    <rPh sb="0" eb="2">
      <t>イチブ</t>
    </rPh>
    <phoneticPr fontId="20"/>
  </si>
  <si>
    <t>③ ラベル表示の実施</t>
    <rPh sb="5" eb="7">
      <t>ヒョウジ</t>
    </rPh>
    <rPh sb="8" eb="10">
      <t>ジッシ</t>
    </rPh>
    <phoneticPr fontId="20"/>
  </si>
  <si>
    <t>無</t>
  </si>
  <si>
    <t>④ 公表番号</t>
    <rPh sb="2" eb="4">
      <t>コウヒョウ</t>
    </rPh>
    <rPh sb="4" eb="6">
      <t>バンゴウ</t>
    </rPh>
    <phoneticPr fontId="20"/>
  </si>
  <si>
    <r>
      <t xml:space="preserve">■ </t>
    </r>
    <r>
      <rPr>
        <sz val="10"/>
        <rFont val="ＭＳ Ｐゴシック"/>
        <family val="3"/>
        <charset val="128"/>
      </rPr>
      <t>建築主</t>
    </r>
    <rPh sb="2" eb="4">
      <t>ケンチク</t>
    </rPh>
    <rPh sb="4" eb="5">
      <t>ヌシ</t>
    </rPh>
    <phoneticPr fontId="20"/>
  </si>
  <si>
    <t>○○○㈱</t>
    <phoneticPr fontId="20"/>
  </si>
  <si>
    <t>　　　　　　住所</t>
    <rPh sb="6" eb="8">
      <t>ジュウショ</t>
    </rPh>
    <phoneticPr fontId="20"/>
  </si>
  <si>
    <t>大阪市○○区○-○ｰ○</t>
    <rPh sb="0" eb="3">
      <t>オオサカシ</t>
    </rPh>
    <rPh sb="5" eb="6">
      <t>ク</t>
    </rPh>
    <phoneticPr fontId="20"/>
  </si>
  <si>
    <r>
      <t xml:space="preserve">■ </t>
    </r>
    <r>
      <rPr>
        <sz val="9"/>
        <color indexed="8"/>
        <rFont val="ＭＳ Ｐゴシック"/>
        <family val="3"/>
        <charset val="128"/>
      </rPr>
      <t>設計者</t>
    </r>
    <rPh sb="2" eb="5">
      <t>セッケイシャ</t>
    </rPh>
    <phoneticPr fontId="20"/>
  </si>
  <si>
    <t>㈱○○○設計</t>
    <rPh sb="4" eb="6">
      <t>セッケイ</t>
    </rPh>
    <phoneticPr fontId="20"/>
  </si>
  <si>
    <t>●計画概要（改修前）</t>
    <rPh sb="1" eb="3">
      <t>ケイカク</t>
    </rPh>
    <rPh sb="3" eb="5">
      <t>ガイヨウ</t>
    </rPh>
    <rPh sb="6" eb="8">
      <t>カイシュウ</t>
    </rPh>
    <rPh sb="8" eb="9">
      <t>マエ</t>
    </rPh>
    <phoneticPr fontId="20"/>
  </si>
  <si>
    <t>●計画概要（改修後）</t>
    <rPh sb="1" eb="3">
      <t>ｹｲｶｸ</t>
    </rPh>
    <rPh sb="3" eb="5">
      <t>ｶﾞｲﾖｳ</t>
    </rPh>
    <rPh sb="6" eb="8">
      <t>ｶｲｼｭｳ</t>
    </rPh>
    <rPh sb="8" eb="9">
      <t>ｺﾞ</t>
    </rPh>
    <phoneticPr fontId="30" type="noConversion"/>
  </si>
  <si>
    <t>●計画概要（前後比較）</t>
    <phoneticPr fontId="30" type="noConversion"/>
  </si>
  <si>
    <t>●LCCO2計算</t>
    <phoneticPr fontId="30" type="noConversion"/>
  </si>
  <si>
    <t>改修前外観パース入力</t>
    <rPh sb="0" eb="2">
      <t>カイシュウ</t>
    </rPh>
    <rPh sb="2" eb="3">
      <t>マエ</t>
    </rPh>
    <rPh sb="3" eb="5">
      <t>ガイカン</t>
    </rPh>
    <rPh sb="8" eb="10">
      <t>ニュウリョク</t>
    </rPh>
    <phoneticPr fontId="20"/>
  </si>
  <si>
    <r>
      <t>改修後</t>
    </r>
    <r>
      <rPr>
        <b/>
        <sz val="18"/>
        <rFont val="ＭＳ Ｐゴシック"/>
        <family val="3"/>
        <charset val="128"/>
      </rPr>
      <t>外観パース入力</t>
    </r>
    <rPh sb="0" eb="2">
      <t>カイシュウ</t>
    </rPh>
    <rPh sb="2" eb="3">
      <t>ゴ</t>
    </rPh>
    <rPh sb="3" eb="5">
      <t>ガイカン</t>
    </rPh>
    <rPh sb="8" eb="10">
      <t>ニュウリョク</t>
    </rPh>
    <phoneticPr fontId="20"/>
  </si>
  <si>
    <r>
      <t>下の枠内に</t>
    </r>
    <r>
      <rPr>
        <b/>
        <sz val="11"/>
        <rFont val="ＭＳ Ｐゴシック"/>
        <family val="3"/>
        <charset val="128"/>
      </rPr>
      <t>改修前</t>
    </r>
    <r>
      <rPr>
        <sz val="11"/>
        <rFont val="ＭＳ Ｐゴシック"/>
        <family val="3"/>
        <charset val="128"/>
      </rPr>
      <t>外観パースを中心に張付けてください</t>
    </r>
    <rPh sb="0" eb="1">
      <t>シタ</t>
    </rPh>
    <rPh sb="2" eb="4">
      <t>ワクナイ</t>
    </rPh>
    <rPh sb="5" eb="7">
      <t>カイシュウ</t>
    </rPh>
    <rPh sb="7" eb="8">
      <t>マエ</t>
    </rPh>
    <rPh sb="8" eb="10">
      <t>ガイカン</t>
    </rPh>
    <rPh sb="14" eb="16">
      <t>チュウシン</t>
    </rPh>
    <rPh sb="17" eb="19">
      <t>ハリツ</t>
    </rPh>
    <phoneticPr fontId="20"/>
  </si>
  <si>
    <r>
      <t>下の枠内に</t>
    </r>
    <r>
      <rPr>
        <b/>
        <sz val="11"/>
        <color indexed="10"/>
        <rFont val="ＭＳ Ｐゴシック"/>
        <family val="3"/>
        <charset val="128"/>
      </rPr>
      <t>改修後</t>
    </r>
    <r>
      <rPr>
        <sz val="11"/>
        <rFont val="ＭＳ Ｐゴシック"/>
        <family val="3"/>
        <charset val="128"/>
      </rPr>
      <t>外観パースを中心に張付けてください</t>
    </r>
    <rPh sb="0" eb="1">
      <t>シタ</t>
    </rPh>
    <rPh sb="2" eb="4">
      <t>ワクナイ</t>
    </rPh>
    <rPh sb="5" eb="7">
      <t>カイシュウ</t>
    </rPh>
    <rPh sb="7" eb="8">
      <t>ゴ</t>
    </rPh>
    <rPh sb="8" eb="10">
      <t>ガイカン</t>
    </rPh>
    <rPh sb="14" eb="16">
      <t>チュウシン</t>
    </rPh>
    <rPh sb="17" eb="19">
      <t>ハリツ</t>
    </rPh>
    <phoneticPr fontId="20"/>
  </si>
  <si>
    <t>改修前外観パース図</t>
    <rPh sb="0" eb="2">
      <t>カイシュウ</t>
    </rPh>
    <rPh sb="2" eb="3">
      <t>マエ</t>
    </rPh>
    <rPh sb="3" eb="5">
      <t>ガイカン</t>
    </rPh>
    <rPh sb="8" eb="9">
      <t>ズ</t>
    </rPh>
    <phoneticPr fontId="20"/>
  </si>
  <si>
    <t>改修後外観パース図</t>
    <rPh sb="0" eb="2">
      <t>カイシュウ</t>
    </rPh>
    <rPh sb="2" eb="3">
      <t>ゴ</t>
    </rPh>
    <rPh sb="3" eb="5">
      <t>ガイカン</t>
    </rPh>
    <rPh sb="8" eb="9">
      <t>ズ</t>
    </rPh>
    <phoneticPr fontId="20"/>
  </si>
  <si>
    <t>←</t>
    <phoneticPr fontId="20"/>
  </si>
  <si>
    <t>BEE rank</t>
    <phoneticPr fontId="20"/>
  </si>
  <si>
    <t>radar chart</t>
    <phoneticPr fontId="20"/>
  </si>
  <si>
    <t>SQ</t>
    <phoneticPr fontId="20"/>
  </si>
  <si>
    <t>background</t>
    <phoneticPr fontId="20"/>
  </si>
  <si>
    <t>Score(RoundDown)</t>
    <phoneticPr fontId="20"/>
  </si>
  <si>
    <t>std</t>
    <phoneticPr fontId="20"/>
  </si>
  <si>
    <t>SLR</t>
    <phoneticPr fontId="20"/>
  </si>
  <si>
    <t>Q2</t>
    <phoneticPr fontId="20"/>
  </si>
  <si>
    <t>Q2 サービス性能</t>
    <phoneticPr fontId="20"/>
  </si>
  <si>
    <t>Q</t>
    <phoneticPr fontId="20"/>
  </si>
  <si>
    <t>Q3</t>
    <phoneticPr fontId="20"/>
  </si>
  <si>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0"/>
  </si>
  <si>
    <t>建築主</t>
    <rPh sb="0" eb="2">
      <t>ｹﾝﾁｸ</t>
    </rPh>
    <rPh sb="2" eb="3">
      <t>ﾇｼ</t>
    </rPh>
    <phoneticPr fontId="30" type="noConversion"/>
  </si>
  <si>
    <t>L</t>
    <phoneticPr fontId="20"/>
  </si>
  <si>
    <t>LR3</t>
    <phoneticPr fontId="20"/>
  </si>
  <si>
    <t>設計者</t>
    <rPh sb="0" eb="3">
      <t>ｾｯｹｲｼｬ</t>
    </rPh>
    <phoneticPr fontId="30" type="noConversion"/>
  </si>
  <si>
    <t>BEE</t>
    <phoneticPr fontId="20"/>
  </si>
  <si>
    <t>LR2</t>
    <phoneticPr fontId="20"/>
  </si>
  <si>
    <t>㎡</t>
    <phoneticPr fontId="30" type="noConversion"/>
  </si>
  <si>
    <t>BEE(Round)</t>
    <phoneticPr fontId="20"/>
  </si>
  <si>
    <t>LR1</t>
    <phoneticPr fontId="20"/>
  </si>
  <si>
    <t>LR1 
エネルギー</t>
    <phoneticPr fontId="20"/>
  </si>
  <si>
    <t>Q1</t>
    <phoneticPr fontId="20"/>
  </si>
  <si>
    <r>
      <t>Q1</t>
    </r>
    <r>
      <rPr>
        <sz val="11"/>
        <rFont val="ＭＳ Ｐゴシック"/>
        <family val="3"/>
        <charset val="128"/>
      </rPr>
      <t>　
室内環境</t>
    </r>
    <rPh sb="4" eb="6">
      <t>シツナイ</t>
    </rPh>
    <rPh sb="6" eb="8">
      <t>カンキョウ</t>
    </rPh>
    <phoneticPr fontId="20"/>
  </si>
  <si>
    <t>Rank(red star)</t>
    <phoneticPr fontId="20"/>
  </si>
  <si>
    <t>構造</t>
    <rPh sb="0" eb="2">
      <t>ｺｳｿﾞｳ</t>
    </rPh>
    <phoneticPr fontId="30" type="noConversion"/>
  </si>
  <si>
    <t>(blank star)</t>
    <phoneticPr fontId="20"/>
  </si>
  <si>
    <t>階数</t>
    <rPh sb="0" eb="2">
      <t>ｶｲｽｳ</t>
    </rPh>
    <phoneticPr fontId="30" type="noConversion"/>
  </si>
  <si>
    <t>経過年数</t>
    <rPh sb="0" eb="2">
      <t>ｹｲｶ</t>
    </rPh>
    <rPh sb="2" eb="4">
      <t>ﾈﾝｽｳ</t>
    </rPh>
    <phoneticPr fontId="30" type="noConversion"/>
  </si>
  <si>
    <r>
      <t>BEE</t>
    </r>
    <r>
      <rPr>
        <sz val="11"/>
        <rFont val="ＭＳ Ｐゴシック"/>
        <family val="3"/>
        <charset val="128"/>
      </rPr>
      <t>グラフ</t>
    </r>
    <phoneticPr fontId="20"/>
  </si>
  <si>
    <r>
      <t>BEE</t>
    </r>
    <r>
      <rPr>
        <sz val="11"/>
        <rFont val="ＭＳ Ｐゴシック"/>
        <family val="3"/>
        <charset val="128"/>
      </rPr>
      <t>の分母側</t>
    </r>
    <r>
      <rPr>
        <sz val="11"/>
        <rFont val="Arial"/>
        <family val="2"/>
      </rPr>
      <t>(L)</t>
    </r>
    <rPh sb="4" eb="6">
      <t>ブンボ</t>
    </rPh>
    <rPh sb="6" eb="7">
      <t>ガワ</t>
    </rPh>
    <phoneticPr fontId="20"/>
  </si>
  <si>
    <r>
      <t>BEE</t>
    </r>
    <r>
      <rPr>
        <sz val="11"/>
        <rFont val="ＭＳ Ｐゴシック"/>
        <family val="3"/>
        <charset val="128"/>
      </rPr>
      <t>の分子側</t>
    </r>
    <r>
      <rPr>
        <sz val="11"/>
        <rFont val="Arial"/>
        <family val="2"/>
      </rPr>
      <t>(Q)</t>
    </r>
    <rPh sb="4" eb="6">
      <t>ブンシ</t>
    </rPh>
    <rPh sb="6" eb="7">
      <t>ガワ</t>
    </rPh>
    <phoneticPr fontId="20"/>
  </si>
  <si>
    <t>X</t>
    <phoneticPr fontId="20"/>
  </si>
  <si>
    <t>S</t>
    <phoneticPr fontId="20"/>
  </si>
  <si>
    <t>A</t>
    <phoneticPr fontId="20"/>
  </si>
  <si>
    <t>B+</t>
    <phoneticPr fontId="20"/>
  </si>
  <si>
    <t>B</t>
    <phoneticPr fontId="20"/>
  </si>
  <si>
    <t>B-</t>
    <phoneticPr fontId="20"/>
  </si>
  <si>
    <t>Rank(green star)</t>
    <phoneticPr fontId="20"/>
  </si>
  <si>
    <t xml:space="preserve"> ④上記+
　オフサイト手法</t>
    <phoneticPr fontId="20"/>
  </si>
  <si>
    <t>(blank star)</t>
    <phoneticPr fontId="20"/>
  </si>
  <si>
    <t>※個別計算</t>
    <phoneticPr fontId="20"/>
  </si>
  <si>
    <t>ラベル表示</t>
    <rPh sb="3" eb="5">
      <t>ヒョウジ</t>
    </rPh>
    <phoneticPr fontId="20"/>
  </si>
  <si>
    <t>LCCO2(kg-CO2/ym2)</t>
    <phoneticPr fontId="20"/>
  </si>
  <si>
    <t>オンサイト</t>
    <phoneticPr fontId="20"/>
  </si>
  <si>
    <t>オフサイト</t>
    <phoneticPr fontId="20"/>
  </si>
  <si>
    <t>％</t>
    <phoneticPr fontId="20"/>
  </si>
  <si>
    <t>Sum</t>
    <phoneticPr fontId="20"/>
  </si>
  <si>
    <r>
      <t>2-4</t>
    </r>
    <r>
      <rPr>
        <b/>
        <sz val="12"/>
        <color indexed="9"/>
        <rFont val="ＭＳ Ｐゴシック"/>
        <family val="3"/>
        <charset val="128"/>
      </rPr>
      <t>　中項目の評価（バーチャート）</t>
    </r>
    <phoneticPr fontId="20"/>
  </si>
  <si>
    <t>Ref</t>
    <phoneticPr fontId="20"/>
  </si>
  <si>
    <r>
      <t>Q</t>
    </r>
    <r>
      <rPr>
        <b/>
        <i/>
        <sz val="14"/>
        <color indexed="9"/>
        <rFont val="ＭＳ Ｐゴシック"/>
        <family val="3"/>
        <charset val="128"/>
      </rPr>
      <t>のスコア</t>
    </r>
    <r>
      <rPr>
        <b/>
        <i/>
        <sz val="14"/>
        <color indexed="9"/>
        <rFont val="Arial"/>
        <family val="2"/>
      </rPr>
      <t>=</t>
    </r>
    <phoneticPr fontId="20"/>
  </si>
  <si>
    <t>Subjest1</t>
    <phoneticPr fontId="20"/>
  </si>
  <si>
    <t>N.A.</t>
    <phoneticPr fontId="20"/>
  </si>
  <si>
    <t>Subjest2</t>
    <phoneticPr fontId="20"/>
  </si>
  <si>
    <t>Subjest3</t>
    <phoneticPr fontId="20"/>
  </si>
  <si>
    <t>Score(RoundDown)</t>
    <phoneticPr fontId="20"/>
  </si>
  <si>
    <t>Score</t>
    <phoneticPr fontId="20"/>
  </si>
  <si>
    <t>Score(RoundDown)</t>
    <phoneticPr fontId="20"/>
  </si>
  <si>
    <r>
      <t>Q-1</t>
    </r>
    <r>
      <rPr>
        <sz val="11"/>
        <rFont val="ＭＳ Ｐゴシック"/>
        <family val="3"/>
        <charset val="128"/>
      </rPr>
      <t>　室内環境</t>
    </r>
    <rPh sb="4" eb="6">
      <t>シツナイ</t>
    </rPh>
    <rPh sb="6" eb="8">
      <t>カンキョウ</t>
    </rPh>
    <phoneticPr fontId="20"/>
  </si>
  <si>
    <t>Q-2 サービス性能</t>
    <phoneticPr fontId="20"/>
  </si>
  <si>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0"/>
  </si>
  <si>
    <t>Score(RoundDown)</t>
    <phoneticPr fontId="20"/>
  </si>
  <si>
    <t>NA</t>
    <phoneticPr fontId="20"/>
  </si>
  <si>
    <t>まちなみ景観</t>
    <phoneticPr fontId="20"/>
  </si>
  <si>
    <r>
      <t>LR</t>
    </r>
    <r>
      <rPr>
        <b/>
        <sz val="11"/>
        <color indexed="42"/>
        <rFont val="ＭＳ Ｐゴシック"/>
        <family val="3"/>
        <charset val="128"/>
      </rPr>
      <t>　環境負荷低減性</t>
    </r>
    <phoneticPr fontId="20"/>
  </si>
  <si>
    <r>
      <t>LR</t>
    </r>
    <r>
      <rPr>
        <b/>
        <i/>
        <sz val="14"/>
        <color indexed="9"/>
        <rFont val="ＭＳ Ｐゴシック"/>
        <family val="3"/>
        <charset val="128"/>
      </rPr>
      <t>のスコア</t>
    </r>
    <r>
      <rPr>
        <b/>
        <i/>
        <sz val="14"/>
        <color indexed="9"/>
        <rFont val="Arial"/>
        <family val="2"/>
      </rPr>
      <t>=</t>
    </r>
    <phoneticPr fontId="20"/>
  </si>
  <si>
    <t>Score</t>
    <phoneticPr fontId="20"/>
  </si>
  <si>
    <t>LR-1 エネルギー</t>
    <phoneticPr fontId="20"/>
  </si>
  <si>
    <t>＜実施設計段階、竣工段階で詳細な評価を行う場合に記入＞</t>
    <phoneticPr fontId="20"/>
  </si>
  <si>
    <t>%</t>
    <phoneticPr fontId="20"/>
  </si>
  <si>
    <t>Quality</t>
    <phoneticPr fontId="20"/>
  </si>
  <si>
    <r>
      <t>L</t>
    </r>
    <r>
      <rPr>
        <sz val="8"/>
        <color indexed="10"/>
        <rFont val="ＭＳ Ｐゴシック"/>
        <family val="3"/>
        <charset val="128"/>
      </rPr>
      <t>：</t>
    </r>
    <r>
      <rPr>
        <sz val="8"/>
        <color indexed="10"/>
        <rFont val="Arial"/>
        <family val="2"/>
      </rPr>
      <t>Load</t>
    </r>
    <phoneticPr fontId="20"/>
  </si>
  <si>
    <r>
      <t>LR</t>
    </r>
    <r>
      <rPr>
        <sz val="8"/>
        <color indexed="10"/>
        <rFont val="ＭＳ Ｐゴシック"/>
        <family val="3"/>
        <charset val="128"/>
      </rPr>
      <t>：</t>
    </r>
    <r>
      <rPr>
        <sz val="8"/>
        <color indexed="10"/>
        <rFont val="Arial"/>
        <family val="2"/>
      </rPr>
      <t>Load Reduction</t>
    </r>
    <phoneticPr fontId="20"/>
  </si>
  <si>
    <r>
      <t>SQ</t>
    </r>
    <r>
      <rPr>
        <sz val="8"/>
        <color indexed="10"/>
        <rFont val="ＭＳ Ｐゴシック"/>
        <family val="3"/>
        <charset val="128"/>
      </rPr>
      <t>：</t>
    </r>
    <r>
      <rPr>
        <sz val="8"/>
        <color indexed="10"/>
        <rFont val="Arial"/>
        <family val="2"/>
      </rPr>
      <t>Score of Q category</t>
    </r>
    <phoneticPr fontId="20"/>
  </si>
  <si>
    <r>
      <t>SLR</t>
    </r>
    <r>
      <rPr>
        <sz val="8"/>
        <color indexed="10"/>
        <rFont val="ＭＳ Ｐゴシック"/>
        <family val="3"/>
        <charset val="128"/>
      </rPr>
      <t>：</t>
    </r>
    <r>
      <rPr>
        <sz val="8"/>
        <color indexed="10"/>
        <rFont val="Arial"/>
        <family val="2"/>
      </rPr>
      <t>Score of LR category</t>
    </r>
    <phoneticPr fontId="20"/>
  </si>
  <si>
    <r>
      <t>BEE</t>
    </r>
    <r>
      <rPr>
        <sz val="8"/>
        <color indexed="10"/>
        <rFont val="ＭＳ Ｐゴシック"/>
        <family val="3"/>
        <charset val="128"/>
      </rPr>
      <t>：</t>
    </r>
    <r>
      <rPr>
        <sz val="8"/>
        <color indexed="10"/>
        <rFont val="Arial"/>
        <family val="2"/>
      </rPr>
      <t>Building Environmental Efficiency</t>
    </r>
    <phoneticPr fontId="20"/>
  </si>
  <si>
    <t>(3)の評価はオプションとし、実施設計段階および竣工段階で可能な範囲で記入する。</t>
    <phoneticPr fontId="20"/>
  </si>
  <si>
    <t>SLR</t>
    <phoneticPr fontId="20"/>
  </si>
  <si>
    <t>Q</t>
    <phoneticPr fontId="20"/>
  </si>
  <si>
    <t>Q3</t>
    <phoneticPr fontId="20"/>
  </si>
  <si>
    <t>敷地面積</t>
    <rPh sb="0" eb="2">
      <t>シキチ</t>
    </rPh>
    <rPh sb="2" eb="4">
      <t>メンセキ</t>
    </rPh>
    <phoneticPr fontId="20"/>
  </si>
  <si>
    <t>㎡</t>
    <phoneticPr fontId="30" type="noConversion"/>
  </si>
  <si>
    <t>L</t>
    <phoneticPr fontId="20"/>
  </si>
  <si>
    <t>LR3</t>
    <phoneticPr fontId="20"/>
  </si>
  <si>
    <t>建築面積</t>
    <rPh sb="0" eb="2">
      <t>ケンチク</t>
    </rPh>
    <rPh sb="2" eb="4">
      <t>メンセキ</t>
    </rPh>
    <phoneticPr fontId="20"/>
  </si>
  <si>
    <t>BEE</t>
    <phoneticPr fontId="20"/>
  </si>
  <si>
    <t>LR2</t>
    <phoneticPr fontId="20"/>
  </si>
  <si>
    <t>述床面積</t>
    <rPh sb="0" eb="1">
      <t>ノ</t>
    </rPh>
    <rPh sb="1" eb="4">
      <t>ユカメンセキ</t>
    </rPh>
    <phoneticPr fontId="20"/>
  </si>
  <si>
    <t>BEE(Round)</t>
    <phoneticPr fontId="20"/>
  </si>
  <si>
    <t>LR1</t>
    <phoneticPr fontId="20"/>
  </si>
  <si>
    <t>LR1 
エネルギー</t>
    <phoneticPr fontId="20"/>
  </si>
  <si>
    <t>Q1</t>
    <phoneticPr fontId="20"/>
  </si>
  <si>
    <t>Rank(red star)</t>
    <phoneticPr fontId="20"/>
  </si>
  <si>
    <t>(blank star)</t>
    <phoneticPr fontId="20"/>
  </si>
  <si>
    <r>
      <t>BEE</t>
    </r>
    <r>
      <rPr>
        <sz val="11"/>
        <rFont val="ＭＳ Ｐゴシック"/>
        <family val="3"/>
        <charset val="128"/>
      </rPr>
      <t>グラフ</t>
    </r>
    <phoneticPr fontId="20"/>
  </si>
  <si>
    <t>BEE</t>
    <phoneticPr fontId="20"/>
  </si>
  <si>
    <t>X</t>
    <phoneticPr fontId="20"/>
  </si>
  <si>
    <t>S</t>
    <phoneticPr fontId="20"/>
  </si>
  <si>
    <t>A</t>
    <phoneticPr fontId="20"/>
  </si>
  <si>
    <t>B+</t>
    <phoneticPr fontId="20"/>
  </si>
  <si>
    <t>B</t>
    <phoneticPr fontId="20"/>
  </si>
  <si>
    <t>B-</t>
    <phoneticPr fontId="20"/>
  </si>
  <si>
    <t>Rank(green star)</t>
    <phoneticPr fontId="20"/>
  </si>
  <si>
    <t>※個別計算</t>
    <phoneticPr fontId="20"/>
  </si>
  <si>
    <t>LCCO2(kg-CO2/ym2)</t>
    <phoneticPr fontId="20"/>
  </si>
  <si>
    <t>オンサイト</t>
    <phoneticPr fontId="20"/>
  </si>
  <si>
    <t>オフサイト</t>
    <phoneticPr fontId="20"/>
  </si>
  <si>
    <t>Sum</t>
    <phoneticPr fontId="20"/>
  </si>
  <si>
    <r>
      <t>2-4</t>
    </r>
    <r>
      <rPr>
        <b/>
        <sz val="12"/>
        <color indexed="9"/>
        <rFont val="ＭＳ Ｐゴシック"/>
        <family val="3"/>
        <charset val="128"/>
      </rPr>
      <t>　中項目の評価（バーチャート）</t>
    </r>
    <phoneticPr fontId="20"/>
  </si>
  <si>
    <t>Ref</t>
    <phoneticPr fontId="20"/>
  </si>
  <si>
    <t>Subjest1</t>
    <phoneticPr fontId="20"/>
  </si>
  <si>
    <t>Subjest2</t>
    <phoneticPr fontId="20"/>
  </si>
  <si>
    <t>Subjest3</t>
    <phoneticPr fontId="20"/>
  </si>
  <si>
    <t>Q-2 サービス性能</t>
    <phoneticPr fontId="20"/>
  </si>
  <si>
    <t>Score(RoundDown)</t>
    <phoneticPr fontId="20"/>
  </si>
  <si>
    <t>NA</t>
    <phoneticPr fontId="20"/>
  </si>
  <si>
    <t>まちなみ景観</t>
    <phoneticPr fontId="20"/>
  </si>
  <si>
    <r>
      <t>LR</t>
    </r>
    <r>
      <rPr>
        <b/>
        <sz val="11"/>
        <color indexed="42"/>
        <rFont val="ＭＳ Ｐゴシック"/>
        <family val="3"/>
        <charset val="128"/>
      </rPr>
      <t>　環境負荷低減性</t>
    </r>
    <phoneticPr fontId="20"/>
  </si>
  <si>
    <r>
      <t>LR</t>
    </r>
    <r>
      <rPr>
        <b/>
        <i/>
        <sz val="14"/>
        <color indexed="9"/>
        <rFont val="ＭＳ Ｐゴシック"/>
        <family val="3"/>
        <charset val="128"/>
      </rPr>
      <t>のスコア</t>
    </r>
    <r>
      <rPr>
        <b/>
        <i/>
        <sz val="14"/>
        <color indexed="9"/>
        <rFont val="Arial"/>
        <family val="2"/>
      </rPr>
      <t>=</t>
    </r>
    <phoneticPr fontId="20"/>
  </si>
  <si>
    <t>LR-1 エネルギー</t>
    <phoneticPr fontId="20"/>
  </si>
  <si>
    <t>NA</t>
    <phoneticPr fontId="20"/>
  </si>
  <si>
    <t>＜実施設計段階、竣工段階で詳細な評価を行う場合に記入＞</t>
    <phoneticPr fontId="20"/>
  </si>
  <si>
    <t>%</t>
    <phoneticPr fontId="20"/>
  </si>
  <si>
    <t>Quality</t>
    <phoneticPr fontId="20"/>
  </si>
  <si>
    <r>
      <t>L</t>
    </r>
    <r>
      <rPr>
        <sz val="8"/>
        <color indexed="10"/>
        <rFont val="ＭＳ Ｐゴシック"/>
        <family val="3"/>
        <charset val="128"/>
      </rPr>
      <t>：</t>
    </r>
    <r>
      <rPr>
        <sz val="8"/>
        <color indexed="10"/>
        <rFont val="Arial"/>
        <family val="2"/>
      </rPr>
      <t>Load</t>
    </r>
    <phoneticPr fontId="20"/>
  </si>
  <si>
    <r>
      <t>LR</t>
    </r>
    <r>
      <rPr>
        <sz val="8"/>
        <color indexed="10"/>
        <rFont val="ＭＳ Ｐゴシック"/>
        <family val="3"/>
        <charset val="128"/>
      </rPr>
      <t>：</t>
    </r>
    <r>
      <rPr>
        <sz val="8"/>
        <color indexed="10"/>
        <rFont val="Arial"/>
        <family val="2"/>
      </rPr>
      <t>Load Reduction</t>
    </r>
    <phoneticPr fontId="20"/>
  </si>
  <si>
    <r>
      <t>SQ</t>
    </r>
    <r>
      <rPr>
        <sz val="8"/>
        <color indexed="10"/>
        <rFont val="ＭＳ Ｐゴシック"/>
        <family val="3"/>
        <charset val="128"/>
      </rPr>
      <t>：</t>
    </r>
    <r>
      <rPr>
        <sz val="8"/>
        <color indexed="10"/>
        <rFont val="Arial"/>
        <family val="2"/>
      </rPr>
      <t>Score of Q category</t>
    </r>
    <phoneticPr fontId="20"/>
  </si>
  <si>
    <r>
      <t>SLR</t>
    </r>
    <r>
      <rPr>
        <sz val="8"/>
        <color indexed="10"/>
        <rFont val="ＭＳ Ｐゴシック"/>
        <family val="3"/>
        <charset val="128"/>
      </rPr>
      <t>：</t>
    </r>
    <r>
      <rPr>
        <sz val="8"/>
        <color indexed="10"/>
        <rFont val="Arial"/>
        <family val="2"/>
      </rPr>
      <t>Score of LR category</t>
    </r>
    <phoneticPr fontId="20"/>
  </si>
  <si>
    <r>
      <t>BEE</t>
    </r>
    <r>
      <rPr>
        <sz val="8"/>
        <color indexed="10"/>
        <rFont val="ＭＳ Ｐゴシック"/>
        <family val="3"/>
        <charset val="128"/>
      </rPr>
      <t>：</t>
    </r>
    <r>
      <rPr>
        <sz val="8"/>
        <color indexed="10"/>
        <rFont val="Arial"/>
        <family val="2"/>
      </rPr>
      <t>Building Environmental Efficiency</t>
    </r>
    <phoneticPr fontId="20"/>
  </si>
  <si>
    <t>(3)の評価はオプションとし、実施設計段階および竣工段階で可能な範囲で記入する。</t>
    <phoneticPr fontId="20"/>
  </si>
  <si>
    <t>総合評価BEE</t>
    <phoneticPr fontId="20"/>
  </si>
  <si>
    <t>（改修後）  =</t>
    <rPh sb="1" eb="3">
      <t>カイシュウ</t>
    </rPh>
    <rPh sb="3" eb="4">
      <t>ゴ</t>
    </rPh>
    <phoneticPr fontId="20"/>
  </si>
  <si>
    <t xml:space="preserve">                          環境性能</t>
  </si>
  <si>
    <t>評価点</t>
    <rPh sb="0" eb="3">
      <t>ヒョウカテン</t>
    </rPh>
    <phoneticPr fontId="20"/>
  </si>
  <si>
    <t>（1）CO2削減</t>
    <rPh sb="6" eb="8">
      <t>サクゲン</t>
    </rPh>
    <phoneticPr fontId="20"/>
  </si>
  <si>
    <t>CO2削減に配慮した環境性能</t>
    <rPh sb="3" eb="5">
      <t>サクゲン</t>
    </rPh>
    <rPh sb="6" eb="8">
      <t>ハイリョ</t>
    </rPh>
    <rPh sb="10" eb="12">
      <t>カンキョウ</t>
    </rPh>
    <rPh sb="12" eb="14">
      <t>セイノウ</t>
    </rPh>
    <phoneticPr fontId="20"/>
  </si>
  <si>
    <t>概要記入欄</t>
    <rPh sb="0" eb="2">
      <t>ガイヨウ</t>
    </rPh>
    <rPh sb="2" eb="4">
      <t>キニュウ</t>
    </rPh>
    <rPh sb="4" eb="5">
      <t>ラン</t>
    </rPh>
    <phoneticPr fontId="20"/>
  </si>
  <si>
    <t>　</t>
    <phoneticPr fontId="20"/>
  </si>
  <si>
    <t>重み係数（小項目）</t>
    <rPh sb="0" eb="1">
      <t>オモ</t>
    </rPh>
    <rPh sb="2" eb="4">
      <t>ケイスウ</t>
    </rPh>
    <rPh sb="5" eb="6">
      <t>ショウ</t>
    </rPh>
    <rPh sb="6" eb="8">
      <t>コウモク</t>
    </rPh>
    <phoneticPr fontId="20"/>
  </si>
  <si>
    <t>重み係数（細目）</t>
    <rPh sb="0" eb="1">
      <t>オモ</t>
    </rPh>
    <rPh sb="2" eb="4">
      <t>ケイスウ</t>
    </rPh>
    <rPh sb="5" eb="7">
      <t>サイモク</t>
    </rPh>
    <phoneticPr fontId="20"/>
  </si>
  <si>
    <t>比率（全体）</t>
    <rPh sb="0" eb="2">
      <t>ヒリツ</t>
    </rPh>
    <rPh sb="3" eb="5">
      <t>ゼンタイ</t>
    </rPh>
    <phoneticPr fontId="20"/>
  </si>
  <si>
    <t>比率（住居・宿泊）</t>
    <rPh sb="0" eb="2">
      <t>ヒリツ</t>
    </rPh>
    <rPh sb="3" eb="5">
      <t>ジュウキョ</t>
    </rPh>
    <rPh sb="6" eb="8">
      <t>シュクハク</t>
    </rPh>
    <phoneticPr fontId="20"/>
  </si>
  <si>
    <t>2次評価点（全体）</t>
  </si>
  <si>
    <t>2次評価点（宿泊）</t>
  </si>
  <si>
    <t>基準評価点（全体）</t>
  </si>
  <si>
    <t>基準評価点（宿泊）</t>
  </si>
  <si>
    <t>評価点</t>
  </si>
  <si>
    <t>マイナス評価点</t>
  </si>
  <si>
    <t xml:space="preserve">LR3/ 1 /   / </t>
  </si>
  <si>
    <t>地球温暖化への配慮</t>
  </si>
  <si>
    <t xml:space="preserve">      配慮事項</t>
    <rPh sb="6" eb="8">
      <t>ハイリョ</t>
    </rPh>
    <rPh sb="8" eb="10">
      <t>ジコウ</t>
    </rPh>
    <phoneticPr fontId="20"/>
  </si>
  <si>
    <t xml:space="preserve">                          環境性能</t>
    <rPh sb="26" eb="28">
      <t>カンキョウ</t>
    </rPh>
    <rPh sb="28" eb="30">
      <t>セイノウ</t>
    </rPh>
    <phoneticPr fontId="20"/>
  </si>
  <si>
    <t>（2）省エネ対策</t>
    <rPh sb="3" eb="4">
      <t>ショウ</t>
    </rPh>
    <rPh sb="6" eb="8">
      <t>タイサク</t>
    </rPh>
    <phoneticPr fontId="20"/>
  </si>
  <si>
    <t>省エネ対策に配慮した環境性能</t>
    <rPh sb="0" eb="1">
      <t>ショウ</t>
    </rPh>
    <rPh sb="3" eb="5">
      <t>タイサク</t>
    </rPh>
    <rPh sb="6" eb="8">
      <t>ハイリョ</t>
    </rPh>
    <rPh sb="10" eb="12">
      <t>カンキョウ</t>
    </rPh>
    <rPh sb="12" eb="14">
      <t>セイノウ</t>
    </rPh>
    <phoneticPr fontId="20"/>
  </si>
  <si>
    <t>概要記入欄</t>
    <phoneticPr fontId="20"/>
  </si>
  <si>
    <t>Q1 / 2 /2.1/3</t>
  </si>
  <si>
    <t>LR1/ 1 /   /</t>
    <phoneticPr fontId="20"/>
  </si>
  <si>
    <t>建物の熱負荷抑制</t>
    <rPh sb="0" eb="2">
      <t>タテモノ</t>
    </rPh>
    <rPh sb="3" eb="4">
      <t>ネツ</t>
    </rPh>
    <rPh sb="4" eb="6">
      <t>フカ</t>
    </rPh>
    <rPh sb="6" eb="8">
      <t>ヨクセイ</t>
    </rPh>
    <phoneticPr fontId="20"/>
  </si>
  <si>
    <t>LR1/ 2 /   /</t>
  </si>
  <si>
    <t>自然エネルギー利用</t>
    <rPh sb="0" eb="2">
      <t>シゼン</t>
    </rPh>
    <rPh sb="7" eb="9">
      <t>リヨウ</t>
    </rPh>
    <phoneticPr fontId="20"/>
  </si>
  <si>
    <t>LR1/ 3 /   /</t>
  </si>
  <si>
    <t>設備システムの高効率化</t>
    <rPh sb="0" eb="2">
      <t>セツビ</t>
    </rPh>
    <rPh sb="7" eb="8">
      <t>タカ</t>
    </rPh>
    <rPh sb="8" eb="11">
      <t>コウリツカ</t>
    </rPh>
    <phoneticPr fontId="20"/>
  </si>
  <si>
    <t>LR1/ 4 /   /</t>
  </si>
  <si>
    <t>効率的運用</t>
    <rPh sb="0" eb="3">
      <t>コウリツテキ</t>
    </rPh>
    <rPh sb="3" eb="5">
      <t>ウンヨウ</t>
    </rPh>
    <phoneticPr fontId="20"/>
  </si>
  <si>
    <t>住宅外</t>
    <rPh sb="0" eb="1">
      <t>ジュウ</t>
    </rPh>
    <rPh sb="1" eb="2">
      <t>タク</t>
    </rPh>
    <rPh sb="2" eb="3">
      <t>ガイ</t>
    </rPh>
    <phoneticPr fontId="20"/>
  </si>
  <si>
    <t>LR2/ 1 /   /</t>
  </si>
  <si>
    <t>水質源保護</t>
    <rPh sb="0" eb="2">
      <t>スイシツ</t>
    </rPh>
    <rPh sb="2" eb="3">
      <t>ゲン</t>
    </rPh>
    <rPh sb="3" eb="5">
      <t>ホゴ</t>
    </rPh>
    <phoneticPr fontId="20"/>
  </si>
  <si>
    <t xml:space="preserve">      配慮事項</t>
    <phoneticPr fontId="20"/>
  </si>
  <si>
    <t>（3）みどり・ヒートアイランド対策</t>
    <phoneticPr fontId="20"/>
  </si>
  <si>
    <t>みどり・ヒートアイランド対策に配慮した環境性能</t>
    <rPh sb="15" eb="17">
      <t>ハイリョ</t>
    </rPh>
    <rPh sb="19" eb="21">
      <t>カンキョウ</t>
    </rPh>
    <rPh sb="21" eb="23">
      <t>セイノウ</t>
    </rPh>
    <phoneticPr fontId="20"/>
  </si>
  <si>
    <t>Q3 / 1 /   /</t>
  </si>
  <si>
    <t>生物環境の保全と創出</t>
    <rPh sb="0" eb="2">
      <t>セイブツ</t>
    </rPh>
    <rPh sb="2" eb="4">
      <t>カンキョウ</t>
    </rPh>
    <rPh sb="5" eb="7">
      <t>ホゼン</t>
    </rPh>
    <rPh sb="8" eb="10">
      <t>ソウシュツ</t>
    </rPh>
    <phoneticPr fontId="20"/>
  </si>
  <si>
    <t>Q3 / 3 /3.2/</t>
    <phoneticPr fontId="20"/>
  </si>
  <si>
    <t>敷地内温熱環境の向上</t>
    <rPh sb="0" eb="2">
      <t>シキチ</t>
    </rPh>
    <rPh sb="2" eb="3">
      <t>ナイ</t>
    </rPh>
    <rPh sb="3" eb="5">
      <t>オンネツ</t>
    </rPh>
    <rPh sb="5" eb="7">
      <t>カンキョウ</t>
    </rPh>
    <rPh sb="8" eb="10">
      <t>コウジョウ</t>
    </rPh>
    <phoneticPr fontId="20"/>
  </si>
  <si>
    <t>LR3/ 2 /2.2/</t>
  </si>
  <si>
    <t>温熱環境悪化の改善</t>
    <rPh sb="0" eb="1">
      <t>オン</t>
    </rPh>
    <rPh sb="1" eb="2">
      <t>ネツ</t>
    </rPh>
    <rPh sb="2" eb="4">
      <t>カンキョウ</t>
    </rPh>
    <rPh sb="4" eb="6">
      <t>アッカ</t>
    </rPh>
    <rPh sb="7" eb="9">
      <t>カイゼン</t>
    </rPh>
    <phoneticPr fontId="20"/>
  </si>
  <si>
    <t>PINKCHERRY</t>
    <phoneticPr fontId="20"/>
  </si>
  <si>
    <t>WHITECHERRY</t>
    <phoneticPr fontId="20"/>
  </si>
  <si>
    <t>みどり</t>
    <phoneticPr fontId="20"/>
  </si>
  <si>
    <t>省エネ</t>
    <rPh sb="0" eb="1">
      <t>ショウ</t>
    </rPh>
    <phoneticPr fontId="20"/>
  </si>
  <si>
    <t>CO2</t>
    <phoneticPr fontId="20"/>
  </si>
  <si>
    <t>STAR</t>
    <phoneticPr fontId="20"/>
  </si>
  <si>
    <t>BLANKSTAR</t>
    <phoneticPr fontId="20"/>
  </si>
  <si>
    <t>BEE(after)</t>
    <phoneticPr fontId="20"/>
  </si>
  <si>
    <t>BEE(before)</t>
    <phoneticPr fontId="20"/>
  </si>
  <si>
    <t>NO．</t>
    <phoneticPr fontId="20"/>
  </si>
  <si>
    <t>平成</t>
    <phoneticPr fontId="20"/>
  </si>
  <si>
    <t>月</t>
    <rPh sb="0" eb="1">
      <t>ガツ</t>
    </rPh>
    <phoneticPr fontId="20"/>
  </si>
  <si>
    <t>→</t>
    <phoneticPr fontId="20"/>
  </si>
  <si>
    <t>BEE rank</t>
    <phoneticPr fontId="20"/>
  </si>
  <si>
    <t>before</t>
    <phoneticPr fontId="20"/>
  </si>
  <si>
    <t>after</t>
    <phoneticPr fontId="20"/>
  </si>
  <si>
    <t>radar chart</t>
    <phoneticPr fontId="20"/>
  </si>
  <si>
    <t>Score(RoundDown)</t>
    <phoneticPr fontId="20"/>
  </si>
  <si>
    <t>SQ</t>
    <phoneticPr fontId="20"/>
  </si>
  <si>
    <t>background</t>
    <phoneticPr fontId="20"/>
  </si>
  <si>
    <t>std</t>
    <phoneticPr fontId="20"/>
  </si>
  <si>
    <t>改修目的</t>
    <rPh sb="0" eb="2">
      <t>カイシュウ</t>
    </rPh>
    <rPh sb="2" eb="4">
      <t>モクテキ</t>
    </rPh>
    <phoneticPr fontId="20"/>
  </si>
  <si>
    <t>SLR</t>
    <phoneticPr fontId="20"/>
  </si>
  <si>
    <t>Q2</t>
    <phoneticPr fontId="20"/>
  </si>
  <si>
    <t>Q2 サービス性能</t>
    <phoneticPr fontId="20"/>
  </si>
  <si>
    <t>Q</t>
    <phoneticPr fontId="20"/>
  </si>
  <si>
    <t>Q3</t>
    <phoneticPr fontId="20"/>
  </si>
  <si>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0"/>
  </si>
  <si>
    <t>L</t>
    <phoneticPr fontId="20"/>
  </si>
  <si>
    <t>LR3</t>
    <phoneticPr fontId="20"/>
  </si>
  <si>
    <t>敷地面積</t>
    <rPh sb="0" eb="2">
      <t>シキチ</t>
    </rPh>
    <phoneticPr fontId="20"/>
  </si>
  <si>
    <t>BEE</t>
    <phoneticPr fontId="20"/>
  </si>
  <si>
    <t>LR2</t>
    <phoneticPr fontId="20"/>
  </si>
  <si>
    <t>改修後の想定使用年数</t>
    <phoneticPr fontId="20"/>
  </si>
  <si>
    <t>BEE(Round)</t>
    <phoneticPr fontId="20"/>
  </si>
  <si>
    <t>LR1</t>
    <phoneticPr fontId="20"/>
  </si>
  <si>
    <t>LR1 
エネルギー</t>
    <phoneticPr fontId="20"/>
  </si>
  <si>
    <t>Q1</t>
    <phoneticPr fontId="20"/>
  </si>
  <si>
    <r>
      <t>Q1</t>
    </r>
    <r>
      <rPr>
        <sz val="11"/>
        <rFont val="ＭＳ Ｐゴシック"/>
        <family val="3"/>
        <charset val="128"/>
      </rPr>
      <t>　
室内環境</t>
    </r>
    <rPh sb="4" eb="6">
      <t>シツナイ</t>
    </rPh>
    <rPh sb="6" eb="8">
      <t>カンキョウ</t>
    </rPh>
    <phoneticPr fontId="20"/>
  </si>
  <si>
    <t>Rank(red star)</t>
    <phoneticPr fontId="20"/>
  </si>
  <si>
    <t>階数</t>
    <phoneticPr fontId="20"/>
  </si>
  <si>
    <t>(blank star)</t>
    <phoneticPr fontId="20"/>
  </si>
  <si>
    <t>建築主（改修後）</t>
    <rPh sb="0" eb="2">
      <t>ケンチク</t>
    </rPh>
    <rPh sb="2" eb="3">
      <t>ヌシ</t>
    </rPh>
    <rPh sb="4" eb="6">
      <t>カイシュウ</t>
    </rPh>
    <rPh sb="6" eb="7">
      <t>ゴ</t>
    </rPh>
    <phoneticPr fontId="20"/>
  </si>
  <si>
    <t>設計者（改修後）</t>
    <rPh sb="0" eb="3">
      <t>セッケイシャ</t>
    </rPh>
    <rPh sb="4" eb="6">
      <t>カイシュウ</t>
    </rPh>
    <rPh sb="6" eb="7">
      <t>ゴ</t>
    </rPh>
    <phoneticPr fontId="20"/>
  </si>
  <si>
    <r>
      <t>BEE</t>
    </r>
    <r>
      <rPr>
        <sz val="11"/>
        <rFont val="ＭＳ Ｐゴシック"/>
        <family val="3"/>
        <charset val="128"/>
      </rPr>
      <t>グラフ</t>
    </r>
    <phoneticPr fontId="20"/>
  </si>
  <si>
    <r>
      <t>BEE</t>
    </r>
    <r>
      <rPr>
        <sz val="11"/>
        <rFont val="ＭＳ Ｐゴシック"/>
        <family val="3"/>
        <charset val="128"/>
      </rPr>
      <t>の分母側</t>
    </r>
    <r>
      <rPr>
        <sz val="11"/>
        <rFont val="Arial"/>
        <family val="2"/>
      </rPr>
      <t>(L)</t>
    </r>
    <rPh sb="4" eb="6">
      <t>ブンボ</t>
    </rPh>
    <rPh sb="6" eb="7">
      <t>ガワ</t>
    </rPh>
    <phoneticPr fontId="20"/>
  </si>
  <si>
    <r>
      <t>BEE</t>
    </r>
    <r>
      <rPr>
        <sz val="11"/>
        <rFont val="ＭＳ Ｐゴシック"/>
        <family val="3"/>
        <charset val="128"/>
      </rPr>
      <t>の分子側</t>
    </r>
    <r>
      <rPr>
        <sz val="11"/>
        <rFont val="Arial"/>
        <family val="2"/>
      </rPr>
      <t>(Q)</t>
    </r>
    <rPh sb="4" eb="6">
      <t>ブンシ</t>
    </rPh>
    <rPh sb="6" eb="7">
      <t>ガワ</t>
    </rPh>
    <phoneticPr fontId="20"/>
  </si>
  <si>
    <t>X</t>
    <phoneticPr fontId="20"/>
  </si>
  <si>
    <t>C</t>
    <phoneticPr fontId="20"/>
  </si>
  <si>
    <r>
      <t xml:space="preserve"> </t>
    </r>
    <r>
      <rPr>
        <sz val="11"/>
        <rFont val="ＭＳ Ｐゴシック"/>
        <family val="3"/>
        <charset val="128"/>
      </rPr>
      <t>④上記</t>
    </r>
    <r>
      <rPr>
        <sz val="11"/>
        <rFont val="Arial"/>
        <family val="2"/>
      </rPr>
      <t xml:space="preserve">+
</t>
    </r>
    <r>
      <rPr>
        <sz val="11"/>
        <rFont val="ＭＳ Ｐゴシック"/>
        <family val="3"/>
        <charset val="128"/>
      </rPr>
      <t>　オフサイト手法
（改修前）
（改修後）</t>
    </r>
    <rPh sb="16" eb="18">
      <t>カイシュウ</t>
    </rPh>
    <rPh sb="18" eb="19">
      <t>マエ</t>
    </rPh>
    <rPh sb="22" eb="24">
      <t>カイシュウ</t>
    </rPh>
    <rPh sb="24" eb="25">
      <t>ゴ</t>
    </rPh>
    <phoneticPr fontId="20"/>
  </si>
  <si>
    <t>Ref</t>
    <phoneticPr fontId="20"/>
  </si>
  <si>
    <t>Subjest1</t>
    <phoneticPr fontId="20"/>
  </si>
  <si>
    <t>N.A.</t>
    <phoneticPr fontId="20"/>
  </si>
  <si>
    <t>Subjest2</t>
    <phoneticPr fontId="20"/>
  </si>
  <si>
    <t>Subjest3</t>
    <phoneticPr fontId="20"/>
  </si>
  <si>
    <r>
      <t>Q-1</t>
    </r>
    <r>
      <rPr>
        <sz val="11"/>
        <rFont val="ＭＳ Ｐゴシック"/>
        <family val="3"/>
        <charset val="128"/>
      </rPr>
      <t>　室内環境</t>
    </r>
    <rPh sb="4" eb="6">
      <t>シツナイ</t>
    </rPh>
    <rPh sb="6" eb="8">
      <t>カンキョウ</t>
    </rPh>
    <phoneticPr fontId="20"/>
  </si>
  <si>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0"/>
  </si>
  <si>
    <r>
      <t>LR</t>
    </r>
    <r>
      <rPr>
        <b/>
        <i/>
        <sz val="14"/>
        <color indexed="9"/>
        <rFont val="ＭＳ Ｐゴシック"/>
        <family val="3"/>
        <charset val="128"/>
      </rPr>
      <t>のスコア</t>
    </r>
    <r>
      <rPr>
        <b/>
        <i/>
        <sz val="14"/>
        <color indexed="9"/>
        <rFont val="Arial"/>
        <family val="2"/>
      </rPr>
      <t>=</t>
    </r>
    <phoneticPr fontId="20"/>
  </si>
  <si>
    <r>
      <t>　　BEE</t>
    </r>
    <r>
      <rPr>
        <b/>
        <vertAlign val="subscript"/>
        <sz val="13"/>
        <rFont val="ＭＳ Ｐゴシック"/>
        <family val="3"/>
        <charset val="128"/>
      </rPr>
      <t>ES</t>
    </r>
    <phoneticPr fontId="20"/>
  </si>
  <si>
    <t>＝</t>
    <phoneticPr fontId="20"/>
  </si>
  <si>
    <r>
      <t>省エネ改修評価における建築物の環境品質　</t>
    </r>
    <r>
      <rPr>
        <b/>
        <sz val="10"/>
        <rFont val="Arial"/>
        <family val="2"/>
      </rPr>
      <t>Q</t>
    </r>
    <r>
      <rPr>
        <b/>
        <vertAlign val="subscript"/>
        <sz val="10"/>
        <rFont val="Arial"/>
        <family val="2"/>
      </rPr>
      <t>ES</t>
    </r>
    <phoneticPr fontId="20"/>
  </si>
  <si>
    <r>
      <t>省エネ改修評価における建築物の環境負荷　</t>
    </r>
    <r>
      <rPr>
        <b/>
        <sz val="10"/>
        <rFont val="Arial"/>
        <family val="2"/>
      </rPr>
      <t>L</t>
    </r>
    <r>
      <rPr>
        <b/>
        <vertAlign val="subscript"/>
        <sz val="10"/>
        <rFont val="Arial"/>
        <family val="2"/>
      </rPr>
      <t>ES</t>
    </r>
    <phoneticPr fontId="20"/>
  </si>
  <si>
    <r>
      <t xml:space="preserve">   25 </t>
    </r>
    <r>
      <rPr>
        <sz val="9"/>
        <color indexed="8"/>
        <rFont val="ＭＳ Ｐゴシック"/>
        <family val="3"/>
        <charset val="128"/>
      </rPr>
      <t>×</t>
    </r>
    <r>
      <rPr>
        <sz val="9"/>
        <color indexed="8"/>
        <rFont val="Arial"/>
        <family val="2"/>
      </rPr>
      <t xml:space="preserve"> (SQ1 - 1)</t>
    </r>
    <phoneticPr fontId="20"/>
  </si>
  <si>
    <r>
      <t xml:space="preserve">   25 </t>
    </r>
    <r>
      <rPr>
        <sz val="9"/>
        <color indexed="8"/>
        <rFont val="ＭＳ Ｐゴシック"/>
        <family val="3"/>
        <charset val="128"/>
      </rPr>
      <t>×</t>
    </r>
    <r>
      <rPr>
        <sz val="9"/>
        <color indexed="8"/>
        <rFont val="Arial"/>
        <family val="2"/>
      </rPr>
      <t xml:space="preserve"> (5 - SLR1)</t>
    </r>
    <phoneticPr fontId="20"/>
  </si>
  <si>
    <r>
      <t>⊿BEE</t>
    </r>
    <r>
      <rPr>
        <b/>
        <vertAlign val="subscript"/>
        <sz val="13"/>
        <rFont val="ＭＳ Ｐゴシック"/>
        <family val="3"/>
        <charset val="128"/>
      </rPr>
      <t>ES</t>
    </r>
    <phoneticPr fontId="20"/>
  </si>
  <si>
    <t>＝</t>
    <phoneticPr fontId="20"/>
  </si>
  <si>
    <r>
      <t>BEE</t>
    </r>
    <r>
      <rPr>
        <sz val="11"/>
        <rFont val="ＭＳ Ｐゴシック"/>
        <family val="3"/>
        <charset val="128"/>
      </rPr>
      <t>グラフ</t>
    </r>
    <phoneticPr fontId="20"/>
  </si>
  <si>
    <t>＝</t>
    <phoneticPr fontId="20"/>
  </si>
  <si>
    <t>↑</t>
    <phoneticPr fontId="20"/>
  </si>
  <si>
    <t>＝</t>
    <phoneticPr fontId="20"/>
  </si>
  <si>
    <t>No.</t>
  </si>
  <si>
    <t>建築物名称</t>
    <rPh sb="0" eb="3">
      <t>ケンチクブツ</t>
    </rPh>
    <rPh sb="3" eb="5">
      <t>メイショウ</t>
    </rPh>
    <phoneticPr fontId="20"/>
  </si>
  <si>
    <t>建築主</t>
    <rPh sb="0" eb="2">
      <t>ケンチク</t>
    </rPh>
    <rPh sb="2" eb="3">
      <t>ヌシ</t>
    </rPh>
    <phoneticPr fontId="20"/>
  </si>
  <si>
    <t>設計者</t>
    <rPh sb="0" eb="3">
      <t>セッケイシャ</t>
    </rPh>
    <phoneticPr fontId="20"/>
  </si>
  <si>
    <t>建設地</t>
    <rPh sb="0" eb="3">
      <t>ケンセツチ</t>
    </rPh>
    <phoneticPr fontId="20"/>
  </si>
  <si>
    <t>延床面積</t>
    <rPh sb="0" eb="1">
      <t>ノ</t>
    </rPh>
    <rPh sb="1" eb="2">
      <t>ユカ</t>
    </rPh>
    <rPh sb="2" eb="4">
      <t>メンセキ</t>
    </rPh>
    <phoneticPr fontId="20"/>
  </si>
  <si>
    <t>階      数</t>
    <rPh sb="0" eb="1">
      <t>カイ</t>
    </rPh>
    <rPh sb="7" eb="8">
      <t>カズ</t>
    </rPh>
    <phoneticPr fontId="20"/>
  </si>
  <si>
    <t>　　</t>
  </si>
  <si>
    <t>構      造</t>
    <rPh sb="0" eb="1">
      <t>カマエ</t>
    </rPh>
    <rPh sb="7" eb="8">
      <t>ヅクリ</t>
    </rPh>
    <phoneticPr fontId="20"/>
  </si>
  <si>
    <t>竣　工　年　（予定）</t>
    <rPh sb="0" eb="1">
      <t>シュン</t>
    </rPh>
    <rPh sb="2" eb="3">
      <t>コウ</t>
    </rPh>
    <rPh sb="4" eb="5">
      <t>トシ</t>
    </rPh>
    <rPh sb="7" eb="8">
      <t>ヨ</t>
    </rPh>
    <rPh sb="8" eb="9">
      <t>サダ</t>
    </rPh>
    <phoneticPr fontId="20"/>
  </si>
  <si>
    <t>サステナビリティランキング</t>
  </si>
  <si>
    <t>環境性能効率 (BEE)</t>
    <rPh sb="0" eb="2">
      <t>カンキョウ</t>
    </rPh>
    <rPh sb="2" eb="4">
      <t>セイノウ</t>
    </rPh>
    <rPh sb="4" eb="6">
      <t>コウリツ</t>
    </rPh>
    <phoneticPr fontId="20"/>
  </si>
  <si>
    <t>環境品質・性能 (Q)</t>
    <rPh sb="0" eb="2">
      <t>カンキョウ</t>
    </rPh>
    <rPh sb="2" eb="4">
      <t>ヒンシツ</t>
    </rPh>
    <rPh sb="5" eb="7">
      <t>セイノウ</t>
    </rPh>
    <phoneticPr fontId="20"/>
  </si>
  <si>
    <t xml:space="preserve">  ・ 室内環境 (Q-1)</t>
    <rPh sb="4" eb="6">
      <t>シツナイ</t>
    </rPh>
    <rPh sb="6" eb="8">
      <t>カンキョウ</t>
    </rPh>
    <phoneticPr fontId="20"/>
  </si>
  <si>
    <t xml:space="preserve">  ・ サービス性能 (Q-2)</t>
    <rPh sb="8" eb="10">
      <t>セイノウ</t>
    </rPh>
    <phoneticPr fontId="20"/>
  </si>
  <si>
    <t xml:space="preserve">  ・ 室外環境（敷地内） (Q-3)</t>
    <rPh sb="4" eb="6">
      <t>シツガイ</t>
    </rPh>
    <rPh sb="6" eb="8">
      <t>カンキョウ</t>
    </rPh>
    <rPh sb="9" eb="11">
      <t>シキチ</t>
    </rPh>
    <rPh sb="11" eb="12">
      <t>ナイ</t>
    </rPh>
    <phoneticPr fontId="20"/>
  </si>
  <si>
    <t>環境負荷低減性 (LR)</t>
    <rPh sb="0" eb="2">
      <t>カンキョウ</t>
    </rPh>
    <rPh sb="2" eb="4">
      <t>フカ</t>
    </rPh>
    <rPh sb="4" eb="6">
      <t>テイゲン</t>
    </rPh>
    <rPh sb="6" eb="7">
      <t>セイ</t>
    </rPh>
    <phoneticPr fontId="20"/>
  </si>
  <si>
    <t xml:space="preserve">  ・ エネルギー (LR-1)</t>
    <phoneticPr fontId="20"/>
  </si>
  <si>
    <t xml:space="preserve">  ・ 資源・マテリアル (LR-2)</t>
    <rPh sb="4" eb="6">
      <t>シゲン</t>
    </rPh>
    <phoneticPr fontId="20"/>
  </si>
  <si>
    <t xml:space="preserve">  ・ 敷地外環境 (LR-3)</t>
    <rPh sb="4" eb="6">
      <t>シキチ</t>
    </rPh>
    <rPh sb="6" eb="7">
      <t>ガイ</t>
    </rPh>
    <rPh sb="7" eb="9">
      <t>カンキョウ</t>
    </rPh>
    <phoneticPr fontId="20"/>
  </si>
  <si>
    <t>ラベル表示の実施</t>
    <rPh sb="3" eb="5">
      <t>ヒョウジ</t>
    </rPh>
    <rPh sb="6" eb="8">
      <t>ジッシ</t>
    </rPh>
    <phoneticPr fontId="20"/>
  </si>
  <si>
    <t>重点項目　CO2削減</t>
    <rPh sb="0" eb="2">
      <t>ジュウテン</t>
    </rPh>
    <rPh sb="2" eb="4">
      <t>コウモク</t>
    </rPh>
    <rPh sb="8" eb="10">
      <t>サクゲン</t>
    </rPh>
    <phoneticPr fontId="20"/>
  </si>
  <si>
    <t>　　　　　　　省エネ対策</t>
    <rPh sb="7" eb="8">
      <t>ショウ</t>
    </rPh>
    <rPh sb="10" eb="12">
      <t>タイサク</t>
    </rPh>
    <phoneticPr fontId="20"/>
  </si>
  <si>
    <t>　　　　　　　みどり・
　　　　　　　ﾋｰﾄｱｲﾗﾝﾄﾞ対策</t>
    <rPh sb="28" eb="30">
      <t>タイサク</t>
    </rPh>
    <phoneticPr fontId="20"/>
  </si>
  <si>
    <t>更新情報</t>
    <rPh sb="0" eb="2">
      <t>コウシン</t>
    </rPh>
    <rPh sb="2" eb="4">
      <t>ジョウホウ</t>
    </rPh>
    <phoneticPr fontId="20"/>
  </si>
  <si>
    <t>※市担当者が記入</t>
    <rPh sb="1" eb="2">
      <t>シ</t>
    </rPh>
    <rPh sb="2" eb="5">
      <t>タントウシャ</t>
    </rPh>
    <rPh sb="6" eb="8">
      <t>キニュウ</t>
    </rPh>
    <phoneticPr fontId="20"/>
  </si>
  <si>
    <r>
      <rPr>
        <b/>
        <sz val="10"/>
        <rFont val="ＭＳ Ｐゴシック"/>
        <family val="3"/>
        <charset val="128"/>
      </rPr>
      <t>「</t>
    </r>
    <r>
      <rPr>
        <b/>
        <sz val="10"/>
        <rFont val="Arial"/>
        <family val="2"/>
      </rPr>
      <t>CASBEE</t>
    </r>
    <r>
      <rPr>
        <b/>
        <sz val="10"/>
        <rFont val="ＭＳ Ｐゴシック"/>
        <family val="3"/>
        <charset val="128"/>
      </rPr>
      <t>大阪みらい</t>
    </r>
    <r>
      <rPr>
        <b/>
        <sz val="10"/>
        <rFont val="Arial"/>
        <family val="2"/>
      </rPr>
      <t xml:space="preserve"> </t>
    </r>
    <r>
      <rPr>
        <b/>
        <sz val="10"/>
        <rFont val="ＭＳ Ｐゴシック"/>
        <family val="3"/>
        <charset val="128"/>
      </rPr>
      <t>改修」</t>
    </r>
    <r>
      <rPr>
        <b/>
        <sz val="10"/>
        <rFont val="Arial"/>
        <family val="2"/>
      </rPr>
      <t>2015</t>
    </r>
    <r>
      <rPr>
        <b/>
        <sz val="10"/>
        <rFont val="ＭＳ Ｐゴシック"/>
        <family val="3"/>
        <charset val="128"/>
      </rPr>
      <t>年版　</t>
    </r>
    <r>
      <rPr>
        <b/>
        <sz val="10"/>
        <rFont val="Arial"/>
        <family val="2"/>
      </rPr>
      <t>CASBEE-BD_RN_2015(v.1.0)</t>
    </r>
    <phoneticPr fontId="20"/>
  </si>
  <si>
    <t>■改修完了年（予定）</t>
    <rPh sb="1" eb="3">
      <t>ｶｲｼｭｳ</t>
    </rPh>
    <rPh sb="3" eb="5">
      <t>かんりょう</t>
    </rPh>
    <rPh sb="5" eb="6">
      <t>ﾄｼ</t>
    </rPh>
    <rPh sb="7" eb="9">
      <t>ﾖﾃｲ</t>
    </rPh>
    <phoneticPr fontId="30" type="noConversion"/>
  </si>
  <si>
    <t>⑤ 改修完了年月</t>
    <rPh sb="2" eb="4">
      <t>カイシュウ</t>
    </rPh>
    <rPh sb="4" eb="6">
      <t>カンリョウ</t>
    </rPh>
    <rPh sb="6" eb="8">
      <t>ネンゲツ</t>
    </rPh>
    <phoneticPr fontId="20"/>
  </si>
  <si>
    <t>新築時完了年月</t>
    <rPh sb="0" eb="2">
      <t>ｼﾝﾁｸ</t>
    </rPh>
    <rPh sb="2" eb="3">
      <t>ｼﾞ</t>
    </rPh>
    <rPh sb="3" eb="5">
      <t>かんりょう</t>
    </rPh>
    <rPh sb="5" eb="7">
      <t>ﾈﾝｹﾞﾂ</t>
    </rPh>
    <phoneticPr fontId="30" type="noConversion"/>
  </si>
  <si>
    <t>改修完了年</t>
    <rPh sb="2" eb="4">
      <t>カンリョウ</t>
    </rPh>
    <phoneticPr fontId="20"/>
  </si>
  <si>
    <t>■新築時の完了年</t>
    <rPh sb="1" eb="3">
      <t>ｼﾝﾁｸ</t>
    </rPh>
    <rPh sb="3" eb="4">
      <t>ｼﾞ</t>
    </rPh>
    <rPh sb="5" eb="7">
      <t>かんりょう</t>
    </rPh>
    <rPh sb="7" eb="8">
      <t>ﾈﾝ</t>
    </rPh>
    <phoneticPr fontId="30" type="noConversion"/>
  </si>
  <si>
    <t>完了年月</t>
    <rPh sb="0" eb="2">
      <t>カンリョウ</t>
    </rPh>
    <rPh sb="2" eb="4">
      <t>ネンゲツ</t>
    </rPh>
    <phoneticPr fontId="20"/>
  </si>
  <si>
    <t>新築時の完了年</t>
    <rPh sb="4" eb="6">
      <t>カンリョウ</t>
    </rPh>
    <phoneticPr fontId="20"/>
  </si>
  <si>
    <t>小・中学校</t>
    <rPh sb="0" eb="1">
      <t>ショウ</t>
    </rPh>
    <rPh sb="2" eb="5">
      <t>チュウガッコウ</t>
    </rPh>
    <phoneticPr fontId="20"/>
  </si>
  <si>
    <t>評価は建築主の自己評価に基づくものです。改修後3年間有効。</t>
    <rPh sb="0" eb="2">
      <t>ヒョウカ</t>
    </rPh>
    <rPh sb="3" eb="5">
      <t>ケンチク</t>
    </rPh>
    <rPh sb="5" eb="6">
      <t>ヌシ</t>
    </rPh>
    <rPh sb="7" eb="9">
      <t>ジコ</t>
    </rPh>
    <rPh sb="9" eb="11">
      <t>ヒョウカ</t>
    </rPh>
    <rPh sb="12" eb="13">
      <t>モトヅ</t>
    </rPh>
    <rPh sb="20" eb="22">
      <t>カイシュウ</t>
    </rPh>
    <rPh sb="22" eb="23">
      <t>ゴ</t>
    </rPh>
    <rPh sb="24" eb="25">
      <t>ネン</t>
    </rPh>
    <rPh sb="25" eb="26">
      <t>カン</t>
    </rPh>
    <rPh sb="26" eb="28">
      <t>ユウコウ</t>
    </rPh>
    <phoneticPr fontId="20"/>
  </si>
  <si>
    <r>
      <t>改修後 BEE</t>
    </r>
    <r>
      <rPr>
        <vertAlign val="subscript"/>
        <sz val="12"/>
        <rFont val="ＭＳ Ｐゴシック"/>
        <family val="3"/>
        <charset val="128"/>
      </rPr>
      <t>ES</t>
    </r>
    <rPh sb="0" eb="2">
      <t>カイシュウ</t>
    </rPh>
    <rPh sb="2" eb="3">
      <t>ゴ</t>
    </rPh>
    <phoneticPr fontId="20"/>
  </si>
  <si>
    <t>省エネルギー基準計算結果入力表</t>
    <rPh sb="0" eb="1">
      <t>ショウ</t>
    </rPh>
    <rPh sb="6" eb="8">
      <t>キジュン</t>
    </rPh>
    <rPh sb="8" eb="10">
      <t>ケイサン</t>
    </rPh>
    <rPh sb="10" eb="12">
      <t>ケッカ</t>
    </rPh>
    <rPh sb="12" eb="14">
      <t>ニュウリョク</t>
    </rPh>
    <rPh sb="14" eb="15">
      <t>ヒョウ</t>
    </rPh>
    <phoneticPr fontId="20"/>
  </si>
  <si>
    <t>■非住宅用途</t>
    <rPh sb="1" eb="2">
      <t>ヒ</t>
    </rPh>
    <rPh sb="2" eb="4">
      <t>ジュウタク</t>
    </rPh>
    <rPh sb="4" eb="6">
      <t>ヨウト</t>
    </rPh>
    <phoneticPr fontId="194"/>
  </si>
  <si>
    <t>評価方法</t>
    <rPh sb="0" eb="2">
      <t>ヒョウカ</t>
    </rPh>
    <rPh sb="2" eb="4">
      <t>ホウホウ</t>
    </rPh>
    <phoneticPr fontId="194"/>
  </si>
  <si>
    <t>BPIm</t>
    <phoneticPr fontId="194"/>
  </si>
  <si>
    <t>外皮性能</t>
    <rPh sb="0" eb="2">
      <t>ガイヒ</t>
    </rPh>
    <rPh sb="2" eb="4">
      <t>セイノウ</t>
    </rPh>
    <phoneticPr fontId="194"/>
  </si>
  <si>
    <t>一次エネルギー消費量</t>
    <rPh sb="0" eb="2">
      <t>イチジ</t>
    </rPh>
    <rPh sb="7" eb="10">
      <t>ショウヒリョウ</t>
    </rPh>
    <phoneticPr fontId="194"/>
  </si>
  <si>
    <t>■住宅用途</t>
    <rPh sb="1" eb="3">
      <t>ジュウタク</t>
    </rPh>
    <rPh sb="3" eb="5">
      <t>ヨウト</t>
    </rPh>
    <phoneticPr fontId="194"/>
  </si>
  <si>
    <t>品確法</t>
    <rPh sb="0" eb="3">
      <t>ヒンカクホウ</t>
    </rPh>
    <phoneticPr fontId="194"/>
  </si>
  <si>
    <t>等級4</t>
  </si>
  <si>
    <t>◇専有部分</t>
    <rPh sb="1" eb="3">
      <t>センユウ</t>
    </rPh>
    <rPh sb="3" eb="5">
      <t>ブブン</t>
    </rPh>
    <phoneticPr fontId="194"/>
  </si>
  <si>
    <t xml:space="preserve">                                                 ↑
直接入力または「①住戸部その他エネルギー（家電・調理分）の簡易計算」から転記</t>
    <rPh sb="51" eb="53">
      <t>チョクセツ</t>
    </rPh>
    <rPh sb="53" eb="55">
      <t>ニュウリョク</t>
    </rPh>
    <rPh sb="60" eb="62">
      <t>ジュウコ</t>
    </rPh>
    <rPh sb="62" eb="63">
      <t>ブ</t>
    </rPh>
    <rPh sb="65" eb="66">
      <t>タ</t>
    </rPh>
    <rPh sb="72" eb="74">
      <t>カデン</t>
    </rPh>
    <rPh sb="75" eb="77">
      <t>チョウリ</t>
    </rPh>
    <rPh sb="77" eb="78">
      <t>ブン</t>
    </rPh>
    <rPh sb="80" eb="82">
      <t>カンイ</t>
    </rPh>
    <rPh sb="82" eb="84">
      <t>ケイサン</t>
    </rPh>
    <rPh sb="87" eb="89">
      <t>テンキ</t>
    </rPh>
    <phoneticPr fontId="194"/>
  </si>
  <si>
    <t>◇共用部分</t>
    <rPh sb="1" eb="3">
      <t>キョウヨウ</t>
    </rPh>
    <rPh sb="3" eb="5">
      <t>ブブン</t>
    </rPh>
    <phoneticPr fontId="194"/>
  </si>
  <si>
    <t>BEI（標準法）での評価</t>
    <rPh sb="10" eb="12">
      <t>ヒョウカ</t>
    </rPh>
    <phoneticPr fontId="20"/>
  </si>
  <si>
    <t>BEIm（モデル建物法）での評価</t>
    <rPh sb="14" eb="16">
      <t>ヒョウカ</t>
    </rPh>
    <phoneticPr fontId="20"/>
  </si>
  <si>
    <t>BPI（標準法）</t>
  </si>
  <si>
    <t>BEI（標準法）</t>
  </si>
  <si>
    <t>※算定用プログラムを使わない場合は、「②算定用プログラムを使わない場合の評価」を入力</t>
    <rPh sb="1" eb="3">
      <t>サンテイ</t>
    </rPh>
    <rPh sb="3" eb="4">
      <t>ヨウ</t>
    </rPh>
    <rPh sb="10" eb="11">
      <t>ツカ</t>
    </rPh>
    <rPh sb="14" eb="16">
      <t>バアイ</t>
    </rPh>
    <rPh sb="20" eb="22">
      <t>サンテイ</t>
    </rPh>
    <rPh sb="22" eb="23">
      <t>ヨウ</t>
    </rPh>
    <rPh sb="29" eb="30">
      <t>ツカ</t>
    </rPh>
    <rPh sb="33" eb="35">
      <t>バアイ</t>
    </rPh>
    <rPh sb="36" eb="38">
      <t>ヒョウカ</t>
    </rPh>
    <rPh sb="40" eb="42">
      <t>ニュウリョク</t>
    </rPh>
    <phoneticPr fontId="194"/>
  </si>
  <si>
    <t>基準値
GJ/年</t>
    <rPh sb="0" eb="3">
      <t>キジュンチ</t>
    </rPh>
    <rPh sb="7" eb="8">
      <t>ネン</t>
    </rPh>
    <phoneticPr fontId="194"/>
  </si>
  <si>
    <t>設計値
GJ/年</t>
    <rPh sb="0" eb="2">
      <t>セッケイ</t>
    </rPh>
    <rPh sb="2" eb="3">
      <t>チ</t>
    </rPh>
    <phoneticPr fontId="194"/>
  </si>
  <si>
    <t>基準値
GJ/年</t>
    <rPh sb="0" eb="3">
      <t>キジュンチ</t>
    </rPh>
    <phoneticPr fontId="194"/>
  </si>
  <si>
    <t>BEIm</t>
    <phoneticPr fontId="194"/>
  </si>
  <si>
    <t>BEIm</t>
    <phoneticPr fontId="194"/>
  </si>
  <si>
    <t>太陽光発電等
オンサイト分のエネルギー量
GJ/年</t>
    <rPh sb="0" eb="3">
      <t>タイヨウコウ</t>
    </rPh>
    <rPh sb="3" eb="5">
      <t>ハツデン</t>
    </rPh>
    <rPh sb="5" eb="6">
      <t>トウ</t>
    </rPh>
    <rPh sb="12" eb="13">
      <t>ブン</t>
    </rPh>
    <rPh sb="19" eb="20">
      <t>リョウ</t>
    </rPh>
    <phoneticPr fontId="194"/>
  </si>
  <si>
    <t>太陽光発電等
オンサイト分を含まないBEIm</t>
    <phoneticPr fontId="20"/>
  </si>
  <si>
    <t>太陽光発電等
オンサイト分を含まないBEIm</t>
    <phoneticPr fontId="20"/>
  </si>
  <si>
    <t>うちその他エネルギー（家電・調理分）
GJ/年</t>
    <rPh sb="4" eb="5">
      <t>タ</t>
    </rPh>
    <rPh sb="11" eb="13">
      <t>カデン</t>
    </rPh>
    <rPh sb="14" eb="16">
      <t>チョウリ</t>
    </rPh>
    <rPh sb="16" eb="17">
      <t>ブン</t>
    </rPh>
    <phoneticPr fontId="194"/>
  </si>
  <si>
    <t>BPIm</t>
    <phoneticPr fontId="194"/>
  </si>
  <si>
    <t>2015年9月1日～2015年12月10日</t>
    <rPh sb="4" eb="5">
      <t>ネン</t>
    </rPh>
    <rPh sb="6" eb="7">
      <t>ガツ</t>
    </rPh>
    <rPh sb="8" eb="9">
      <t>ニチ</t>
    </rPh>
    <rPh sb="14" eb="15">
      <t>ネン</t>
    </rPh>
    <rPh sb="17" eb="18">
      <t>ガツ</t>
    </rPh>
    <rPh sb="20" eb="21">
      <t>ニチ</t>
    </rPh>
    <phoneticPr fontId="20"/>
  </si>
  <si>
    <t>BPI（標準法）での評価</t>
    <rPh sb="10" eb="12">
      <t>ヒョウカ</t>
    </rPh>
    <phoneticPr fontId="20"/>
  </si>
  <si>
    <t>BPIm（モデル建物法）での評価</t>
    <rPh sb="14" eb="16">
      <t>ヒョウカ</t>
    </rPh>
    <phoneticPr fontId="20"/>
  </si>
  <si>
    <t>CASBEE大阪みらい編（改修）</t>
    <rPh sb="6" eb="8">
      <t>オオサカ</t>
    </rPh>
    <rPh sb="11" eb="12">
      <t>ヘン</t>
    </rPh>
    <rPh sb="13" eb="15">
      <t>カイシュウ</t>
    </rPh>
    <phoneticPr fontId="20"/>
  </si>
  <si>
    <t>○○</t>
    <phoneticPr fontId="20"/>
  </si>
  <si>
    <t>大阪市○○区○○</t>
    <phoneticPr fontId="20"/>
  </si>
  <si>
    <t>○○○</t>
    <phoneticPr fontId="20"/>
  </si>
  <si>
    <t>大阪市○○区○-○ｰ○</t>
    <phoneticPr fontId="20"/>
  </si>
  <si>
    <t>注）　改修における総合的なコンセプトを簡潔に記載してください。
　（省エネ改修、室内環境改善、外装の更新、高耐久化、情報化対応、コンバージョンなど）</t>
    <phoneticPr fontId="20"/>
  </si>
  <si>
    <t>注）　改修における「Q2　サービス性能」に対する配慮事項を簡潔に記載してください。</t>
    <phoneticPr fontId="20"/>
  </si>
  <si>
    <t>注）　改修における「Q3　室外環境（敷地内）」に対する配慮事項を簡潔に記載してください。</t>
    <phoneticPr fontId="20"/>
  </si>
  <si>
    <t>注）　上記の６つのカテゴリー以外に、改修工事における廃棄物削減・リサイクル、改修による歴史的建造物の延命など、建物自体の環境性能としてＣＡＳＢＥＥで評価し難い環境配慮の取組みがあれば、ここに記載してください。</t>
    <phoneticPr fontId="20"/>
  </si>
  <si>
    <t>注）　改修における「LR3　敷地外環境」に対する配慮事項を簡潔に記載してください。</t>
    <phoneticPr fontId="20"/>
  </si>
  <si>
    <t>注）　改修における「LR2　資源・マテリアル」に対する配慮事項を簡潔に記載してください。</t>
    <phoneticPr fontId="20"/>
  </si>
  <si>
    <t>EB</t>
    <phoneticPr fontId="20"/>
  </si>
</sst>
</file>

<file path=xl/styles.xml><?xml version="1.0" encoding="utf-8"?>
<styleSheet xmlns="http://schemas.openxmlformats.org/spreadsheetml/2006/main">
  <numFmts count="45">
    <numFmt numFmtId="41" formatCode="_ * #,##0_ ;_ * \-#,##0_ ;_ * &quot;-&quot;_ ;_ @_ "/>
    <numFmt numFmtId="176" formatCode="0.0_ "/>
    <numFmt numFmtId="177" formatCode="0.00_ "/>
    <numFmt numFmtId="178" formatCode="0.00_);[Red]\(0.00\)"/>
    <numFmt numFmtId="179" formatCode="0;0;&quot;－&quot;"/>
    <numFmt numFmtId="180" formatCode="#,##0_ "/>
    <numFmt numFmtId="181" formatCode="0.0"/>
    <numFmt numFmtId="182" formatCode="0.0;0.0;&quot;-&quot;\ "/>
    <numFmt numFmtId="183" formatCode="0.00;0.00;&quot;-&quot;\ "/>
    <numFmt numFmtId="184" formatCode="0.0;0.0;&quot;－&quot;"/>
    <numFmt numFmtId="185" formatCode="#,##0.0;[Red]\-#,##0.0"/>
    <numFmt numFmtId="186" formatCode="0.000_ "/>
    <numFmt numFmtId="187" formatCode="0.000_);[Red]\(0.000\)"/>
    <numFmt numFmtId="188" formatCode="0_ "/>
    <numFmt numFmtId="189" formatCode="#,###&quot;㎡&quot;"/>
    <numFmt numFmtId="190" formatCode="0.00;0.00;&quot;&quot;\ "/>
    <numFmt numFmtId="191" formatCode="0.00;0.00;&quot;-&quot;"/>
    <numFmt numFmtId="192" formatCode="&quot;レベル &quot;#0.0"/>
    <numFmt numFmtId="193" formatCode="&quot;レベル &quot;#.0;0.0;&quot;レベル&quot;"/>
    <numFmt numFmtId="194" formatCode="0.000;_Ā"/>
    <numFmt numFmtId="195" formatCode="#&quot;年&quot;"/>
    <numFmt numFmtId="196" formatCode="#,##0.000;[Red]\-#,##0.000"/>
    <numFmt numFmtId="197" formatCode="#,##0.0000;[Red]\-#,##0.0000"/>
    <numFmt numFmtId="198" formatCode="0.0000_ "/>
    <numFmt numFmtId="199" formatCode="0.0_);[Red]\(0.0\)"/>
    <numFmt numFmtId="200" formatCode="0.0;&quot;-&quot;\ "/>
    <numFmt numFmtId="201" formatCode="#,##0.0_ ;[Red]\-#,##0.0\ "/>
    <numFmt numFmtId="202" formatCode="#,##0.0_ "/>
    <numFmt numFmtId="203" formatCode=";;&quot;&quot;"/>
    <numFmt numFmtId="204" formatCode="0.000000_ "/>
    <numFmt numFmtId="205" formatCode="General;General;"/>
    <numFmt numFmtId="206" formatCode="0.0000"/>
    <numFmt numFmtId="207" formatCode="#,##0_);[Red]\(#,##0\)"/>
    <numFmt numFmtId="208" formatCode="&quot;レベル &quot;#.00;0.00;&quot;レベル&quot;"/>
    <numFmt numFmtId="209" formatCode="0.000"/>
    <numFmt numFmtId="210" formatCode="&quot;レベル &quot;#"/>
    <numFmt numFmtId="211" formatCode="&quot;レベル &quot;#0.0;0.00;&quot;対象外&quot;"/>
    <numFmt numFmtId="212" formatCode="0.00000_ "/>
    <numFmt numFmtId="213" formatCode="#,###&quot;年&quot;"/>
    <numFmt numFmtId="214" formatCode="#,##0.00_ "/>
    <numFmt numFmtId="215" formatCode="0_);[Red]\(0\)"/>
    <numFmt numFmtId="216" formatCode="[$-411]ggge&quot;年&quot;m&quot;月&quot;;@"/>
    <numFmt numFmtId="217" formatCode="0.00&quot;㎡&quot;"/>
    <numFmt numFmtId="218" formatCode="&quot;平成&quot;00&quot;年度&quot;"/>
    <numFmt numFmtId="219" formatCode="&quot;№&quot;000"/>
  </numFmts>
  <fonts count="199">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color indexed="17"/>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10"/>
      <name val="ＭＳ Ｐゴシック"/>
      <family val="3"/>
      <charset val="128"/>
    </font>
    <font>
      <sz val="9"/>
      <name val="ＭＳ Ｐゴシック"/>
      <family val="3"/>
      <charset val="128"/>
    </font>
    <font>
      <b/>
      <sz val="10"/>
      <color indexed="9"/>
      <name val="ＭＳ Ｐゴシック"/>
      <family val="3"/>
      <charset val="128"/>
    </font>
    <font>
      <sz val="10"/>
      <name val="Arial"/>
      <family val="2"/>
    </font>
    <font>
      <sz val="10"/>
      <color indexed="9"/>
      <name val="ＭＳ Ｐゴシック"/>
      <family val="3"/>
      <charset val="128"/>
    </font>
    <font>
      <b/>
      <sz val="11"/>
      <name val="ＭＳ Ｐゴシック"/>
      <family val="3"/>
      <charset val="128"/>
    </font>
    <font>
      <sz val="10"/>
      <color indexed="53"/>
      <name val="ＭＳ Ｐゴシック"/>
      <family val="3"/>
      <charset val="128"/>
    </font>
    <font>
      <sz val="9"/>
      <color indexed="21"/>
      <name val="ＭＳ Ｐゴシック"/>
      <family val="3"/>
      <charset val="128"/>
    </font>
    <font>
      <b/>
      <sz val="9"/>
      <name val="Arial"/>
      <family val="2"/>
    </font>
    <font>
      <sz val="9"/>
      <color indexed="8"/>
      <name val="ＭＳ Ｐゴシック"/>
      <family val="3"/>
      <charset val="128"/>
    </font>
    <font>
      <sz val="8"/>
      <name val="ＭＳ Ｐゴシック"/>
      <family val="3"/>
      <charset val="128"/>
    </font>
    <font>
      <vertAlign val="subscript"/>
      <sz val="9"/>
      <color indexed="8"/>
      <name val="ＭＳ Ｐゴシック"/>
      <family val="3"/>
      <charset val="128"/>
    </font>
    <font>
      <b/>
      <sz val="8"/>
      <color indexed="10"/>
      <name val="ＭＳ Ｐゴシック"/>
      <family val="3"/>
      <charset val="128"/>
    </font>
    <font>
      <sz val="10"/>
      <color indexed="10"/>
      <name val="ＭＳ Ｐゴシック"/>
      <family val="3"/>
      <charset val="128"/>
    </font>
    <font>
      <b/>
      <sz val="10"/>
      <name val="ＭＳ Ｐゴシック"/>
      <family val="3"/>
      <charset val="128"/>
    </font>
    <font>
      <sz val="9"/>
      <color indexed="20"/>
      <name val="ＭＳ Ｐゴシック"/>
      <family val="3"/>
      <charset val="128"/>
    </font>
    <font>
      <sz val="10"/>
      <color indexed="21"/>
      <name val="ＭＳ Ｐゴシック"/>
      <family val="3"/>
      <charset val="128"/>
    </font>
    <font>
      <b/>
      <sz val="16"/>
      <name val="ＭＳ Ｐゴシック"/>
      <family val="3"/>
      <charset val="128"/>
    </font>
    <font>
      <b/>
      <sz val="18"/>
      <name val="ＭＳ Ｐゴシック"/>
      <family val="3"/>
      <charset val="128"/>
    </font>
    <font>
      <sz val="10"/>
      <color indexed="63"/>
      <name val="ＭＳ Ｐゴシック"/>
      <family val="3"/>
      <charset val="128"/>
    </font>
    <font>
      <sz val="9"/>
      <name val="Arial"/>
      <family val="2"/>
    </font>
    <font>
      <b/>
      <sz val="14"/>
      <color indexed="9"/>
      <name val="ＭＳ Ｐゴシック"/>
      <family val="3"/>
      <charset val="128"/>
    </font>
    <font>
      <sz val="9"/>
      <color indexed="9"/>
      <name val="ＭＳ Ｐゴシック"/>
      <family val="3"/>
      <charset val="128"/>
    </font>
    <font>
      <b/>
      <sz val="8"/>
      <name val="Arial"/>
      <family val="2"/>
    </font>
    <font>
      <sz val="9"/>
      <color indexed="10"/>
      <name val="Arial"/>
      <family val="2"/>
    </font>
    <font>
      <b/>
      <i/>
      <sz val="14"/>
      <name val="ＭＳ Ｐゴシック"/>
      <family val="3"/>
      <charset val="128"/>
    </font>
    <font>
      <sz val="9"/>
      <color indexed="17"/>
      <name val="ＭＳ Ｐゴシック"/>
      <family val="3"/>
      <charset val="128"/>
    </font>
    <font>
      <b/>
      <sz val="8"/>
      <color indexed="17"/>
      <name val="ＭＳ Ｐゴシック"/>
      <family val="3"/>
      <charset val="128"/>
    </font>
    <font>
      <sz val="9"/>
      <color indexed="10"/>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8"/>
      <name val="ＭＳ Ｐゴシック"/>
      <family val="3"/>
      <charset val="128"/>
    </font>
    <font>
      <b/>
      <sz val="12"/>
      <color indexed="9"/>
      <name val="ＭＳ Ｐゴシック"/>
      <family val="3"/>
      <charset val="128"/>
    </font>
    <font>
      <b/>
      <sz val="9"/>
      <color indexed="9"/>
      <name val="ＭＳ Ｐゴシック"/>
      <family val="3"/>
      <charset val="128"/>
    </font>
    <font>
      <b/>
      <sz val="9"/>
      <color indexed="26"/>
      <name val="ＭＳ Ｐゴシック"/>
      <family val="3"/>
      <charset val="128"/>
    </font>
    <font>
      <sz val="9"/>
      <color indexed="12"/>
      <name val="Arial"/>
      <family val="2"/>
    </font>
    <font>
      <b/>
      <sz val="9"/>
      <color indexed="8"/>
      <name val="ＭＳ Ｐゴシック"/>
      <family val="3"/>
      <charset val="128"/>
    </font>
    <font>
      <b/>
      <sz val="10"/>
      <color indexed="18"/>
      <name val="Arial"/>
      <family val="2"/>
    </font>
    <font>
      <b/>
      <sz val="10"/>
      <color indexed="17"/>
      <name val="ＭＳ Ｐゴシック"/>
      <family val="3"/>
      <charset val="128"/>
    </font>
    <font>
      <sz val="10"/>
      <color indexed="8"/>
      <name val="ＭＳ Ｐゴシック"/>
      <family val="3"/>
      <charset val="128"/>
    </font>
    <font>
      <vertAlign val="subscript"/>
      <sz val="10"/>
      <name val="ＭＳ Ｐゴシック"/>
      <family val="3"/>
      <charset val="128"/>
    </font>
    <font>
      <b/>
      <sz val="10"/>
      <color indexed="18"/>
      <name val="ＭＳ Ｐゴシック"/>
      <family val="3"/>
      <charset val="128"/>
    </font>
    <font>
      <b/>
      <sz val="12"/>
      <name val="ＭＳ Ｐゴシック"/>
      <family val="3"/>
      <charset val="128"/>
    </font>
    <font>
      <sz val="10"/>
      <color indexed="22"/>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0"/>
      <color indexed="10"/>
      <name val="ＭＳ Ｐゴシック"/>
      <family val="3"/>
      <charset val="128"/>
    </font>
    <font>
      <sz val="11"/>
      <name val="Arial"/>
      <family val="2"/>
    </font>
    <font>
      <b/>
      <sz val="11"/>
      <name val="Arial"/>
      <family val="2"/>
    </font>
    <font>
      <b/>
      <sz val="14"/>
      <name val="ＭＳ Ｐゴシック"/>
      <family val="3"/>
      <charset val="128"/>
    </font>
    <font>
      <sz val="11"/>
      <color indexed="9"/>
      <name val="Arial"/>
      <family val="2"/>
    </font>
    <font>
      <sz val="12"/>
      <name val="ＭＳ Ｐゴシック"/>
      <family val="3"/>
      <charset val="128"/>
    </font>
    <font>
      <b/>
      <sz val="14"/>
      <name val="Arial"/>
      <family val="2"/>
    </font>
    <font>
      <sz val="12"/>
      <name val="Arial"/>
      <family val="2"/>
    </font>
    <font>
      <b/>
      <sz val="12"/>
      <name val="Arial"/>
      <family val="2"/>
    </font>
    <font>
      <sz val="14"/>
      <name val="ＭＳ Ｐゴシック"/>
      <family val="3"/>
      <charset val="128"/>
    </font>
    <font>
      <sz val="8"/>
      <name val="Arial"/>
      <family val="2"/>
    </font>
    <font>
      <b/>
      <sz val="8"/>
      <color indexed="9"/>
      <name val="ＭＳ Ｐゴシック"/>
      <family val="3"/>
      <charset val="128"/>
    </font>
    <font>
      <b/>
      <i/>
      <sz val="11"/>
      <name val="ＭＳ Ｐゴシック"/>
      <family val="3"/>
      <charset val="128"/>
    </font>
    <font>
      <sz val="11"/>
      <color indexed="23"/>
      <name val="ＭＳ Ｐゴシック"/>
      <family val="3"/>
      <charset val="128"/>
    </font>
    <font>
      <b/>
      <sz val="10"/>
      <color indexed="9"/>
      <name val="Arial"/>
      <family val="2"/>
    </font>
    <font>
      <b/>
      <sz val="11"/>
      <color indexed="63"/>
      <name val="Arial"/>
      <family val="2"/>
    </font>
    <font>
      <sz val="9"/>
      <color indexed="63"/>
      <name val="Arial"/>
      <family val="2"/>
    </font>
    <font>
      <b/>
      <sz val="9"/>
      <color indexed="63"/>
      <name val="Arial"/>
      <family val="2"/>
    </font>
    <font>
      <b/>
      <sz val="10"/>
      <color indexed="63"/>
      <name val="ＭＳ Ｐゴシック"/>
      <family val="3"/>
      <charset val="128"/>
    </font>
    <font>
      <b/>
      <sz val="10"/>
      <color indexed="63"/>
      <name val="Arial"/>
      <family val="2"/>
    </font>
    <font>
      <b/>
      <sz val="18"/>
      <name val="Arial"/>
      <family val="2"/>
    </font>
    <font>
      <sz val="12"/>
      <color indexed="10"/>
      <name val="Arial"/>
      <family val="2"/>
    </font>
    <font>
      <b/>
      <i/>
      <sz val="9"/>
      <name val="ＭＳ Ｐ明朝"/>
      <family val="1"/>
      <charset val="128"/>
    </font>
    <font>
      <sz val="9"/>
      <color indexed="17"/>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Arial"/>
      <family val="2"/>
    </font>
    <font>
      <b/>
      <sz val="6"/>
      <color indexed="9"/>
      <name val="ＭＳ Ｐゴシック"/>
      <family val="3"/>
      <charset val="128"/>
    </font>
    <font>
      <sz val="11"/>
      <color indexed="63"/>
      <name val="Arial"/>
      <family val="2"/>
    </font>
    <font>
      <i/>
      <sz val="10"/>
      <name val="ＭＳ Ｐゴシック"/>
      <family val="3"/>
      <charset val="128"/>
    </font>
    <font>
      <sz val="10"/>
      <color indexed="10"/>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b/>
      <sz val="11"/>
      <color indexed="10"/>
      <name val="Arial"/>
      <family val="2"/>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i/>
      <sz val="8"/>
      <name val="Arial"/>
      <family val="2"/>
    </font>
    <font>
      <sz val="8"/>
      <color indexed="23"/>
      <name val="Arial"/>
      <family val="2"/>
    </font>
    <font>
      <sz val="8"/>
      <color indexed="10"/>
      <name val="Arial"/>
      <family val="2"/>
    </font>
    <font>
      <sz val="8"/>
      <color indexed="10"/>
      <name val="ＭＳ Ｐゴシック"/>
      <family val="3"/>
      <charset val="128"/>
    </font>
    <font>
      <sz val="6"/>
      <color indexed="23"/>
      <name val="Arial"/>
      <family val="2"/>
    </font>
    <font>
      <sz val="6"/>
      <name val="Arial"/>
      <family val="2"/>
    </font>
    <font>
      <b/>
      <sz val="10"/>
      <color indexed="22"/>
      <name val="Arial"/>
      <family val="2"/>
    </font>
    <font>
      <sz val="10"/>
      <color indexed="22"/>
      <name val="Arial"/>
      <family val="2"/>
    </font>
    <font>
      <b/>
      <i/>
      <sz val="14"/>
      <name val="Arial"/>
      <family val="2"/>
    </font>
    <font>
      <b/>
      <vertAlign val="subscript"/>
      <sz val="12"/>
      <color indexed="9"/>
      <name val="Arial"/>
      <family val="2"/>
    </font>
    <font>
      <b/>
      <vertAlign val="subscript"/>
      <sz val="13"/>
      <name val="ＭＳ Ｐゴシック"/>
      <family val="3"/>
      <charset val="128"/>
    </font>
    <font>
      <b/>
      <sz val="13"/>
      <name val="ＭＳ Ｐゴシック"/>
      <family val="3"/>
      <charset val="128"/>
    </font>
    <font>
      <sz val="13"/>
      <name val="ＭＳ Ｐゴシック"/>
      <family val="3"/>
      <charset val="128"/>
    </font>
    <font>
      <b/>
      <vertAlign val="subscript"/>
      <sz val="10"/>
      <name val="Arial"/>
      <family val="2"/>
    </font>
    <font>
      <b/>
      <sz val="12"/>
      <color indexed="17"/>
      <name val="Arial"/>
      <family val="2"/>
    </font>
    <font>
      <b/>
      <sz val="10"/>
      <color indexed="8"/>
      <name val="ＭＳ Ｐゴシック"/>
      <family val="3"/>
      <charset val="128"/>
    </font>
    <font>
      <sz val="9"/>
      <color indexed="8"/>
      <name val="Arial"/>
      <family val="2"/>
    </font>
    <font>
      <vertAlign val="subscript"/>
      <sz val="12"/>
      <name val="ＭＳ Ｐゴシック"/>
      <family val="3"/>
      <charset val="128"/>
    </font>
    <font>
      <b/>
      <sz val="12"/>
      <color indexed="10"/>
      <name val="Arial"/>
      <family val="2"/>
    </font>
    <font>
      <sz val="12"/>
      <color indexed="8"/>
      <name val="Arial"/>
      <family val="2"/>
    </font>
    <font>
      <b/>
      <sz val="12"/>
      <color indexed="50"/>
      <name val="Arial"/>
      <family val="2"/>
    </font>
    <font>
      <b/>
      <vertAlign val="subscript"/>
      <sz val="12"/>
      <name val="ＭＳ Ｐゴシック"/>
      <family val="3"/>
      <charset val="128"/>
    </font>
    <font>
      <b/>
      <vertAlign val="subscript"/>
      <sz val="11"/>
      <name val="ＭＳ Ｐゴシック"/>
      <family val="3"/>
      <charset val="128"/>
    </font>
    <font>
      <b/>
      <sz val="10"/>
      <color indexed="12"/>
      <name val="ＭＳ Ｐゴシック"/>
      <family val="3"/>
      <charset val="128"/>
    </font>
    <font>
      <b/>
      <sz val="14"/>
      <color indexed="8"/>
      <name val="ＭＳ Ｐゴシック"/>
      <family val="3"/>
      <charset val="128"/>
    </font>
    <font>
      <sz val="14"/>
      <color indexed="8"/>
      <name val="ＭＳ Ｐゴシック"/>
      <family val="3"/>
      <charset val="128"/>
    </font>
    <font>
      <sz val="14"/>
      <color indexed="10"/>
      <name val="ＭＳ Ｐゴシック"/>
      <family val="3"/>
      <charset val="128"/>
    </font>
    <font>
      <sz val="9"/>
      <color indexed="81"/>
      <name val="ＭＳ Ｐゴシック"/>
      <family val="3"/>
      <charset val="128"/>
    </font>
    <font>
      <sz val="11"/>
      <color indexed="81"/>
      <name val="ＭＳ Ｐゴシック"/>
      <family val="3"/>
      <charset val="128"/>
    </font>
    <font>
      <b/>
      <sz val="10"/>
      <color indexed="81"/>
      <name val="ＭＳ Ｐゴシック"/>
      <family val="3"/>
      <charset val="128"/>
    </font>
    <font>
      <b/>
      <strike/>
      <sz val="10"/>
      <name val="ＭＳ Ｐゴシック"/>
      <family val="3"/>
      <charset val="128"/>
    </font>
    <font>
      <b/>
      <strike/>
      <sz val="10"/>
      <color indexed="18"/>
      <name val="Arial"/>
      <family val="2"/>
    </font>
    <font>
      <strike/>
      <sz val="10"/>
      <name val="ＭＳ Ｐゴシック"/>
      <family val="3"/>
      <charset val="128"/>
    </font>
    <font>
      <b/>
      <strike/>
      <sz val="9"/>
      <color indexed="8"/>
      <name val="ＭＳ Ｐゴシック"/>
      <family val="3"/>
      <charset val="128"/>
    </font>
    <font>
      <strike/>
      <sz val="9"/>
      <name val="ＭＳ Ｐゴシック"/>
      <family val="3"/>
      <charset val="128"/>
    </font>
    <font>
      <strike/>
      <sz val="8"/>
      <name val="ＭＳ Ｐゴシック"/>
      <family val="3"/>
      <charset val="128"/>
    </font>
    <font>
      <b/>
      <sz val="16"/>
      <color indexed="9"/>
      <name val="ＭＳ Ｐゴシック"/>
      <family val="3"/>
      <charset val="128"/>
    </font>
    <font>
      <b/>
      <sz val="9"/>
      <color indexed="10"/>
      <name val="ＭＳ Ｐゴシック"/>
      <family val="3"/>
      <charset val="128"/>
    </font>
    <font>
      <b/>
      <sz val="9"/>
      <color indexed="81"/>
      <name val="ＭＳ Ｐゴシック"/>
      <family val="3"/>
      <charset val="128"/>
    </font>
    <font>
      <i/>
      <sz val="9"/>
      <name val="ＭＳ Ｐ明朝"/>
      <family val="1"/>
      <charset val="128"/>
    </font>
    <font>
      <sz val="10"/>
      <color indexed="12"/>
      <name val="ＭＳ Ｐゴシック"/>
      <family val="3"/>
      <charset val="128"/>
    </font>
    <font>
      <b/>
      <sz val="10"/>
      <color theme="1" tint="0.249977111117893"/>
      <name val="ＭＳ Ｐゴシック"/>
      <family val="3"/>
      <charset val="128"/>
    </font>
    <font>
      <b/>
      <sz val="10"/>
      <color indexed="10"/>
      <name val="Arial"/>
      <family val="2"/>
    </font>
    <font>
      <b/>
      <strike/>
      <sz val="11"/>
      <name val="ＭＳ Ｐゴシック"/>
      <family val="3"/>
      <charset val="128"/>
    </font>
    <font>
      <b/>
      <sz val="18"/>
      <color indexed="10"/>
      <name val="ＭＳ Ｐゴシック"/>
      <family val="3"/>
      <charset val="128"/>
    </font>
    <font>
      <b/>
      <sz val="11"/>
      <color indexed="10"/>
      <name val="ＭＳ Ｐゴシック"/>
      <family val="3"/>
      <charset val="128"/>
    </font>
    <font>
      <sz val="18"/>
      <name val="ＭＳ Ｐゴシック"/>
      <family val="3"/>
      <charset val="128"/>
    </font>
    <font>
      <b/>
      <sz val="16"/>
      <color indexed="12"/>
      <name val="ＨＧｺﾞｼｯｸE-PRO"/>
      <family val="3"/>
      <charset val="128"/>
    </font>
    <font>
      <b/>
      <sz val="20"/>
      <color indexed="12"/>
      <name val="ＨＧｺﾞｼｯｸE-PRO"/>
      <family val="3"/>
      <charset val="128"/>
    </font>
    <font>
      <b/>
      <sz val="16"/>
      <color indexed="10"/>
      <name val="ＨＧｺﾞｼｯｸE-PRO"/>
      <family val="3"/>
      <charset val="128"/>
    </font>
    <font>
      <b/>
      <sz val="20"/>
      <color indexed="10"/>
      <name val="ＨＧｺﾞｼｯｸE-PRO"/>
      <family val="3"/>
      <charset val="128"/>
    </font>
    <font>
      <b/>
      <sz val="16"/>
      <color indexed="10"/>
      <name val="ＭＳ Ｐゴシック"/>
      <family val="3"/>
      <charset val="128"/>
    </font>
    <font>
      <sz val="11"/>
      <name val="ＭＳ ゴシック"/>
      <family val="3"/>
      <charset val="128"/>
    </font>
    <font>
      <b/>
      <sz val="20"/>
      <color indexed="10"/>
      <name val="Arial"/>
      <family val="2"/>
    </font>
    <font>
      <sz val="10"/>
      <color theme="1"/>
      <name val="ＭＳ Ｐゴシック"/>
      <family val="3"/>
      <charset val="128"/>
      <scheme val="minor"/>
    </font>
    <font>
      <sz val="6"/>
      <name val="ＭＳ Ｐゴシック"/>
      <family val="2"/>
      <charset val="128"/>
      <scheme val="minor"/>
    </font>
    <font>
      <sz val="10"/>
      <color theme="1"/>
      <name val="ＭＳ Ｐゴシック"/>
      <family val="2"/>
      <charset val="128"/>
      <scheme val="minor"/>
    </font>
    <font>
      <sz val="8"/>
      <color theme="1"/>
      <name val="ＭＳ Ｐゴシック"/>
      <family val="3"/>
      <charset val="128"/>
      <scheme val="minor"/>
    </font>
    <font>
      <sz val="6"/>
      <name val="HGPｺﾞｼｯｸE"/>
      <family val="3"/>
      <charset val="128"/>
    </font>
    <font>
      <sz val="11"/>
      <name val="HGPｺﾞｼｯｸE"/>
      <family val="3"/>
      <charset val="128"/>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6"/>
        <bgColor indexed="64"/>
      </patternFill>
    </fill>
    <fill>
      <patternFill patternType="solid">
        <fgColor indexed="17"/>
        <bgColor indexed="64"/>
      </patternFill>
    </fill>
    <fill>
      <patternFill patternType="solid">
        <fgColor indexed="22"/>
        <bgColor indexed="64"/>
      </patternFill>
    </fill>
    <fill>
      <patternFill patternType="solid">
        <fgColor indexed="41"/>
        <bgColor indexed="64"/>
      </patternFill>
    </fill>
    <fill>
      <patternFill patternType="solid">
        <fgColor indexed="63"/>
        <bgColor indexed="64"/>
      </patternFill>
    </fill>
    <fill>
      <patternFill patternType="solid">
        <fgColor indexed="47"/>
        <bgColor indexed="64"/>
      </patternFill>
    </fill>
    <fill>
      <patternFill patternType="solid">
        <fgColor indexed="23"/>
        <bgColor indexed="64"/>
      </patternFill>
    </fill>
    <fill>
      <patternFill patternType="lightTrellis">
        <bgColor indexed="26"/>
      </patternFill>
    </fill>
    <fill>
      <patternFill patternType="solid">
        <fgColor indexed="45"/>
        <bgColor indexed="64"/>
      </patternFill>
    </fill>
    <fill>
      <patternFill patternType="solid">
        <fgColor indexed="46"/>
        <bgColor indexed="64"/>
      </patternFill>
    </fill>
    <fill>
      <patternFill patternType="lightTrellis"/>
    </fill>
    <fill>
      <patternFill patternType="solid">
        <fgColor indexed="8"/>
        <bgColor indexed="64"/>
      </patternFill>
    </fill>
    <fill>
      <patternFill patternType="solid">
        <fgColor indexed="40"/>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5"/>
        <bgColor indexed="64"/>
      </patternFill>
    </fill>
    <fill>
      <patternFill patternType="solid">
        <fgColor indexed="42"/>
        <bgColor indexed="64"/>
      </patternFill>
    </fill>
    <fill>
      <patternFill patternType="solid">
        <fgColor indexed="9"/>
        <bgColor indexed="64"/>
      </patternFill>
    </fill>
    <fill>
      <patternFill patternType="solid">
        <fgColor indexed="27"/>
        <bgColor indexed="64"/>
      </patternFill>
    </fill>
    <fill>
      <patternFill patternType="solid">
        <fgColor indexed="10"/>
        <bgColor indexed="64"/>
      </patternFill>
    </fill>
    <fill>
      <patternFill patternType="solid">
        <fgColor indexed="13"/>
        <bgColor indexed="64"/>
      </patternFill>
    </fill>
    <fill>
      <patternFill patternType="lightTrellis">
        <bgColor indexed="9"/>
      </patternFill>
    </fill>
    <fill>
      <patternFill patternType="solid">
        <fgColor rgb="FFFFFF00"/>
        <bgColor indexed="64"/>
      </patternFill>
    </fill>
    <fill>
      <patternFill patternType="solid">
        <fgColor theme="0" tint="-0.499984740745262"/>
        <bgColor indexed="64"/>
      </patternFill>
    </fill>
    <fill>
      <patternFill patternType="solid">
        <fgColor indexed="14"/>
        <bgColor indexed="64"/>
      </patternFill>
    </fill>
    <fill>
      <patternFill patternType="solid">
        <fgColor rgb="FFCCFFFF"/>
        <bgColor indexed="64"/>
      </patternFill>
    </fill>
    <fill>
      <patternFill patternType="solid">
        <fgColor rgb="FFFFFFCC"/>
        <bgColor indexed="64"/>
      </patternFill>
    </fill>
    <fill>
      <patternFill patternType="solid">
        <fgColor indexed="49"/>
        <bgColor indexed="64"/>
      </patternFill>
    </fill>
    <fill>
      <patternFill patternType="solid">
        <fgColor indexed="43"/>
        <bgColor indexed="64"/>
      </patternFill>
    </fill>
  </fills>
  <borders count="27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medium">
        <color indexed="17"/>
      </left>
      <right style="thin">
        <color indexed="64"/>
      </right>
      <top/>
      <bottom/>
      <diagonal/>
    </border>
    <border>
      <left style="thin">
        <color indexed="64"/>
      </left>
      <right/>
      <top/>
      <bottom/>
      <diagonal/>
    </border>
    <border>
      <left/>
      <right style="medium">
        <color indexed="17"/>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style="medium">
        <color indexed="17"/>
      </left>
      <right/>
      <top style="thin">
        <color indexed="17"/>
      </top>
      <bottom/>
      <diagonal/>
    </border>
    <border>
      <left/>
      <right/>
      <top style="thin">
        <color indexed="17"/>
      </top>
      <bottom/>
      <diagonal/>
    </border>
    <border>
      <left/>
      <right style="medium">
        <color indexed="17"/>
      </right>
      <top style="thin">
        <color indexed="17"/>
      </top>
      <bottom/>
      <diagonal/>
    </border>
    <border>
      <left style="medium">
        <color indexed="17"/>
      </left>
      <right/>
      <top/>
      <bottom style="thin">
        <color indexed="17"/>
      </bottom>
      <diagonal/>
    </border>
    <border>
      <left/>
      <right/>
      <top/>
      <bottom style="thin">
        <color indexed="17"/>
      </bottom>
      <diagonal/>
    </border>
    <border>
      <left/>
      <right style="medium">
        <color indexed="17"/>
      </right>
      <top/>
      <bottom style="thin">
        <color indexed="17"/>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hair">
        <color indexed="64"/>
      </top>
      <bottom style="hair">
        <color indexed="64"/>
      </bottom>
      <diagonal/>
    </border>
    <border>
      <left/>
      <right/>
      <top style="medium">
        <color indexed="17"/>
      </top>
      <bottom style="hair">
        <color indexed="64"/>
      </bottom>
      <diagonal/>
    </border>
    <border>
      <left style="medium">
        <color indexed="17"/>
      </left>
      <right style="medium">
        <color indexed="17"/>
      </right>
      <top style="medium">
        <color indexed="17"/>
      </top>
      <bottom/>
      <diagonal/>
    </border>
    <border>
      <left/>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medium">
        <color indexed="23"/>
      </bottom>
      <diagonal/>
    </border>
    <border>
      <left style="medium">
        <color indexed="64"/>
      </left>
      <right/>
      <top/>
      <bottom/>
      <diagonal/>
    </border>
    <border>
      <left style="dashed">
        <color indexed="64"/>
      </left>
      <right style="medium">
        <color indexed="64"/>
      </right>
      <top style="thin">
        <color indexed="64"/>
      </top>
      <bottom/>
      <diagonal/>
    </border>
    <border>
      <left style="medium">
        <color indexed="64"/>
      </left>
      <right/>
      <top/>
      <bottom style="medium">
        <color indexed="23"/>
      </bottom>
      <diagonal/>
    </border>
    <border>
      <left/>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top style="medium">
        <color indexed="23"/>
      </top>
      <bottom style="medium">
        <color indexed="23"/>
      </bottom>
      <diagonal/>
    </border>
    <border>
      <left style="thin">
        <color indexed="64"/>
      </left>
      <right style="thin">
        <color indexed="64"/>
      </right>
      <top style="medium">
        <color indexed="23"/>
      </top>
      <bottom style="medium">
        <color indexed="23"/>
      </bottom>
      <diagonal/>
    </border>
    <border>
      <left style="dashed">
        <color indexed="64"/>
      </left>
      <right style="medium">
        <color indexed="64"/>
      </right>
      <top style="medium">
        <color indexed="23"/>
      </top>
      <bottom style="medium">
        <color indexed="23"/>
      </bottom>
      <diagonal/>
    </border>
    <border>
      <left/>
      <right style="medium">
        <color indexed="64"/>
      </right>
      <top style="medium">
        <color indexed="23"/>
      </top>
      <bottom style="medium">
        <color indexed="23"/>
      </bottom>
      <diagonal/>
    </border>
    <border>
      <left/>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dashed">
        <color indexed="64"/>
      </left>
      <right style="medium">
        <color indexed="64"/>
      </right>
      <top style="medium">
        <color indexed="23"/>
      </top>
      <bottom/>
      <diagonal/>
    </border>
    <border>
      <left/>
      <right style="medium">
        <color indexed="64"/>
      </right>
      <top style="medium">
        <color indexed="23"/>
      </top>
      <bottom/>
      <diagonal/>
    </border>
    <border>
      <left style="medium">
        <color indexed="64"/>
      </left>
      <right/>
      <top style="medium">
        <color indexed="23"/>
      </top>
      <bottom/>
      <diagonal/>
    </border>
    <border>
      <left style="medium">
        <color indexed="64"/>
      </left>
      <right/>
      <top style="thin">
        <color indexed="64"/>
      </top>
      <bottom/>
      <diagonal/>
    </border>
    <border>
      <left style="medium">
        <color indexed="64"/>
      </left>
      <right/>
      <top/>
      <bottom style="medium">
        <color indexed="64"/>
      </bottom>
      <diagonal/>
    </border>
    <border>
      <left style="dashed">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dashed">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dashed">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style="thin">
        <color indexed="64"/>
      </left>
      <right style="thin">
        <color indexed="64"/>
      </right>
      <top style="medium">
        <color indexed="64"/>
      </top>
      <bottom style="medium">
        <color indexed="23"/>
      </bottom>
      <diagonal/>
    </border>
    <border>
      <left style="dashed">
        <color indexed="64"/>
      </left>
      <right style="medium">
        <color indexed="64"/>
      </right>
      <top/>
      <bottom style="medium">
        <color indexed="23"/>
      </bottom>
      <diagonal/>
    </border>
    <border>
      <left/>
      <right/>
      <top/>
      <bottom style="medium">
        <color indexed="23"/>
      </bottom>
      <diagonal/>
    </border>
    <border>
      <left/>
      <right style="medium">
        <color indexed="64"/>
      </right>
      <top style="medium">
        <color indexed="64"/>
      </top>
      <bottom style="medium">
        <color indexed="23"/>
      </bottom>
      <diagonal/>
    </border>
    <border>
      <left style="dashed">
        <color indexed="64"/>
      </left>
      <right style="medium">
        <color indexed="64"/>
      </right>
      <top style="medium">
        <color indexed="23"/>
      </top>
      <bottom style="thin">
        <color indexed="64"/>
      </bottom>
      <diagonal/>
    </border>
    <border>
      <left/>
      <right style="medium">
        <color indexed="64"/>
      </right>
      <top style="medium">
        <color indexed="23"/>
      </top>
      <bottom style="thin">
        <color indexed="64"/>
      </bottom>
      <diagonal/>
    </border>
    <border>
      <left style="medium">
        <color indexed="64"/>
      </left>
      <right/>
      <top style="medium">
        <color indexed="23"/>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top style="medium">
        <color indexed="23"/>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23"/>
      </top>
      <bottom style="medium">
        <color indexed="23"/>
      </bottom>
      <diagonal/>
    </border>
    <border>
      <left/>
      <right style="thin">
        <color indexed="64"/>
      </right>
      <top style="medium">
        <color indexed="23"/>
      </top>
      <bottom style="medium">
        <color indexed="23"/>
      </bottom>
      <diagonal/>
    </border>
    <border>
      <left style="dashed">
        <color indexed="64"/>
      </left>
      <right style="medium">
        <color indexed="64"/>
      </right>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bottom style="medium">
        <color indexed="64"/>
      </bottom>
      <diagonal/>
    </border>
    <border>
      <left style="thin">
        <color indexed="64"/>
      </left>
      <right/>
      <top/>
      <bottom style="medium">
        <color indexed="23"/>
      </bottom>
      <diagonal/>
    </border>
    <border>
      <left style="thin">
        <color indexed="64"/>
      </left>
      <right style="thin">
        <color indexed="64"/>
      </right>
      <top/>
      <bottom style="medium">
        <color indexed="23"/>
      </bottom>
      <diagonal/>
    </border>
    <border>
      <left style="thin">
        <color indexed="64"/>
      </left>
      <right style="dashed">
        <color indexed="64"/>
      </right>
      <top style="medium">
        <color indexed="23"/>
      </top>
      <bottom style="medium">
        <color indexed="23"/>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bottom style="thin">
        <color indexed="64"/>
      </bottom>
      <diagonal/>
    </border>
    <border>
      <left style="thin">
        <color indexed="64"/>
      </left>
      <right style="dashed">
        <color indexed="64"/>
      </right>
      <top/>
      <bottom/>
      <diagonal/>
    </border>
    <border>
      <left style="thin">
        <color indexed="64"/>
      </left>
      <right style="dashed">
        <color indexed="64"/>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style="medium">
        <color indexed="64"/>
      </top>
      <bottom/>
      <diagonal/>
    </border>
    <border>
      <left style="thin">
        <color indexed="64"/>
      </left>
      <right/>
      <top style="medium">
        <color indexed="64"/>
      </top>
      <bottom style="medium">
        <color indexed="23"/>
      </bottom>
      <diagonal/>
    </border>
    <border>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64"/>
      </bottom>
      <diagonal/>
    </border>
    <border>
      <left style="thin">
        <color indexed="64"/>
      </left>
      <right style="dashed">
        <color indexed="64"/>
      </right>
      <top style="medium">
        <color indexed="23"/>
      </top>
      <bottom/>
      <diagonal/>
    </border>
    <border>
      <left/>
      <right style="thin">
        <color indexed="64"/>
      </right>
      <top/>
      <bottom style="medium">
        <color indexed="64"/>
      </bottom>
      <diagonal/>
    </border>
    <border>
      <left style="medium">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thin">
        <color indexed="64"/>
      </left>
      <right style="dashed">
        <color indexed="64"/>
      </right>
      <top style="medium">
        <color indexed="64"/>
      </top>
      <bottom style="thin">
        <color indexed="64"/>
      </bottom>
      <diagonal/>
    </border>
    <border>
      <left style="medium">
        <color indexed="9"/>
      </left>
      <right/>
      <top style="medium">
        <color indexed="64"/>
      </top>
      <bottom style="medium">
        <color indexed="64"/>
      </bottom>
      <diagonal/>
    </border>
    <border>
      <left style="hair">
        <color indexed="64"/>
      </left>
      <right/>
      <top/>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9"/>
      </right>
      <top style="medium">
        <color indexed="64"/>
      </top>
      <bottom style="medium">
        <color indexed="64"/>
      </bottom>
      <diagonal/>
    </border>
    <border>
      <left style="medium">
        <color indexed="9"/>
      </left>
      <right/>
      <top style="medium">
        <color indexed="64"/>
      </top>
      <bottom/>
      <diagonal/>
    </border>
    <border>
      <left style="hair">
        <color indexed="64"/>
      </left>
      <right/>
      <top/>
      <bottom style="medium">
        <color indexed="64"/>
      </bottom>
      <diagonal/>
    </border>
    <border>
      <left style="medium">
        <color indexed="64"/>
      </left>
      <right style="thin">
        <color indexed="64"/>
      </right>
      <top style="medium">
        <color indexed="64"/>
      </top>
      <bottom style="thin">
        <color indexed="64"/>
      </bottom>
      <diagonal/>
    </border>
    <border>
      <left/>
      <right style="hair">
        <color indexed="64"/>
      </right>
      <top style="thin">
        <color indexed="64"/>
      </top>
      <bottom/>
      <diagonal/>
    </border>
    <border>
      <left/>
      <right style="hair">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right style="medium">
        <color indexed="64"/>
      </right>
      <top style="hair">
        <color indexed="64"/>
      </top>
      <bottom/>
      <diagonal/>
    </border>
    <border>
      <left/>
      <right/>
      <top style="hair">
        <color indexed="64"/>
      </top>
      <bottom/>
      <diagonal/>
    </border>
    <border>
      <left/>
      <right/>
      <top/>
      <bottom style="medium">
        <color indexed="17"/>
      </bottom>
      <diagonal/>
    </border>
    <border>
      <left/>
      <right style="medium">
        <color indexed="17"/>
      </right>
      <top/>
      <bottom style="medium">
        <color indexed="17"/>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top style="hair">
        <color indexed="64"/>
      </top>
      <bottom/>
      <diagonal/>
    </border>
    <border>
      <left style="dashed">
        <color indexed="64"/>
      </left>
      <right style="medium">
        <color indexed="64"/>
      </right>
      <top style="thin">
        <color indexed="64"/>
      </top>
      <bottom style="thin">
        <color indexed="64"/>
      </bottom>
      <diagonal/>
    </border>
    <border>
      <left/>
      <right style="medium">
        <color indexed="17"/>
      </right>
      <top style="thin">
        <color indexed="64"/>
      </top>
      <bottom/>
      <diagonal/>
    </border>
    <border>
      <left style="thin">
        <color indexed="64"/>
      </left>
      <right/>
      <top/>
      <bottom style="medium">
        <color indexed="17"/>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medium">
        <color indexed="23"/>
      </top>
      <bottom style="thin">
        <color indexed="64"/>
      </bottom>
      <diagonal/>
    </border>
    <border>
      <left/>
      <right style="thin">
        <color indexed="64"/>
      </right>
      <top/>
      <bottom style="medium">
        <color indexed="23"/>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thin">
        <color indexed="64"/>
      </right>
      <top style="thin">
        <color indexed="64"/>
      </top>
      <bottom/>
      <diagonal/>
    </border>
    <border>
      <left style="thin">
        <color indexed="64"/>
      </left>
      <right style="dashed">
        <color indexed="64"/>
      </right>
      <top/>
      <bottom style="medium">
        <color indexed="23"/>
      </bottom>
      <diagonal/>
    </border>
    <border>
      <left style="medium">
        <color indexed="64"/>
      </left>
      <right style="medium">
        <color indexed="64"/>
      </right>
      <top/>
      <bottom style="medium">
        <color indexed="23"/>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ashed">
        <color indexed="64"/>
      </right>
      <top/>
      <bottom style="medium">
        <color indexed="64"/>
      </bottom>
      <diagonal/>
    </border>
    <border>
      <left/>
      <right style="medium">
        <color indexed="17"/>
      </right>
      <top style="thin">
        <color indexed="64"/>
      </top>
      <bottom style="thin">
        <color indexed="64"/>
      </bottom>
      <diagonal/>
    </border>
    <border>
      <left style="medium">
        <color indexed="17"/>
      </left>
      <right style="thin">
        <color indexed="64"/>
      </right>
      <top style="thin">
        <color indexed="8"/>
      </top>
      <bottom style="thin">
        <color indexed="64"/>
      </bottom>
      <diagonal/>
    </border>
    <border>
      <left style="thin">
        <color indexed="64"/>
      </left>
      <right/>
      <top style="medium">
        <color indexed="17"/>
      </top>
      <bottom style="thin">
        <color indexed="64"/>
      </bottom>
      <diagonal/>
    </border>
    <border>
      <left/>
      <right/>
      <top style="medium">
        <color indexed="17"/>
      </top>
      <bottom style="thin">
        <color indexed="64"/>
      </bottom>
      <diagonal/>
    </border>
    <border>
      <left/>
      <right style="medium">
        <color indexed="17"/>
      </right>
      <top style="medium">
        <color indexed="17"/>
      </top>
      <bottom style="thin">
        <color indexed="64"/>
      </bottom>
      <diagonal/>
    </border>
    <border>
      <left style="thin">
        <color indexed="64"/>
      </left>
      <right/>
      <top style="thin">
        <color indexed="64"/>
      </top>
      <bottom style="medium">
        <color indexed="17"/>
      </bottom>
      <diagonal/>
    </border>
    <border>
      <left/>
      <right/>
      <top style="thin">
        <color indexed="64"/>
      </top>
      <bottom style="medium">
        <color indexed="17"/>
      </bottom>
      <diagonal/>
    </border>
    <border>
      <left/>
      <right style="medium">
        <color indexed="17"/>
      </right>
      <top style="thin">
        <color indexed="64"/>
      </top>
      <bottom style="medium">
        <color indexed="17"/>
      </bottom>
      <diagonal/>
    </border>
    <border>
      <left style="medium">
        <color indexed="17"/>
      </left>
      <right/>
      <top/>
      <bottom style="hair">
        <color indexed="64"/>
      </bottom>
      <diagonal/>
    </border>
    <border>
      <left/>
      <right style="medium">
        <color indexed="17"/>
      </right>
      <top/>
      <bottom style="hair">
        <color indexed="17"/>
      </bottom>
      <diagonal/>
    </border>
    <border>
      <left style="medium">
        <color indexed="17"/>
      </left>
      <right/>
      <top style="medium">
        <color indexed="17"/>
      </top>
      <bottom style="hair">
        <color auto="1"/>
      </bottom>
      <diagonal/>
    </border>
    <border>
      <left/>
      <right style="medium">
        <color indexed="17"/>
      </right>
      <top style="medium">
        <color indexed="17"/>
      </top>
      <bottom style="hair">
        <color auto="1"/>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style="hair">
        <color indexed="64"/>
      </top>
      <bottom style="hair">
        <color indexed="64"/>
      </bottom>
      <diagonal/>
    </border>
    <border>
      <left style="hair">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medium">
        <color indexed="64"/>
      </top>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thin">
        <color indexed="64"/>
      </top>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medium">
        <color indexed="64"/>
      </top>
      <bottom style="hair">
        <color indexed="64"/>
      </bottom>
      <diagonal/>
    </border>
    <border>
      <left style="medium">
        <color indexed="17"/>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17"/>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style="thin">
        <color auto="1"/>
      </top>
      <bottom/>
      <diagonal/>
    </border>
    <border>
      <left style="thin">
        <color auto="1"/>
      </left>
      <right style="thin">
        <color auto="1"/>
      </right>
      <top style="thin">
        <color auto="1"/>
      </top>
      <bottom style="thin">
        <color auto="1"/>
      </bottom>
      <diagonal/>
    </border>
    <border>
      <left/>
      <right/>
      <top/>
      <bottom style="medium">
        <color auto="1"/>
      </bottom>
      <diagonal/>
    </border>
    <border>
      <left/>
      <right style="medium">
        <color auto="1"/>
      </right>
      <top/>
      <bottom style="medium">
        <color auto="1"/>
      </bottom>
      <diagonal/>
    </border>
  </borders>
  <cellStyleXfs count="49">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Protection="0">
      <alignment horizontal="left" vertical="center" indent="1"/>
      <protection locked="0"/>
    </xf>
    <xf numFmtId="0" fontId="6" fillId="22" borderId="2" applyNumberFormat="0" applyFont="0" applyAlignment="0" applyProtection="0">
      <alignment vertical="center"/>
    </xf>
    <xf numFmtId="0" fontId="8"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38" fontId="6" fillId="0" borderId="0" applyFon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6" fillId="0" borderId="0"/>
    <xf numFmtId="0" fontId="6" fillId="0" borderId="0"/>
    <xf numFmtId="0" fontId="7" fillId="0" borderId="0" applyNumberFormat="0" applyFill="0" applyBorder="0" applyProtection="0">
      <alignment horizontal="left" vertical="center" indent="1"/>
      <protection locked="0"/>
    </xf>
    <xf numFmtId="0" fontId="19" fillId="4" borderId="0" applyNumberFormat="0" applyBorder="0" applyAlignment="0" applyProtection="0">
      <alignment vertical="center"/>
    </xf>
    <xf numFmtId="0" fontId="6" fillId="0" borderId="0"/>
  </cellStyleXfs>
  <cellXfs count="3000">
    <xf numFmtId="0" fontId="0" fillId="0" borderId="0" xfId="0">
      <alignment vertical="center"/>
    </xf>
    <xf numFmtId="0" fontId="0" fillId="0" borderId="10" xfId="0" applyBorder="1">
      <alignment vertical="center"/>
    </xf>
    <xf numFmtId="0" fontId="6" fillId="24" borderId="0" xfId="0" applyFont="1" applyFill="1" applyProtection="1">
      <alignment vertical="center"/>
    </xf>
    <xf numFmtId="0" fontId="11" fillId="24" borderId="0" xfId="0" applyFont="1" applyFill="1" applyAlignment="1" applyProtection="1">
      <alignment vertical="center"/>
    </xf>
    <xf numFmtId="0" fontId="6" fillId="0" borderId="0" xfId="0" applyFont="1" applyFill="1" applyBorder="1" applyProtection="1">
      <alignment vertical="center"/>
    </xf>
    <xf numFmtId="0" fontId="6" fillId="0" borderId="0" xfId="0" applyFont="1" applyFill="1" applyBorder="1" applyAlignment="1" applyProtection="1">
      <alignment horizontal="center"/>
    </xf>
    <xf numFmtId="0" fontId="6" fillId="0" borderId="0" xfId="0" applyFont="1" applyFill="1" applyProtection="1">
      <alignment vertical="center"/>
    </xf>
    <xf numFmtId="0" fontId="22" fillId="0" borderId="0" xfId="0" applyFont="1" applyFill="1" applyBorder="1" applyAlignment="1" applyProtection="1">
      <alignment horizontal="left" vertical="top"/>
      <protection hidden="1"/>
    </xf>
    <xf numFmtId="0" fontId="22" fillId="0" borderId="0" xfId="0" applyFont="1" applyFill="1" applyBorder="1" applyAlignment="1" applyProtection="1">
      <alignment vertical="top"/>
      <protection hidden="1"/>
    </xf>
    <xf numFmtId="0" fontId="6" fillId="0" borderId="0" xfId="0" applyFont="1" applyFill="1" applyBorder="1" applyAlignment="1" applyProtection="1">
      <alignment vertical="center"/>
    </xf>
    <xf numFmtId="0" fontId="6" fillId="0" borderId="0" xfId="0" applyFont="1" applyFill="1" applyBorder="1" applyAlignment="1" applyProtection="1">
      <alignment horizontal="left" vertical="center"/>
    </xf>
    <xf numFmtId="0" fontId="6" fillId="0" borderId="0" xfId="0" applyFont="1" applyFill="1" applyAlignment="1" applyProtection="1">
      <alignment vertical="center"/>
    </xf>
    <xf numFmtId="0" fontId="23" fillId="25" borderId="0" xfId="0" applyFont="1" applyFill="1" applyBorder="1" applyAlignment="1" applyProtection="1">
      <alignment horizontal="centerContinuous" vertical="center"/>
      <protection hidden="1"/>
    </xf>
    <xf numFmtId="0" fontId="24" fillId="25" borderId="0" xfId="0" applyFont="1" applyFill="1" applyBorder="1" applyAlignment="1" applyProtection="1">
      <alignment horizontal="centerContinuous" vertical="center"/>
      <protection hidden="1"/>
    </xf>
    <xf numFmtId="0" fontId="6" fillId="0" borderId="0" xfId="0" applyFont="1" applyFill="1" applyBorder="1" applyAlignment="1" applyProtection="1">
      <alignment vertical="center"/>
      <protection hidden="1"/>
    </xf>
    <xf numFmtId="0" fontId="0" fillId="24" borderId="0" xfId="0" applyFill="1" applyAlignment="1" applyProtection="1">
      <alignment vertical="center"/>
    </xf>
    <xf numFmtId="0" fontId="25" fillId="24" borderId="0" xfId="0" applyFont="1" applyFill="1" applyBorder="1" applyAlignment="1">
      <alignment horizontal="left" vertical="center"/>
    </xf>
    <xf numFmtId="0" fontId="26" fillId="24" borderId="0" xfId="0" applyFont="1" applyFill="1" applyBorder="1" applyAlignment="1" applyProtection="1">
      <alignment vertical="center"/>
    </xf>
    <xf numFmtId="0" fontId="6" fillId="24" borderId="0" xfId="0" applyFont="1" applyFill="1" applyAlignment="1" applyProtection="1">
      <alignment vertical="center"/>
    </xf>
    <xf numFmtId="0" fontId="0" fillId="24" borderId="0" xfId="0" applyFill="1" applyAlignment="1" applyProtection="1">
      <alignment vertical="center"/>
      <protection hidden="1"/>
    </xf>
    <xf numFmtId="0" fontId="0" fillId="0" borderId="0" xfId="0" applyFill="1" applyBorder="1" applyAlignment="1" applyProtection="1">
      <alignment vertical="center"/>
      <protection hidden="1"/>
    </xf>
    <xf numFmtId="0" fontId="0" fillId="0" borderId="0" xfId="0" applyFill="1" applyProtection="1">
      <alignment vertical="center"/>
    </xf>
    <xf numFmtId="0" fontId="27" fillId="0" borderId="0" xfId="0" applyFont="1" applyFill="1" applyAlignment="1" applyProtection="1">
      <alignment vertical="center"/>
    </xf>
    <xf numFmtId="0" fontId="0" fillId="0" borderId="0" xfId="0" applyFill="1" applyAlignment="1" applyProtection="1">
      <alignment vertical="center"/>
    </xf>
    <xf numFmtId="0" fontId="28" fillId="24" borderId="0" xfId="0" applyFont="1" applyFill="1" applyBorder="1" applyAlignment="1">
      <alignment horizontal="left" vertical="center"/>
    </xf>
    <xf numFmtId="0" fontId="26" fillId="24" borderId="0" xfId="0" applyFont="1" applyFill="1" applyBorder="1" applyAlignment="1">
      <alignment vertical="center"/>
    </xf>
    <xf numFmtId="0" fontId="22" fillId="0" borderId="11" xfId="0" applyFont="1" applyBorder="1" applyAlignment="1" applyProtection="1">
      <alignment vertical="center"/>
      <protection hidden="1"/>
    </xf>
    <xf numFmtId="0" fontId="0" fillId="0" borderId="12" xfId="0" applyFill="1" applyBorder="1" applyAlignment="1" applyProtection="1">
      <alignment vertical="center"/>
      <protection hidden="1"/>
    </xf>
    <xf numFmtId="0" fontId="0" fillId="0" borderId="13" xfId="0" applyFill="1" applyBorder="1" applyAlignment="1" applyProtection="1">
      <alignment vertical="center"/>
      <protection hidden="1"/>
    </xf>
    <xf numFmtId="0" fontId="0" fillId="0" borderId="0" xfId="0" applyFill="1" applyBorder="1" applyAlignment="1" applyProtection="1">
      <alignment vertical="center"/>
    </xf>
    <xf numFmtId="0" fontId="0" fillId="0" borderId="0" xfId="0" applyFill="1" applyBorder="1" applyProtection="1">
      <alignment vertical="center"/>
    </xf>
    <xf numFmtId="0" fontId="29" fillId="25" borderId="14" xfId="0" applyFont="1" applyFill="1" applyBorder="1" applyAlignment="1" applyProtection="1">
      <alignment vertical="center"/>
      <protection hidden="1"/>
    </xf>
    <xf numFmtId="0" fontId="31" fillId="25" borderId="15" xfId="0" applyFont="1" applyFill="1" applyBorder="1" applyAlignment="1" applyProtection="1">
      <alignment vertical="center"/>
      <protection hidden="1"/>
    </xf>
    <xf numFmtId="0" fontId="31" fillId="25" borderId="16" xfId="0" applyFont="1" applyFill="1" applyBorder="1" applyAlignment="1" applyProtection="1">
      <alignment vertical="center"/>
      <protection hidden="1"/>
    </xf>
    <xf numFmtId="0" fontId="0" fillId="24" borderId="0" xfId="0" applyFill="1" applyProtection="1">
      <alignment vertical="center"/>
      <protection hidden="1"/>
    </xf>
    <xf numFmtId="0" fontId="27" fillId="0" borderId="0" xfId="0" applyFont="1" applyFill="1" applyBorder="1" applyAlignment="1" applyProtection="1">
      <alignment vertical="center"/>
    </xf>
    <xf numFmtId="0" fontId="0" fillId="24" borderId="0" xfId="0" applyFill="1" applyProtection="1">
      <alignment vertical="center"/>
    </xf>
    <xf numFmtId="49" fontId="27" fillId="24" borderId="17" xfId="0" applyNumberFormat="1" applyFont="1" applyFill="1" applyBorder="1" applyAlignment="1" applyProtection="1">
      <protection hidden="1"/>
    </xf>
    <xf numFmtId="0" fontId="32" fillId="24" borderId="0" xfId="0" applyFont="1" applyFill="1">
      <alignment vertical="center"/>
    </xf>
    <xf numFmtId="0" fontId="0" fillId="24" borderId="0" xfId="0" applyFill="1">
      <alignment vertical="center"/>
    </xf>
    <xf numFmtId="0" fontId="0" fillId="24" borderId="17" xfId="0" applyFill="1" applyBorder="1">
      <alignment vertical="center"/>
    </xf>
    <xf numFmtId="178" fontId="32" fillId="24" borderId="0" xfId="0" applyNumberFormat="1" applyFont="1" applyFill="1" applyBorder="1" applyAlignment="1" applyProtection="1">
      <alignment vertical="center"/>
    </xf>
    <xf numFmtId="178" fontId="6" fillId="24" borderId="18" xfId="0" applyNumberFormat="1" applyFont="1" applyFill="1" applyBorder="1" applyAlignment="1" applyProtection="1">
      <alignment horizontal="right" vertical="center"/>
    </xf>
    <xf numFmtId="3" fontId="26" fillId="24" borderId="0" xfId="0" applyNumberFormat="1" applyFont="1" applyFill="1" applyBorder="1" applyAlignment="1" applyProtection="1">
      <alignment horizontal="left" vertical="center"/>
      <protection hidden="1"/>
    </xf>
    <xf numFmtId="49" fontId="27" fillId="24" borderId="0" xfId="0" applyNumberFormat="1" applyFont="1" applyFill="1" applyBorder="1" applyAlignment="1" applyProtection="1">
      <protection hidden="1"/>
    </xf>
    <xf numFmtId="0" fontId="27" fillId="0" borderId="0" xfId="0" applyFont="1" applyFill="1" applyBorder="1" applyProtection="1">
      <alignment vertical="center"/>
    </xf>
    <xf numFmtId="0" fontId="0" fillId="24" borderId="0" xfId="0" applyFill="1" applyBorder="1">
      <alignment vertical="center"/>
    </xf>
    <xf numFmtId="0" fontId="27" fillId="24" borderId="17" xfId="0" applyFont="1" applyFill="1" applyBorder="1" applyAlignment="1" applyProtection="1">
      <protection hidden="1"/>
    </xf>
    <xf numFmtId="0" fontId="0" fillId="24" borderId="0" xfId="0" applyFill="1" applyBorder="1" applyAlignment="1" applyProtection="1">
      <alignment horizontal="left"/>
      <protection hidden="1"/>
    </xf>
    <xf numFmtId="0" fontId="33" fillId="24" borderId="0" xfId="0" applyFont="1" applyFill="1" applyBorder="1" applyAlignment="1" applyProtection="1">
      <alignment horizontal="center" vertical="center"/>
      <protection locked="0"/>
    </xf>
    <xf numFmtId="0" fontId="27" fillId="0" borderId="0" xfId="0" applyFont="1" applyFill="1" applyProtection="1">
      <alignment vertical="center"/>
    </xf>
    <xf numFmtId="3" fontId="30" fillId="24" borderId="0" xfId="0" applyNumberFormat="1" applyFont="1" applyFill="1" applyBorder="1" applyAlignment="1" applyProtection="1">
      <alignment horizontal="left" vertical="center"/>
      <protection hidden="1"/>
    </xf>
    <xf numFmtId="55" fontId="27" fillId="0" borderId="10" xfId="0" applyNumberFormat="1" applyFont="1" applyFill="1" applyBorder="1" applyAlignment="1" applyProtection="1">
      <alignment horizontal="right" vertical="center"/>
      <protection locked="0"/>
    </xf>
    <xf numFmtId="55" fontId="27" fillId="24" borderId="0" xfId="0" applyNumberFormat="1" applyFont="1" applyFill="1" applyBorder="1" applyAlignment="1" applyProtection="1">
      <alignment horizontal="right" vertical="center"/>
      <protection locked="0"/>
    </xf>
    <xf numFmtId="181" fontId="28" fillId="24" borderId="0" xfId="0" applyNumberFormat="1" applyFont="1" applyFill="1" applyBorder="1" applyAlignment="1" applyProtection="1">
      <alignment horizontal="left" vertical="center"/>
      <protection hidden="1"/>
    </xf>
    <xf numFmtId="0" fontId="34" fillId="24" borderId="18" xfId="0" applyFont="1" applyFill="1" applyBorder="1" applyAlignment="1" applyProtection="1">
      <alignment horizontal="left" vertical="center"/>
      <protection hidden="1"/>
    </xf>
    <xf numFmtId="0" fontId="27" fillId="24" borderId="19" xfId="0" applyFont="1" applyFill="1" applyBorder="1" applyAlignment="1" applyProtection="1">
      <protection hidden="1"/>
    </xf>
    <xf numFmtId="0" fontId="28" fillId="24" borderId="20" xfId="0" applyFont="1" applyFill="1" applyBorder="1" applyAlignment="1" applyProtection="1">
      <alignment horizontal="left" vertical="center"/>
      <protection hidden="1"/>
    </xf>
    <xf numFmtId="0" fontId="0" fillId="24" borderId="18" xfId="0" applyFill="1" applyBorder="1">
      <alignment vertical="center"/>
    </xf>
    <xf numFmtId="0" fontId="0" fillId="24" borderId="0" xfId="0" applyFill="1" applyAlignment="1">
      <alignment vertical="center"/>
    </xf>
    <xf numFmtId="0" fontId="0" fillId="0" borderId="0" xfId="0" applyProtection="1">
      <alignment vertical="center"/>
    </xf>
    <xf numFmtId="40" fontId="6" fillId="24" borderId="10" xfId="35" applyNumberFormat="1" applyFont="1" applyFill="1" applyBorder="1" applyAlignment="1" applyProtection="1">
      <alignment horizontal="right" vertical="center"/>
    </xf>
    <xf numFmtId="40" fontId="6" fillId="24" borderId="0" xfId="35" applyNumberFormat="1" applyFont="1" applyFill="1" applyBorder="1" applyAlignment="1" applyProtection="1">
      <alignment vertical="center"/>
    </xf>
    <xf numFmtId="0" fontId="0" fillId="24" borderId="21" xfId="0" applyFill="1" applyBorder="1">
      <alignment vertical="center"/>
    </xf>
    <xf numFmtId="0" fontId="28" fillId="24" borderId="0" xfId="0" applyFont="1" applyFill="1" applyBorder="1" applyAlignment="1" applyProtection="1">
      <alignment horizontal="left" vertical="center"/>
      <protection hidden="1"/>
    </xf>
    <xf numFmtId="2" fontId="28" fillId="0" borderId="0" xfId="0" applyNumberFormat="1" applyFont="1" applyFill="1" applyBorder="1" applyAlignment="1" applyProtection="1">
      <alignment horizontal="left" vertical="center"/>
      <protection hidden="1"/>
    </xf>
    <xf numFmtId="2" fontId="28" fillId="0" borderId="0" xfId="0" applyNumberFormat="1" applyFont="1" applyFill="1" applyBorder="1" applyAlignment="1" applyProtection="1">
      <alignment horizontal="left" vertical="center"/>
    </xf>
    <xf numFmtId="0" fontId="27" fillId="24" borderId="17" xfId="0" applyFont="1" applyFill="1" applyBorder="1" applyAlignment="1" applyProtection="1">
      <alignment horizontal="left"/>
      <protection hidden="1"/>
    </xf>
    <xf numFmtId="0" fontId="27" fillId="0" borderId="10" xfId="0" applyFont="1" applyFill="1" applyBorder="1" applyAlignment="1" applyProtection="1">
      <alignment horizontal="right" vertical="center"/>
      <protection locked="0"/>
    </xf>
    <xf numFmtId="0" fontId="27" fillId="24" borderId="0" xfId="0" applyFont="1" applyFill="1" applyBorder="1" applyAlignment="1" applyProtection="1">
      <alignment horizontal="right" vertical="center"/>
      <protection locked="0"/>
    </xf>
    <xf numFmtId="0" fontId="27" fillId="0" borderId="22" xfId="0" applyFont="1" applyFill="1" applyBorder="1" applyAlignment="1" applyProtection="1">
      <alignment horizontal="right" vertical="center"/>
      <protection locked="0"/>
    </xf>
    <xf numFmtId="2" fontId="28" fillId="24" borderId="0" xfId="0" applyNumberFormat="1" applyFont="1" applyFill="1" applyBorder="1" applyAlignment="1" applyProtection="1">
      <alignment horizontal="left" vertical="center"/>
      <protection hidden="1"/>
    </xf>
    <xf numFmtId="3" fontId="35" fillId="24" borderId="0" xfId="0" applyNumberFormat="1" applyFont="1" applyFill="1" applyBorder="1" applyAlignment="1" applyProtection="1">
      <alignment horizontal="left" vertical="center"/>
      <protection hidden="1"/>
    </xf>
    <xf numFmtId="0" fontId="27" fillId="0" borderId="10" xfId="0" applyFont="1" applyFill="1" applyBorder="1" applyProtection="1">
      <alignment vertical="center"/>
    </xf>
    <xf numFmtId="0" fontId="0" fillId="0" borderId="0" xfId="0" applyFill="1" applyBorder="1" applyAlignment="1" applyProtection="1"/>
    <xf numFmtId="0" fontId="0" fillId="0" borderId="0" xfId="0" applyFill="1" applyAlignment="1" applyProtection="1"/>
    <xf numFmtId="180" fontId="27" fillId="0" borderId="10" xfId="0" applyNumberFormat="1" applyFont="1" applyFill="1" applyBorder="1" applyAlignment="1" applyProtection="1">
      <alignment horizontal="right" vertical="center"/>
      <protection locked="0"/>
    </xf>
    <xf numFmtId="3" fontId="28" fillId="24" borderId="0" xfId="0" applyNumberFormat="1" applyFont="1" applyFill="1" applyBorder="1" applyAlignment="1" applyProtection="1">
      <alignment horizontal="left" vertical="center"/>
      <protection hidden="1"/>
    </xf>
    <xf numFmtId="37" fontId="28" fillId="24" borderId="0" xfId="0" applyNumberFormat="1" applyFont="1" applyFill="1" applyBorder="1" applyAlignment="1" applyProtection="1">
      <alignment horizontal="left" vertical="center"/>
      <protection hidden="1"/>
    </xf>
    <xf numFmtId="0" fontId="27" fillId="24" borderId="17" xfId="0" applyFont="1" applyFill="1" applyBorder="1" applyAlignment="1" applyProtection="1">
      <alignment vertical="center" wrapText="1"/>
      <protection hidden="1"/>
    </xf>
    <xf numFmtId="180" fontId="27" fillId="0" borderId="23" xfId="0" applyNumberFormat="1" applyFont="1" applyFill="1" applyBorder="1" applyAlignment="1" applyProtection="1">
      <alignment horizontal="right" vertical="center"/>
      <protection locked="0"/>
    </xf>
    <xf numFmtId="0" fontId="27" fillId="24" borderId="0" xfId="0" applyFont="1" applyFill="1" applyBorder="1" applyAlignment="1" applyProtection="1">
      <alignment vertical="center"/>
      <protection hidden="1"/>
    </xf>
    <xf numFmtId="0" fontId="27" fillId="24" borderId="17" xfId="0" applyFont="1" applyFill="1" applyBorder="1" applyAlignment="1" applyProtection="1">
      <alignment wrapText="1"/>
      <protection hidden="1"/>
    </xf>
    <xf numFmtId="0" fontId="27" fillId="24" borderId="24" xfId="0" applyFont="1" applyFill="1" applyBorder="1" applyAlignment="1" applyProtection="1">
      <alignment vertical="center"/>
      <protection hidden="1"/>
    </xf>
    <xf numFmtId="0" fontId="27" fillId="24" borderId="0" xfId="0" applyFont="1" applyFill="1" applyBorder="1" applyAlignment="1" applyProtection="1">
      <alignment wrapText="1"/>
      <protection hidden="1"/>
    </xf>
    <xf numFmtId="0" fontId="27" fillId="24" borderId="17" xfId="0" applyFont="1" applyFill="1" applyBorder="1" applyAlignment="1" applyProtection="1">
      <alignment vertical="top"/>
      <protection hidden="1"/>
    </xf>
    <xf numFmtId="0" fontId="27" fillId="24" borderId="0" xfId="0" applyFont="1" applyFill="1" applyBorder="1" applyAlignment="1" applyProtection="1">
      <alignment vertical="top"/>
      <protection hidden="1"/>
    </xf>
    <xf numFmtId="0" fontId="27" fillId="24" borderId="0" xfId="0" applyFont="1" applyFill="1" applyBorder="1" applyAlignment="1" applyProtection="1">
      <protection hidden="1"/>
    </xf>
    <xf numFmtId="0" fontId="27" fillId="24" borderId="18" xfId="0" applyFont="1" applyFill="1" applyBorder="1" applyAlignment="1" applyProtection="1">
      <protection hidden="1"/>
    </xf>
    <xf numFmtId="0" fontId="27" fillId="24" borderId="17" xfId="0" applyFont="1" applyFill="1" applyBorder="1" applyAlignment="1" applyProtection="1">
      <alignment horizontal="right"/>
      <protection hidden="1"/>
    </xf>
    <xf numFmtId="0" fontId="27" fillId="24" borderId="0" xfId="0" applyFont="1" applyFill="1" applyBorder="1" applyAlignment="1" applyProtection="1">
      <alignment horizontal="left" vertical="center"/>
      <protection locked="0"/>
    </xf>
    <xf numFmtId="0" fontId="27" fillId="0" borderId="23" xfId="0" applyFont="1" applyFill="1" applyBorder="1" applyAlignment="1" applyProtection="1">
      <alignment horizontal="left" vertical="center"/>
      <protection locked="0"/>
    </xf>
    <xf numFmtId="0" fontId="0" fillId="24" borderId="0" xfId="0" applyFill="1" applyAlignment="1" applyProtection="1"/>
    <xf numFmtId="0" fontId="29" fillId="25" borderId="17" xfId="0" applyFont="1" applyFill="1" applyBorder="1" applyAlignment="1" applyProtection="1">
      <alignment vertical="center"/>
      <protection hidden="1"/>
    </xf>
    <xf numFmtId="0" fontId="31" fillId="25" borderId="0" xfId="0" applyFont="1" applyFill="1" applyBorder="1" applyAlignment="1" applyProtection="1">
      <alignment vertical="center"/>
      <protection hidden="1"/>
    </xf>
    <xf numFmtId="0" fontId="31" fillId="25" borderId="18" xfId="0" applyFont="1" applyFill="1" applyBorder="1" applyAlignment="1" applyProtection="1">
      <alignment vertical="center"/>
      <protection hidden="1"/>
    </xf>
    <xf numFmtId="0" fontId="37" fillId="24" borderId="17" xfId="0" applyFont="1" applyFill="1" applyBorder="1" applyAlignment="1" applyProtection="1">
      <alignment vertical="center"/>
      <protection hidden="1"/>
    </xf>
    <xf numFmtId="31" fontId="27" fillId="0" borderId="22" xfId="0" applyNumberFormat="1" applyFont="1" applyFill="1" applyBorder="1" applyAlignment="1" applyProtection="1">
      <alignment horizontal="right" vertical="center"/>
      <protection locked="0"/>
    </xf>
    <xf numFmtId="31" fontId="27" fillId="24" borderId="0" xfId="0" applyNumberFormat="1" applyFont="1" applyFill="1" applyBorder="1" applyAlignment="1" applyProtection="1">
      <alignment horizontal="right" vertical="center"/>
      <protection locked="0"/>
    </xf>
    <xf numFmtId="0" fontId="27" fillId="24" borderId="0" xfId="0" applyFont="1" applyFill="1" applyBorder="1" applyAlignment="1" applyProtection="1">
      <alignment vertical="center"/>
    </xf>
    <xf numFmtId="31" fontId="27" fillId="0" borderId="10" xfId="0" applyNumberFormat="1" applyFont="1" applyFill="1" applyBorder="1" applyAlignment="1" applyProtection="1">
      <alignment horizontal="right" vertical="center"/>
      <protection locked="0"/>
    </xf>
    <xf numFmtId="0" fontId="28" fillId="0" borderId="0" xfId="0" applyFont="1" applyFill="1" applyBorder="1" applyAlignment="1" applyProtection="1">
      <alignment horizontal="center" vertical="center"/>
    </xf>
    <xf numFmtId="0" fontId="37" fillId="24" borderId="25" xfId="0" applyFont="1" applyFill="1" applyBorder="1" applyAlignment="1" applyProtection="1">
      <alignment vertical="center"/>
      <protection hidden="1"/>
    </xf>
    <xf numFmtId="0" fontId="33" fillId="24" borderId="26" xfId="0" applyFont="1" applyFill="1" applyBorder="1" applyAlignment="1" applyProtection="1">
      <alignment horizontal="right" vertical="center"/>
    </xf>
    <xf numFmtId="0" fontId="33" fillId="0" borderId="26" xfId="0" applyFont="1" applyFill="1" applyBorder="1" applyAlignment="1" applyProtection="1">
      <alignment horizontal="right" vertical="center"/>
      <protection locked="0"/>
    </xf>
    <xf numFmtId="0" fontId="27" fillId="0" borderId="0" xfId="0" applyFont="1" applyFill="1" applyBorder="1" applyAlignment="1">
      <alignment vertical="center" shrinkToFit="1"/>
    </xf>
    <xf numFmtId="0" fontId="27" fillId="0" borderId="0" xfId="0" applyFont="1" applyFill="1" applyBorder="1" applyAlignment="1" applyProtection="1">
      <alignment horizontal="center" vertical="center"/>
    </xf>
    <xf numFmtId="0" fontId="27" fillId="24" borderId="0" xfId="0" applyFont="1" applyFill="1" applyProtection="1">
      <alignment vertical="center"/>
    </xf>
    <xf numFmtId="0" fontId="27" fillId="24" borderId="0" xfId="0" applyFont="1" applyFill="1" applyBorder="1" applyAlignment="1" applyProtection="1">
      <alignment horizontal="left" vertical="top" wrapText="1"/>
      <protection hidden="1"/>
    </xf>
    <xf numFmtId="0" fontId="22" fillId="0" borderId="27" xfId="0" applyFont="1" applyFill="1" applyBorder="1" applyAlignment="1" applyProtection="1">
      <alignment vertical="center"/>
      <protection hidden="1"/>
    </xf>
    <xf numFmtId="0" fontId="22" fillId="0" borderId="28" xfId="0" applyFont="1" applyFill="1" applyBorder="1" applyAlignment="1" applyProtection="1">
      <alignment vertical="center"/>
      <protection hidden="1"/>
    </xf>
    <xf numFmtId="0" fontId="22" fillId="0" borderId="29" xfId="0" applyFont="1" applyFill="1" applyBorder="1" applyAlignment="1" applyProtection="1">
      <alignment vertical="center"/>
      <protection hidden="1"/>
    </xf>
    <xf numFmtId="0" fontId="29" fillId="25" borderId="30" xfId="0" applyFont="1" applyFill="1" applyBorder="1" applyAlignment="1" applyProtection="1">
      <alignment vertical="center"/>
      <protection hidden="1"/>
    </xf>
    <xf numFmtId="0" fontId="29" fillId="25" borderId="30" xfId="0" applyFont="1" applyFill="1" applyBorder="1" applyAlignment="1" applyProtection="1">
      <alignment horizontal="center" vertical="center"/>
      <protection hidden="1"/>
    </xf>
    <xf numFmtId="0" fontId="29" fillId="25" borderId="31" xfId="0" applyFont="1" applyFill="1" applyBorder="1" applyAlignment="1" applyProtection="1">
      <alignment horizontal="center" vertical="center"/>
      <protection hidden="1"/>
    </xf>
    <xf numFmtId="0" fontId="29" fillId="25" borderId="32" xfId="0" applyFont="1" applyFill="1" applyBorder="1" applyAlignment="1" applyProtection="1">
      <alignment horizontal="center" vertical="center"/>
      <protection hidden="1"/>
    </xf>
    <xf numFmtId="0" fontId="27" fillId="0" borderId="10" xfId="0" applyFont="1" applyFill="1" applyBorder="1" applyAlignment="1" applyProtection="1">
      <alignment vertical="center"/>
    </xf>
    <xf numFmtId="0" fontId="6" fillId="0" borderId="10" xfId="0" applyFont="1" applyFill="1" applyBorder="1" applyAlignment="1" applyProtection="1">
      <alignment vertical="center"/>
    </xf>
    <xf numFmtId="0" fontId="27" fillId="24" borderId="17" xfId="0" applyFont="1" applyFill="1" applyBorder="1" applyAlignment="1" applyProtection="1">
      <alignment vertical="center"/>
      <protection hidden="1"/>
    </xf>
    <xf numFmtId="0" fontId="27" fillId="0" borderId="10" xfId="0" applyFont="1" applyFill="1" applyBorder="1" applyAlignment="1" applyProtection="1">
      <protection hidden="1"/>
    </xf>
    <xf numFmtId="178" fontId="6" fillId="0" borderId="10" xfId="0" applyNumberFormat="1" applyFont="1" applyFill="1" applyBorder="1" applyAlignment="1" applyProtection="1">
      <alignment vertical="center"/>
      <protection hidden="1"/>
    </xf>
    <xf numFmtId="0" fontId="6" fillId="24" borderId="10" xfId="0" applyFont="1" applyFill="1" applyBorder="1" applyAlignment="1" applyProtection="1">
      <alignment vertical="center"/>
      <protection hidden="1"/>
    </xf>
    <xf numFmtId="178" fontId="6" fillId="0" borderId="10" xfId="35" applyNumberFormat="1" applyFont="1" applyFill="1" applyBorder="1" applyAlignment="1" applyProtection="1">
      <alignment horizontal="right" vertical="center"/>
      <protection locked="0"/>
    </xf>
    <xf numFmtId="0" fontId="27" fillId="24" borderId="17" xfId="0" applyFont="1" applyFill="1" applyBorder="1" applyProtection="1">
      <alignment vertical="center"/>
      <protection hidden="1"/>
    </xf>
    <xf numFmtId="0" fontId="29" fillId="25" borderId="33" xfId="0" applyFont="1" applyFill="1" applyBorder="1" applyAlignment="1" applyProtection="1">
      <alignment vertical="center"/>
      <protection hidden="1"/>
    </xf>
    <xf numFmtId="0" fontId="40" fillId="25" borderId="34" xfId="0" applyFont="1" applyFill="1" applyBorder="1" applyAlignment="1" applyProtection="1">
      <alignment vertical="center"/>
      <protection hidden="1"/>
    </xf>
    <xf numFmtId="0" fontId="40" fillId="25" borderId="35" xfId="0" applyFont="1" applyFill="1" applyBorder="1" applyAlignment="1" applyProtection="1">
      <alignment vertical="center"/>
      <protection hidden="1"/>
    </xf>
    <xf numFmtId="0" fontId="6" fillId="0" borderId="10" xfId="0" applyFont="1" applyFill="1" applyBorder="1" applyProtection="1">
      <alignment vertical="center"/>
      <protection hidden="1"/>
    </xf>
    <xf numFmtId="0" fontId="0" fillId="0" borderId="10" xfId="0" applyFill="1" applyBorder="1" applyProtection="1">
      <alignment vertical="center"/>
    </xf>
    <xf numFmtId="178" fontId="6" fillId="0" borderId="10" xfId="0" applyNumberFormat="1" applyFont="1" applyFill="1" applyBorder="1" applyProtection="1">
      <alignment vertical="center"/>
      <protection hidden="1"/>
    </xf>
    <xf numFmtId="0" fontId="27" fillId="0" borderId="0" xfId="0" applyFont="1" applyFill="1" applyBorder="1" applyAlignment="1" applyProtection="1"/>
    <xf numFmtId="0" fontId="22" fillId="0" borderId="37" xfId="0" applyFont="1" applyBorder="1" applyAlignment="1" applyProtection="1">
      <alignment vertical="center"/>
      <protection hidden="1"/>
    </xf>
    <xf numFmtId="0" fontId="42" fillId="0" borderId="38" xfId="0" applyFont="1" applyFill="1" applyBorder="1" applyAlignment="1" applyProtection="1">
      <alignment horizontal="left" vertical="center" indent="1"/>
      <protection hidden="1"/>
    </xf>
    <xf numFmtId="0" fontId="42" fillId="0" borderId="38" xfId="0" applyFont="1" applyFill="1" applyBorder="1" applyAlignment="1" applyProtection="1">
      <alignment horizontal="right" vertical="center"/>
      <protection hidden="1"/>
    </xf>
    <xf numFmtId="0" fontId="42" fillId="0" borderId="39" xfId="0" applyFont="1" applyFill="1" applyBorder="1" applyAlignment="1" applyProtection="1">
      <alignment horizontal="right" vertical="center"/>
      <protection hidden="1"/>
    </xf>
    <xf numFmtId="0" fontId="29" fillId="25" borderId="40" xfId="0" applyFont="1" applyFill="1" applyBorder="1" applyAlignment="1" applyProtection="1">
      <alignment vertical="center"/>
      <protection hidden="1"/>
    </xf>
    <xf numFmtId="0" fontId="7" fillId="24" borderId="42" xfId="29" applyFill="1" applyBorder="1" applyProtection="1">
      <alignment horizontal="left" vertical="center" indent="1"/>
      <protection hidden="1"/>
    </xf>
    <xf numFmtId="0" fontId="7" fillId="24" borderId="42" xfId="0" applyFont="1" applyFill="1" applyBorder="1" applyAlignment="1" applyProtection="1">
      <alignment horizontal="left" vertical="center" indent="1"/>
      <protection hidden="1"/>
    </xf>
    <xf numFmtId="0" fontId="0" fillId="24" borderId="42" xfId="0" applyFill="1" applyBorder="1" applyAlignment="1" applyProtection="1">
      <alignment horizontal="left" vertical="center" indent="1"/>
      <protection hidden="1"/>
    </xf>
    <xf numFmtId="0" fontId="29" fillId="25" borderId="43" xfId="0" applyFont="1" applyFill="1" applyBorder="1" applyAlignment="1" applyProtection="1">
      <alignment vertical="center"/>
      <protection hidden="1"/>
    </xf>
    <xf numFmtId="0" fontId="7" fillId="24" borderId="45" xfId="29" applyFill="1" applyBorder="1" applyProtection="1">
      <alignment horizontal="left" vertical="center" indent="1"/>
      <protection hidden="1"/>
    </xf>
    <xf numFmtId="0" fontId="7" fillId="24" borderId="46" xfId="29" applyFill="1" applyBorder="1" applyProtection="1">
      <alignment horizontal="left" vertical="center" indent="1"/>
      <protection hidden="1"/>
    </xf>
    <xf numFmtId="0" fontId="7" fillId="24" borderId="46" xfId="0" applyFont="1" applyFill="1" applyBorder="1" applyAlignment="1" applyProtection="1">
      <alignment horizontal="left" vertical="center" indent="1"/>
      <protection hidden="1"/>
    </xf>
    <xf numFmtId="0" fontId="0" fillId="24" borderId="47" xfId="0" applyFill="1" applyBorder="1" applyAlignment="1" applyProtection="1">
      <alignment horizontal="left" vertical="center" indent="1"/>
      <protection hidden="1"/>
    </xf>
    <xf numFmtId="0" fontId="0" fillId="24" borderId="0" xfId="0" applyFill="1" applyBorder="1" applyAlignment="1" applyProtection="1">
      <alignment horizontal="left" vertical="center" indent="1"/>
      <protection hidden="1"/>
    </xf>
    <xf numFmtId="0" fontId="27" fillId="24" borderId="10" xfId="0" applyFont="1" applyFill="1" applyBorder="1" applyAlignment="1" applyProtection="1">
      <alignment horizontal="left" vertical="center"/>
    </xf>
    <xf numFmtId="0" fontId="27" fillId="24" borderId="48" xfId="0" applyFont="1" applyFill="1" applyBorder="1" applyAlignment="1" applyProtection="1">
      <alignment horizontal="left" vertical="center"/>
      <protection hidden="1"/>
    </xf>
    <xf numFmtId="0" fontId="27" fillId="24" borderId="49" xfId="0" applyFont="1" applyFill="1" applyBorder="1" applyAlignment="1" applyProtection="1">
      <alignment horizontal="left" vertical="center"/>
      <protection hidden="1"/>
    </xf>
    <xf numFmtId="0" fontId="7" fillId="24" borderId="49" xfId="46" applyFill="1" applyBorder="1" applyProtection="1">
      <alignment horizontal="left" vertical="center" indent="1"/>
      <protection hidden="1"/>
    </xf>
    <xf numFmtId="0" fontId="31" fillId="24" borderId="49" xfId="0" applyFont="1" applyFill="1" applyBorder="1" applyAlignment="1" applyProtection="1">
      <alignment horizontal="left" vertical="center"/>
      <protection hidden="1"/>
    </xf>
    <xf numFmtId="0" fontId="27" fillId="24" borderId="50" xfId="0" applyFont="1" applyFill="1" applyBorder="1" applyAlignment="1" applyProtection="1">
      <alignment horizontal="left" vertical="center"/>
    </xf>
    <xf numFmtId="0" fontId="27" fillId="24" borderId="0" xfId="0" applyFont="1" applyFill="1" applyBorder="1" applyAlignment="1" applyProtection="1">
      <alignment horizontal="left" vertical="center"/>
    </xf>
    <xf numFmtId="0" fontId="27" fillId="24" borderId="23" xfId="0" applyFont="1" applyFill="1" applyBorder="1" applyAlignment="1" applyProtection="1">
      <alignment horizontal="left" vertical="center"/>
      <protection hidden="1"/>
    </xf>
    <xf numFmtId="0" fontId="27" fillId="24" borderId="51" xfId="0" applyFont="1" applyFill="1" applyBorder="1" applyAlignment="1" applyProtection="1">
      <alignment horizontal="left" vertical="center"/>
      <protection hidden="1"/>
    </xf>
    <xf numFmtId="0" fontId="27" fillId="24" borderId="52" xfId="0" applyFont="1" applyFill="1" applyBorder="1" applyAlignment="1" applyProtection="1">
      <alignment horizontal="left" vertical="center"/>
      <protection hidden="1"/>
    </xf>
    <xf numFmtId="0" fontId="27" fillId="24" borderId="53" xfId="0" applyFont="1" applyFill="1" applyBorder="1" applyAlignment="1" applyProtection="1">
      <alignment horizontal="left" vertical="center"/>
    </xf>
    <xf numFmtId="0" fontId="27" fillId="24" borderId="54" xfId="0" applyFont="1" applyFill="1" applyBorder="1" applyAlignment="1" applyProtection="1">
      <alignment horizontal="left" vertical="center"/>
      <protection hidden="1"/>
    </xf>
    <xf numFmtId="0" fontId="27" fillId="24" borderId="55" xfId="0" applyFont="1" applyFill="1" applyBorder="1" applyAlignment="1" applyProtection="1">
      <alignment horizontal="left" vertical="center"/>
      <protection hidden="1"/>
    </xf>
    <xf numFmtId="0" fontId="27" fillId="24" borderId="44" xfId="0" applyFont="1" applyFill="1" applyBorder="1" applyAlignment="1" applyProtection="1">
      <alignment horizontal="left" vertical="center"/>
      <protection hidden="1"/>
    </xf>
    <xf numFmtId="0" fontId="27" fillId="24" borderId="56" xfId="0" applyFont="1" applyFill="1" applyBorder="1" applyAlignment="1" applyProtection="1">
      <alignment horizontal="left" vertical="center"/>
    </xf>
    <xf numFmtId="0" fontId="43" fillId="24" borderId="44" xfId="0" applyFont="1" applyFill="1" applyBorder="1" applyAlignment="1" applyProtection="1">
      <alignment horizontal="left" vertical="center"/>
      <protection hidden="1"/>
    </xf>
    <xf numFmtId="0" fontId="27" fillId="24" borderId="22" xfId="0" applyFont="1" applyFill="1" applyBorder="1" applyAlignment="1" applyProtection="1">
      <alignment horizontal="left" vertical="center"/>
      <protection hidden="1"/>
    </xf>
    <xf numFmtId="0" fontId="27" fillId="24" borderId="24" xfId="0" applyFont="1" applyFill="1" applyBorder="1" applyAlignment="1" applyProtection="1">
      <alignment horizontal="left" vertical="center"/>
      <protection hidden="1"/>
    </xf>
    <xf numFmtId="0" fontId="27" fillId="24" borderId="57" xfId="0" applyFont="1" applyFill="1" applyBorder="1" applyAlignment="1" applyProtection="1">
      <alignment horizontal="left" vertical="center"/>
      <protection hidden="1"/>
    </xf>
    <xf numFmtId="0" fontId="43" fillId="24" borderId="57" xfId="0" applyFont="1" applyFill="1" applyBorder="1" applyAlignment="1" applyProtection="1">
      <alignment horizontal="left" vertical="center"/>
      <protection hidden="1"/>
    </xf>
    <xf numFmtId="0" fontId="27" fillId="24" borderId="58" xfId="0" applyFont="1" applyFill="1" applyBorder="1" applyAlignment="1" applyProtection="1">
      <alignment horizontal="left" vertical="center"/>
    </xf>
    <xf numFmtId="0" fontId="44"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32" fillId="0" borderId="0" xfId="0" applyFont="1" applyFill="1" applyBorder="1" applyAlignment="1" applyProtection="1">
      <alignment horizontal="right" vertical="center"/>
    </xf>
    <xf numFmtId="49" fontId="46" fillId="24" borderId="23" xfId="0" applyNumberFormat="1" applyFont="1" applyFill="1" applyBorder="1" applyAlignment="1" applyProtection="1">
      <alignment vertical="center"/>
    </xf>
    <xf numFmtId="0" fontId="27" fillId="24" borderId="10" xfId="0" applyNumberFormat="1" applyFont="1" applyFill="1" applyBorder="1" applyAlignment="1" applyProtection="1">
      <alignment horizontal="left" vertical="center"/>
    </xf>
    <xf numFmtId="0" fontId="46" fillId="24" borderId="52" xfId="0" applyFont="1" applyFill="1" applyBorder="1" applyAlignment="1" applyProtection="1">
      <alignment horizontal="right" vertical="center"/>
    </xf>
    <xf numFmtId="31" fontId="30" fillId="24" borderId="10" xfId="0" applyNumberFormat="1" applyFont="1" applyFill="1" applyBorder="1" applyAlignment="1" applyProtection="1">
      <alignment horizontal="left" vertical="center"/>
    </xf>
    <xf numFmtId="0" fontId="30" fillId="0" borderId="0" xfId="0" applyFont="1" applyFill="1" applyBorder="1" applyAlignment="1" applyProtection="1">
      <alignment vertical="center"/>
    </xf>
    <xf numFmtId="49" fontId="46" fillId="24" borderId="59" xfId="0" applyNumberFormat="1" applyFont="1" applyFill="1" applyBorder="1" applyAlignment="1" applyProtection="1">
      <alignment vertical="center"/>
    </xf>
    <xf numFmtId="0" fontId="27" fillId="24" borderId="23" xfId="0" applyNumberFormat="1" applyFont="1" applyFill="1" applyBorder="1" applyAlignment="1" applyProtection="1">
      <alignment horizontal="left" vertical="center"/>
    </xf>
    <xf numFmtId="0" fontId="46" fillId="24" borderId="0" xfId="0" applyFont="1" applyFill="1" applyBorder="1" applyAlignment="1" applyProtection="1">
      <alignment horizontal="right" vertical="center"/>
    </xf>
    <xf numFmtId="3" fontId="26" fillId="0" borderId="0" xfId="0" applyNumberFormat="1" applyFont="1" applyFill="1" applyBorder="1" applyAlignment="1" applyProtection="1">
      <alignment horizontal="left" vertical="center"/>
    </xf>
    <xf numFmtId="0" fontId="27" fillId="24" borderId="22" xfId="0" applyFont="1" applyFill="1" applyBorder="1" applyProtection="1">
      <alignment vertical="center"/>
    </xf>
    <xf numFmtId="0" fontId="27" fillId="0" borderId="0" xfId="0" applyFont="1" applyFill="1" applyBorder="1" applyAlignment="1" applyProtection="1">
      <alignment horizontal="left" vertical="top" wrapText="1"/>
    </xf>
    <xf numFmtId="0" fontId="0" fillId="26" borderId="60" xfId="0" applyFill="1" applyBorder="1" applyAlignment="1" applyProtection="1">
      <alignment horizontal="center" vertical="center"/>
    </xf>
    <xf numFmtId="0" fontId="0" fillId="26" borderId="61" xfId="0" applyFill="1" applyBorder="1" applyAlignment="1" applyProtection="1">
      <alignment horizontal="center" vertical="center"/>
    </xf>
    <xf numFmtId="0" fontId="0" fillId="26" borderId="62" xfId="0" applyFill="1" applyBorder="1" applyProtection="1">
      <alignment vertical="center"/>
    </xf>
    <xf numFmtId="0" fontId="0" fillId="24" borderId="63" xfId="0" applyFill="1" applyBorder="1" applyAlignment="1" applyProtection="1">
      <alignment horizontal="center" vertical="center"/>
    </xf>
    <xf numFmtId="0" fontId="0" fillId="27" borderId="64" xfId="0" applyFill="1" applyBorder="1" applyAlignment="1" applyProtection="1">
      <alignment vertical="top" wrapText="1"/>
      <protection locked="0"/>
    </xf>
    <xf numFmtId="0" fontId="0" fillId="24" borderId="65" xfId="0" applyFill="1" applyBorder="1" applyAlignment="1" applyProtection="1">
      <alignment horizontal="center" vertical="center" wrapText="1"/>
    </xf>
    <xf numFmtId="0" fontId="0" fillId="27" borderId="66" xfId="0" applyFill="1" applyBorder="1" applyAlignment="1" applyProtection="1">
      <alignment horizontal="left" vertical="top" wrapText="1"/>
      <protection locked="0"/>
    </xf>
    <xf numFmtId="0" fontId="0" fillId="24" borderId="67" xfId="0" applyFill="1" applyBorder="1" applyAlignment="1" applyProtection="1">
      <alignment horizontal="center" vertical="center" wrapText="1"/>
    </xf>
    <xf numFmtId="0" fontId="0" fillId="27" borderId="68" xfId="0" applyFill="1" applyBorder="1" applyAlignment="1" applyProtection="1">
      <alignment horizontal="left" vertical="top" wrapText="1"/>
      <protection locked="0"/>
    </xf>
    <xf numFmtId="0" fontId="0" fillId="24" borderId="69" xfId="0" applyFill="1" applyBorder="1" applyAlignment="1" applyProtection="1">
      <alignment horizontal="center" vertical="center" wrapText="1"/>
    </xf>
    <xf numFmtId="0" fontId="0" fillId="27" borderId="70" xfId="0" applyFill="1" applyBorder="1" applyAlignment="1" applyProtection="1">
      <alignment horizontal="left" vertical="top" wrapText="1"/>
      <protection locked="0"/>
    </xf>
    <xf numFmtId="0" fontId="0" fillId="0" borderId="0" xfId="0" applyFill="1" applyAlignment="1" applyProtection="1">
      <alignment horizontal="left" vertical="center"/>
    </xf>
    <xf numFmtId="0" fontId="0" fillId="0" borderId="0" xfId="0" applyFill="1">
      <alignment vertical="center"/>
    </xf>
    <xf numFmtId="0" fontId="0" fillId="0" borderId="0" xfId="0" applyFill="1" applyAlignment="1">
      <alignment horizontal="left" vertical="center"/>
    </xf>
    <xf numFmtId="0" fontId="6" fillId="0" borderId="0" xfId="0" applyFont="1" applyFill="1" applyProtection="1">
      <alignment vertical="center"/>
      <protection hidden="1"/>
    </xf>
    <xf numFmtId="0" fontId="36" fillId="0" borderId="0" xfId="0" applyFont="1" applyFill="1" applyAlignment="1" applyProtection="1">
      <alignment horizontal="left"/>
      <protection hidden="1"/>
    </xf>
    <xf numFmtId="0" fontId="28" fillId="0" borderId="0" xfId="0" applyFont="1" applyFill="1" applyProtection="1">
      <alignment vertical="center"/>
      <protection hidden="1"/>
    </xf>
    <xf numFmtId="179" fontId="37" fillId="0" borderId="0" xfId="0" applyNumberFormat="1" applyFont="1" applyFill="1" applyAlignment="1" applyProtection="1">
      <alignment horizontal="left"/>
      <protection hidden="1"/>
    </xf>
    <xf numFmtId="183" fontId="27" fillId="0" borderId="0" xfId="0" applyNumberFormat="1" applyFont="1" applyFill="1" applyProtection="1">
      <alignment vertical="center"/>
      <protection hidden="1"/>
    </xf>
    <xf numFmtId="184" fontId="47" fillId="0" borderId="0" xfId="0" applyNumberFormat="1" applyFont="1" applyFill="1" applyAlignment="1" applyProtection="1">
      <alignment horizontal="center"/>
    </xf>
    <xf numFmtId="199" fontId="47" fillId="0" borderId="0" xfId="0" applyNumberFormat="1" applyFont="1" applyFill="1" applyProtection="1">
      <alignment vertical="center"/>
    </xf>
    <xf numFmtId="0" fontId="47" fillId="0" borderId="0" xfId="0" applyFont="1" applyFill="1" applyProtection="1">
      <alignment vertical="center"/>
    </xf>
    <xf numFmtId="0" fontId="48" fillId="0" borderId="0" xfId="0" applyNumberFormat="1" applyFont="1" applyFill="1" applyBorder="1" applyAlignment="1" applyProtection="1">
      <alignment vertical="center"/>
      <protection hidden="1"/>
    </xf>
    <xf numFmtId="0" fontId="49" fillId="0" borderId="0" xfId="0" applyFont="1" applyFill="1" applyBorder="1" applyAlignment="1" applyProtection="1">
      <alignment horizontal="left" vertical="center"/>
      <protection hidden="1"/>
    </xf>
    <xf numFmtId="0" fontId="49" fillId="0" borderId="0" xfId="0" applyFont="1" applyFill="1" applyBorder="1" applyAlignment="1" applyProtection="1">
      <alignment vertical="center"/>
      <protection hidden="1"/>
    </xf>
    <xf numFmtId="179" fontId="37" fillId="0" borderId="0" xfId="0" applyNumberFormat="1" applyFont="1" applyFill="1" applyBorder="1" applyAlignment="1" applyProtection="1">
      <alignment horizontal="left"/>
      <protection hidden="1"/>
    </xf>
    <xf numFmtId="0" fontId="50" fillId="0" borderId="0" xfId="0" applyFont="1" applyFill="1" applyAlignment="1" applyProtection="1">
      <alignment horizontal="right" vertical="top"/>
      <protection hidden="1"/>
    </xf>
    <xf numFmtId="0" fontId="51" fillId="0" borderId="0" xfId="0" applyFont="1" applyFill="1" applyAlignment="1" applyProtection="1">
      <alignment horizontal="left" vertical="justify"/>
    </xf>
    <xf numFmtId="0" fontId="52" fillId="0" borderId="0" xfId="0" applyNumberFormat="1" applyFont="1" applyFill="1" applyBorder="1" applyAlignment="1" applyProtection="1">
      <alignment vertical="center"/>
      <protection hidden="1"/>
    </xf>
    <xf numFmtId="0" fontId="36" fillId="0" borderId="0" xfId="0" applyFont="1" applyFill="1" applyBorder="1" applyAlignment="1" applyProtection="1">
      <alignment horizontal="lef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25" fillId="0" borderId="0" xfId="0" applyFont="1" applyFill="1" applyBorder="1" applyAlignment="1" applyProtection="1">
      <alignment horizontal="center" vertical="justify"/>
      <protection hidden="1"/>
    </xf>
    <xf numFmtId="184" fontId="55" fillId="0" borderId="0" xfId="0" applyNumberFormat="1" applyFont="1" applyFill="1" applyBorder="1" applyAlignment="1" applyProtection="1">
      <alignment horizontal="center" vertical="justify" wrapText="1"/>
    </xf>
    <xf numFmtId="0" fontId="56" fillId="0" borderId="0" xfId="0" applyFont="1" applyFill="1" applyProtection="1">
      <alignment vertical="center"/>
      <protection hidden="1"/>
    </xf>
    <xf numFmtId="0" fontId="57" fillId="0" borderId="0" xfId="0" applyFont="1" applyFill="1" applyAlignment="1" applyProtection="1">
      <alignment horizontal="left"/>
      <protection hidden="1"/>
    </xf>
    <xf numFmtId="0" fontId="58" fillId="0" borderId="0" xfId="0" applyFont="1" applyFill="1" applyProtection="1">
      <alignment vertical="center"/>
      <protection hidden="1"/>
    </xf>
    <xf numFmtId="179" fontId="59" fillId="0" borderId="0" xfId="0" applyNumberFormat="1" applyFont="1" applyFill="1" applyAlignment="1" applyProtection="1">
      <alignment horizontal="left"/>
      <protection hidden="1"/>
    </xf>
    <xf numFmtId="0" fontId="60" fillId="28" borderId="71" xfId="0" applyFont="1" applyFill="1" applyBorder="1" applyAlignment="1" applyProtection="1">
      <alignment horizontal="left" vertical="center"/>
      <protection hidden="1"/>
    </xf>
    <xf numFmtId="0" fontId="36" fillId="28" borderId="72" xfId="0" applyFont="1" applyFill="1" applyBorder="1" applyAlignment="1" applyProtection="1">
      <alignment horizontal="left" vertical="center"/>
      <protection hidden="1"/>
    </xf>
    <xf numFmtId="0" fontId="61" fillId="28" borderId="72" xfId="0" applyFont="1" applyFill="1" applyBorder="1" applyAlignment="1" applyProtection="1">
      <alignment vertical="center"/>
      <protection hidden="1"/>
    </xf>
    <xf numFmtId="0" fontId="60" fillId="28" borderId="72" xfId="0" applyFont="1" applyFill="1" applyBorder="1" applyAlignment="1" applyProtection="1">
      <alignment horizontal="left" vertical="center"/>
      <protection hidden="1"/>
    </xf>
    <xf numFmtId="179" fontId="37" fillId="28" borderId="72" xfId="0" applyNumberFormat="1" applyFont="1" applyFill="1" applyBorder="1" applyAlignment="1" applyProtection="1">
      <alignment horizontal="left" vertical="center"/>
      <protection hidden="1"/>
    </xf>
    <xf numFmtId="0" fontId="28" fillId="24" borderId="73" xfId="0" applyFont="1" applyFill="1" applyBorder="1" applyAlignment="1" applyProtection="1">
      <alignment horizontal="centerContinuous" vertical="center"/>
      <protection hidden="1"/>
    </xf>
    <xf numFmtId="0" fontId="28" fillId="24" borderId="74" xfId="0" applyFont="1" applyFill="1" applyBorder="1" applyAlignment="1" applyProtection="1">
      <alignment horizontal="centerContinuous" vertical="center"/>
      <protection hidden="1"/>
    </xf>
    <xf numFmtId="0" fontId="28" fillId="24" borderId="75" xfId="0" applyFont="1" applyFill="1" applyBorder="1" applyAlignment="1" applyProtection="1">
      <alignment horizontal="centerContinuous" vertical="center"/>
      <protection hidden="1"/>
    </xf>
    <xf numFmtId="0" fontId="28" fillId="24" borderId="76" xfId="0" applyFont="1" applyFill="1" applyBorder="1" applyAlignment="1" applyProtection="1">
      <alignment horizontal="centerContinuous" vertical="center"/>
      <protection hidden="1"/>
    </xf>
    <xf numFmtId="0" fontId="28" fillId="24" borderId="77" xfId="0" applyFont="1" applyFill="1" applyBorder="1" applyAlignment="1" applyProtection="1">
      <alignment horizontal="centerContinuous" vertical="center"/>
      <protection hidden="1"/>
    </xf>
    <xf numFmtId="0" fontId="28" fillId="24" borderId="78" xfId="0" applyFont="1" applyFill="1" applyBorder="1" applyAlignment="1" applyProtection="1">
      <alignment horizontal="centerContinuous" vertical="center"/>
      <protection hidden="1"/>
    </xf>
    <xf numFmtId="184" fontId="28" fillId="0" borderId="0" xfId="0" applyNumberFormat="1" applyFont="1" applyFill="1" applyAlignment="1" applyProtection="1">
      <alignment horizontal="left"/>
    </xf>
    <xf numFmtId="0" fontId="28" fillId="0" borderId="0" xfId="0" applyFont="1" applyFill="1" applyProtection="1">
      <alignment vertical="center"/>
    </xf>
    <xf numFmtId="0" fontId="32" fillId="24" borderId="73" xfId="0" applyNumberFormat="1" applyFont="1" applyFill="1" applyBorder="1" applyAlignment="1" applyProtection="1">
      <alignment vertical="center"/>
      <protection hidden="1"/>
    </xf>
    <xf numFmtId="0" fontId="36" fillId="24" borderId="79" xfId="0" applyFont="1" applyFill="1" applyBorder="1" applyAlignment="1" applyProtection="1">
      <alignment horizontal="left" vertical="center"/>
      <protection hidden="1"/>
    </xf>
    <xf numFmtId="0" fontId="53" fillId="24" borderId="79" xfId="0" applyFont="1" applyFill="1" applyBorder="1" applyAlignment="1" applyProtection="1">
      <alignment vertical="center"/>
      <protection hidden="1"/>
    </xf>
    <xf numFmtId="0" fontId="54" fillId="24" borderId="79" xfId="0" applyFont="1" applyFill="1" applyBorder="1" applyAlignment="1" applyProtection="1">
      <alignment vertical="center"/>
      <protection hidden="1"/>
    </xf>
    <xf numFmtId="179" fontId="41" fillId="24" borderId="48" xfId="0" applyNumberFormat="1" applyFont="1" applyFill="1" applyBorder="1" applyAlignment="1" applyProtection="1">
      <alignment horizontal="centerContinuous" vertical="top"/>
      <protection hidden="1"/>
    </xf>
    <xf numFmtId="179" fontId="32" fillId="24" borderId="0" xfId="0" applyNumberFormat="1" applyFont="1" applyFill="1" applyBorder="1" applyAlignment="1" applyProtection="1">
      <alignment horizontal="centerContinuous" vertical="center"/>
      <protection hidden="1"/>
    </xf>
    <xf numFmtId="0" fontId="62" fillId="24" borderId="81" xfId="0" applyFont="1" applyFill="1" applyBorder="1" applyAlignment="1" applyProtection="1">
      <alignment vertical="center"/>
      <protection hidden="1"/>
    </xf>
    <xf numFmtId="0" fontId="28" fillId="24" borderId="49" xfId="0" applyFont="1" applyFill="1" applyBorder="1" applyAlignment="1" applyProtection="1">
      <alignment horizontal="centerContinuous" vertical="center"/>
      <protection hidden="1"/>
    </xf>
    <xf numFmtId="0" fontId="62" fillId="24" borderId="82" xfId="0" applyFont="1" applyFill="1" applyBorder="1" applyAlignment="1" applyProtection="1">
      <alignment vertical="center"/>
      <protection hidden="1"/>
    </xf>
    <xf numFmtId="0" fontId="28" fillId="24" borderId="83" xfId="0" applyFont="1" applyFill="1" applyBorder="1" applyAlignment="1" applyProtection="1">
      <alignment horizontal="centerContinuous" vertical="center"/>
      <protection hidden="1"/>
    </xf>
    <xf numFmtId="199" fontId="47" fillId="0" borderId="10" xfId="0" applyNumberFormat="1" applyFont="1" applyFill="1" applyBorder="1" applyProtection="1">
      <alignment vertical="center"/>
    </xf>
    <xf numFmtId="200" fontId="63" fillId="29" borderId="10" xfId="0" applyNumberFormat="1" applyFont="1" applyFill="1" applyBorder="1" applyAlignment="1">
      <alignment horizontal="center" vertical="center"/>
    </xf>
    <xf numFmtId="0" fontId="47" fillId="0" borderId="10" xfId="0" applyFont="1" applyFill="1" applyBorder="1" applyProtection="1">
      <alignment vertical="center"/>
    </xf>
    <xf numFmtId="200" fontId="51" fillId="29" borderId="10" xfId="0" applyNumberFormat="1" applyFont="1" applyFill="1" applyBorder="1" applyAlignment="1">
      <alignment horizontal="center" vertical="center"/>
    </xf>
    <xf numFmtId="0" fontId="32" fillId="24" borderId="81" xfId="0" applyNumberFormat="1" applyFont="1" applyFill="1" applyBorder="1" applyAlignment="1" applyProtection="1">
      <alignment vertical="top"/>
      <protection hidden="1"/>
    </xf>
    <xf numFmtId="0" fontId="36" fillId="24" borderId="57" xfId="0" applyFont="1" applyFill="1" applyBorder="1" applyAlignment="1" applyProtection="1">
      <alignment horizontal="left" vertical="top"/>
      <protection hidden="1"/>
    </xf>
    <xf numFmtId="0" fontId="53" fillId="24" borderId="57" xfId="0" applyFont="1" applyFill="1" applyBorder="1" applyAlignment="1" applyProtection="1">
      <alignment vertical="top"/>
      <protection hidden="1"/>
    </xf>
    <xf numFmtId="0" fontId="28" fillId="24" borderId="57" xfId="0" applyFont="1" applyFill="1" applyBorder="1" applyAlignment="1" applyProtection="1">
      <protection hidden="1"/>
    </xf>
    <xf numFmtId="179" fontId="41" fillId="24" borderId="48" xfId="0" applyNumberFormat="1" applyFont="1" applyFill="1" applyBorder="1" applyAlignment="1" applyProtection="1">
      <alignment vertical="top" wrapText="1"/>
      <protection hidden="1"/>
    </xf>
    <xf numFmtId="179" fontId="41" fillId="24" borderId="10" xfId="0" applyNumberFormat="1" applyFont="1" applyFill="1" applyBorder="1" applyAlignment="1" applyProtection="1">
      <alignment vertical="top" wrapText="1"/>
      <protection hidden="1"/>
    </xf>
    <xf numFmtId="182" fontId="25" fillId="24" borderId="81" xfId="0" applyNumberFormat="1" applyFont="1" applyFill="1" applyBorder="1" applyAlignment="1" applyProtection="1">
      <alignment horizontal="center" vertical="top" wrapText="1"/>
      <protection hidden="1"/>
    </xf>
    <xf numFmtId="182" fontId="25" fillId="24" borderId="84" xfId="0" applyNumberFormat="1" applyFont="1" applyFill="1" applyBorder="1" applyAlignment="1" applyProtection="1">
      <alignment horizontal="center" vertical="center" wrapText="1"/>
      <protection hidden="1"/>
    </xf>
    <xf numFmtId="182" fontId="25" fillId="24" borderId="85" xfId="0" applyNumberFormat="1" applyFont="1" applyFill="1" applyBorder="1" applyAlignment="1" applyProtection="1">
      <alignment horizontal="center" vertical="center" wrapText="1"/>
      <protection hidden="1"/>
    </xf>
    <xf numFmtId="182" fontId="25" fillId="24" borderId="83" xfId="0" applyNumberFormat="1" applyFont="1" applyFill="1" applyBorder="1" applyAlignment="1" applyProtection="1">
      <alignment horizontal="center" vertical="center" wrapText="1"/>
      <protection hidden="1"/>
    </xf>
    <xf numFmtId="182" fontId="25" fillId="24" borderId="0" xfId="0" applyNumberFormat="1" applyFont="1" applyFill="1" applyBorder="1" applyAlignment="1" applyProtection="1">
      <alignment horizontal="center" vertical="center" wrapText="1"/>
      <protection hidden="1"/>
    </xf>
    <xf numFmtId="182" fontId="25" fillId="24" borderId="86" xfId="0" applyNumberFormat="1" applyFont="1" applyFill="1" applyBorder="1" applyAlignment="1" applyProtection="1">
      <alignment horizontal="center" vertical="center" wrapText="1"/>
      <protection hidden="1"/>
    </xf>
    <xf numFmtId="199" fontId="47" fillId="0" borderId="10" xfId="0" applyNumberFormat="1" applyFont="1" applyFill="1" applyBorder="1" applyAlignment="1" applyProtection="1">
      <alignment vertical="center" wrapText="1"/>
    </xf>
    <xf numFmtId="200" fontId="63" fillId="29" borderId="10" xfId="0" applyNumberFormat="1" applyFont="1" applyFill="1" applyBorder="1" applyAlignment="1">
      <alignment horizontal="center" vertical="center" wrapText="1"/>
    </xf>
    <xf numFmtId="0" fontId="47" fillId="0" borderId="10" xfId="0" applyFont="1" applyFill="1" applyBorder="1" applyAlignment="1" applyProtection="1">
      <alignment vertical="center" wrapText="1"/>
    </xf>
    <xf numFmtId="0" fontId="60" fillId="30" borderId="87" xfId="0" applyNumberFormat="1" applyFont="1" applyFill="1" applyBorder="1" applyAlignment="1" applyProtection="1">
      <alignment vertical="center"/>
      <protection hidden="1"/>
    </xf>
    <xf numFmtId="0" fontId="64" fillId="30" borderId="0" xfId="0" applyNumberFormat="1" applyFont="1" applyFill="1" applyBorder="1" applyAlignment="1" applyProtection="1">
      <alignment horizontal="left" vertical="center"/>
      <protection hidden="1"/>
    </xf>
    <xf numFmtId="181" fontId="61" fillId="30" borderId="0" xfId="0" applyNumberFormat="1" applyFont="1" applyFill="1" applyBorder="1" applyAlignment="1" applyProtection="1">
      <alignment horizontal="center" vertical="center"/>
      <protection hidden="1"/>
    </xf>
    <xf numFmtId="181" fontId="60" fillId="30" borderId="0" xfId="0" applyNumberFormat="1" applyFont="1" applyFill="1" applyBorder="1" applyAlignment="1" applyProtection="1">
      <alignment horizontal="center" vertical="center"/>
      <protection hidden="1"/>
    </xf>
    <xf numFmtId="179" fontId="37" fillId="30" borderId="88" xfId="0" applyNumberFormat="1" applyFont="1" applyFill="1" applyBorder="1" applyAlignment="1" applyProtection="1">
      <alignment horizontal="left" vertical="center"/>
      <protection hidden="1"/>
    </xf>
    <xf numFmtId="179" fontId="37" fillId="30" borderId="0" xfId="0" applyNumberFormat="1" applyFont="1" applyFill="1" applyBorder="1" applyAlignment="1" applyProtection="1">
      <alignment horizontal="left" vertical="center"/>
      <protection hidden="1"/>
    </xf>
    <xf numFmtId="179" fontId="37" fillId="30" borderId="23" xfId="0" applyNumberFormat="1" applyFont="1" applyFill="1" applyBorder="1" applyAlignment="1" applyProtection="1">
      <alignment horizontal="left" vertical="center"/>
      <protection hidden="1"/>
    </xf>
    <xf numFmtId="179" fontId="37" fillId="30" borderId="51" xfId="0" applyNumberFormat="1" applyFont="1" applyFill="1" applyBorder="1" applyAlignment="1" applyProtection="1">
      <alignment horizontal="left" vertical="center"/>
      <protection hidden="1"/>
    </xf>
    <xf numFmtId="179" fontId="37" fillId="30" borderId="88" xfId="0" applyNumberFormat="1" applyFont="1" applyFill="1" applyBorder="1" applyAlignment="1" applyProtection="1">
      <alignment horizontal="left"/>
      <protection hidden="1"/>
    </xf>
    <xf numFmtId="179" fontId="37" fillId="30" borderId="89" xfId="0" applyNumberFormat="1" applyFont="1" applyFill="1" applyBorder="1" applyAlignment="1" applyProtection="1">
      <alignment horizontal="left"/>
      <protection hidden="1"/>
    </xf>
    <xf numFmtId="179" fontId="37" fillId="30" borderId="0" xfId="0" applyNumberFormat="1" applyFont="1" applyFill="1" applyBorder="1" applyAlignment="1" applyProtection="1">
      <alignment horizontal="left"/>
      <protection hidden="1"/>
    </xf>
    <xf numFmtId="179" fontId="37" fillId="30" borderId="86" xfId="0" applyNumberFormat="1" applyFont="1" applyFill="1" applyBorder="1" applyAlignment="1" applyProtection="1">
      <alignment horizontal="left" vertical="center"/>
      <protection hidden="1"/>
    </xf>
    <xf numFmtId="178" fontId="47" fillId="0" borderId="10" xfId="0" applyNumberFormat="1" applyFont="1" applyFill="1" applyBorder="1" applyProtection="1">
      <alignment vertical="center"/>
    </xf>
    <xf numFmtId="0" fontId="32" fillId="26" borderId="90" xfId="0" applyFont="1" applyFill="1" applyBorder="1" applyAlignment="1" applyProtection="1">
      <alignment vertical="center"/>
      <protection hidden="1"/>
    </xf>
    <xf numFmtId="0" fontId="32" fillId="26" borderId="91" xfId="0" applyNumberFormat="1" applyFont="1" applyFill="1" applyBorder="1" applyAlignment="1" applyProtection="1">
      <alignment horizontal="left" vertical="center"/>
      <protection hidden="1"/>
    </xf>
    <xf numFmtId="179" fontId="37" fillId="26" borderId="92" xfId="0" applyNumberFormat="1" applyFont="1" applyFill="1" applyBorder="1" applyAlignment="1" applyProtection="1">
      <alignment horizontal="left" vertical="center"/>
      <protection hidden="1"/>
    </xf>
    <xf numFmtId="179" fontId="37" fillId="26" borderId="91" xfId="0" applyNumberFormat="1" applyFont="1" applyFill="1" applyBorder="1" applyAlignment="1" applyProtection="1">
      <alignment horizontal="left" vertical="center"/>
      <protection hidden="1"/>
    </xf>
    <xf numFmtId="179" fontId="37" fillId="26" borderId="93" xfId="0" applyNumberFormat="1" applyFont="1" applyFill="1" applyBorder="1" applyAlignment="1" applyProtection="1">
      <alignment horizontal="left" vertical="center"/>
      <protection hidden="1"/>
    </xf>
    <xf numFmtId="179" fontId="37" fillId="26" borderId="94" xfId="0" applyNumberFormat="1" applyFont="1" applyFill="1" applyBorder="1" applyAlignment="1" applyProtection="1">
      <alignment horizontal="left" vertical="center"/>
      <protection hidden="1"/>
    </xf>
    <xf numFmtId="179" fontId="37" fillId="26" borderId="92" xfId="0" applyNumberFormat="1" applyFont="1" applyFill="1" applyBorder="1" applyAlignment="1" applyProtection="1">
      <alignment horizontal="left"/>
      <protection hidden="1"/>
    </xf>
    <xf numFmtId="179" fontId="37" fillId="26" borderId="95" xfId="0" applyNumberFormat="1" applyFont="1" applyFill="1" applyBorder="1" applyAlignment="1" applyProtection="1">
      <alignment horizontal="left"/>
      <protection hidden="1"/>
    </xf>
    <xf numFmtId="179" fontId="37" fillId="26" borderId="91" xfId="0" applyNumberFormat="1" applyFont="1" applyFill="1" applyBorder="1" applyAlignment="1" applyProtection="1">
      <alignment horizontal="left"/>
      <protection hidden="1"/>
    </xf>
    <xf numFmtId="179" fontId="37" fillId="26" borderId="96" xfId="0" applyNumberFormat="1" applyFont="1" applyFill="1" applyBorder="1" applyAlignment="1" applyProtection="1">
      <alignment horizontal="left" vertical="center"/>
      <protection hidden="1"/>
    </xf>
    <xf numFmtId="0" fontId="32" fillId="24" borderId="88" xfId="0" quotePrefix="1" applyFont="1" applyFill="1" applyBorder="1" applyAlignment="1" applyProtection="1">
      <alignment vertical="center"/>
      <protection hidden="1"/>
    </xf>
    <xf numFmtId="0" fontId="41" fillId="24" borderId="97" xfId="0" applyNumberFormat="1" applyFont="1" applyFill="1" applyBorder="1" applyAlignment="1" applyProtection="1">
      <alignment horizontal="left" vertical="center"/>
      <protection hidden="1"/>
    </xf>
    <xf numFmtId="0" fontId="41" fillId="24" borderId="0" xfId="0" applyNumberFormat="1" applyFont="1" applyFill="1" applyBorder="1" applyAlignment="1" applyProtection="1">
      <alignment horizontal="left" vertical="center"/>
      <protection hidden="1"/>
    </xf>
    <xf numFmtId="0" fontId="41" fillId="24" borderId="97" xfId="0" applyNumberFormat="1" applyFont="1" applyFill="1" applyBorder="1" applyAlignment="1" applyProtection="1">
      <alignment vertical="center"/>
      <protection hidden="1"/>
    </xf>
    <xf numFmtId="179" fontId="28" fillId="24" borderId="10" xfId="0" applyNumberFormat="1" applyFont="1" applyFill="1" applyBorder="1" applyAlignment="1" applyProtection="1">
      <alignment horizontal="center" vertical="center"/>
    </xf>
    <xf numFmtId="179" fontId="37" fillId="24" borderId="59" xfId="0" applyNumberFormat="1" applyFont="1" applyFill="1" applyBorder="1" applyAlignment="1" applyProtection="1">
      <alignment horizontal="left"/>
    </xf>
    <xf numFmtId="179" fontId="37" fillId="24" borderId="0" xfId="0" applyNumberFormat="1" applyFont="1" applyFill="1" applyBorder="1" applyAlignment="1" applyProtection="1">
      <alignment horizontal="left"/>
    </xf>
    <xf numFmtId="182" fontId="47" fillId="24" borderId="98" xfId="0" applyNumberFormat="1" applyFont="1" applyFill="1" applyBorder="1" applyAlignment="1" applyProtection="1">
      <alignment horizontal="center" vertical="center"/>
      <protection hidden="1"/>
    </xf>
    <xf numFmtId="179" fontId="37" fillId="24" borderId="88" xfId="0" applyNumberFormat="1" applyFont="1" applyFill="1" applyBorder="1" applyAlignment="1" applyProtection="1">
      <alignment horizontal="left"/>
    </xf>
    <xf numFmtId="182" fontId="35" fillId="24" borderId="99" xfId="0" applyNumberFormat="1" applyFont="1" applyFill="1" applyBorder="1" applyAlignment="1" applyProtection="1">
      <alignment horizontal="center" vertical="center"/>
      <protection hidden="1"/>
    </xf>
    <xf numFmtId="182" fontId="47" fillId="24" borderId="100" xfId="0" applyNumberFormat="1" applyFont="1" applyFill="1" applyBorder="1" applyAlignment="1" applyProtection="1">
      <alignment horizontal="center" vertical="center"/>
      <protection hidden="1"/>
    </xf>
    <xf numFmtId="182" fontId="47" fillId="24" borderId="101" xfId="0" applyNumberFormat="1" applyFont="1" applyFill="1" applyBorder="1" applyAlignment="1" applyProtection="1">
      <alignment horizontal="center" vertical="center"/>
      <protection hidden="1"/>
    </xf>
    <xf numFmtId="0" fontId="41" fillId="24" borderId="88" xfId="0" applyFont="1" applyFill="1" applyBorder="1" applyAlignment="1" applyProtection="1">
      <alignment horizontal="center"/>
      <protection hidden="1"/>
    </xf>
    <xf numFmtId="0" fontId="32" fillId="24" borderId="51" xfId="0" applyFont="1" applyFill="1" applyBorder="1" applyAlignment="1" applyProtection="1">
      <alignment vertical="center"/>
      <protection hidden="1"/>
    </xf>
    <xf numFmtId="0" fontId="27" fillId="24" borderId="52" xfId="0" applyFont="1" applyFill="1" applyBorder="1" applyAlignment="1" applyProtection="1">
      <alignment vertical="center"/>
      <protection hidden="1"/>
    </xf>
    <xf numFmtId="0" fontId="27" fillId="24" borderId="57" xfId="0" applyFont="1" applyFill="1" applyBorder="1" applyAlignment="1" applyProtection="1">
      <alignment vertical="center"/>
      <protection hidden="1"/>
    </xf>
    <xf numFmtId="182" fontId="47" fillId="24" borderId="103" xfId="0" applyNumberFormat="1" applyFont="1" applyFill="1" applyBorder="1" applyAlignment="1" applyProtection="1">
      <alignment horizontal="center" vertical="center"/>
      <protection hidden="1"/>
    </xf>
    <xf numFmtId="182" fontId="35" fillId="24" borderId="104" xfId="0" applyNumberFormat="1" applyFont="1" applyFill="1" applyBorder="1" applyAlignment="1" applyProtection="1">
      <alignment horizontal="center" vertical="center"/>
      <protection hidden="1"/>
    </xf>
    <xf numFmtId="182" fontId="47" fillId="24" borderId="105" xfId="0" applyNumberFormat="1" applyFont="1" applyFill="1" applyBorder="1" applyAlignment="1" applyProtection="1">
      <alignment horizontal="center" vertical="center"/>
      <protection hidden="1"/>
    </xf>
    <xf numFmtId="182" fontId="47" fillId="24" borderId="106" xfId="0" applyNumberFormat="1" applyFont="1" applyFill="1" applyBorder="1" applyAlignment="1" applyProtection="1">
      <alignment horizontal="center" vertical="center"/>
      <protection hidden="1"/>
    </xf>
    <xf numFmtId="0" fontId="65" fillId="24" borderId="20" xfId="0" applyFont="1" applyFill="1" applyBorder="1" applyAlignment="1" applyProtection="1">
      <alignment horizontal="center" vertical="center"/>
      <protection hidden="1"/>
    </xf>
    <xf numFmtId="0" fontId="27" fillId="24" borderId="10" xfId="0" applyFont="1" applyFill="1" applyBorder="1" applyAlignment="1" applyProtection="1">
      <alignment horizontal="center" vertical="center"/>
      <protection hidden="1"/>
    </xf>
    <xf numFmtId="179" fontId="28" fillId="24" borderId="49" xfId="0" applyNumberFormat="1" applyFont="1" applyFill="1" applyBorder="1" applyAlignment="1" applyProtection="1">
      <alignment horizontal="center" vertical="center"/>
    </xf>
    <xf numFmtId="182" fontId="47" fillId="0" borderId="73" xfId="0" applyNumberFormat="1" applyFont="1" applyFill="1" applyBorder="1" applyAlignment="1" applyProtection="1">
      <alignment horizontal="center" vertical="center"/>
      <protection locked="0" hidden="1"/>
    </xf>
    <xf numFmtId="179" fontId="28" fillId="24" borderId="84" xfId="0" applyNumberFormat="1" applyFont="1" applyFill="1" applyBorder="1" applyAlignment="1" applyProtection="1">
      <alignment horizontal="center" vertical="center"/>
    </xf>
    <xf numFmtId="182" fontId="47" fillId="0" borderId="107" xfId="0" applyNumberFormat="1" applyFont="1" applyFill="1" applyBorder="1" applyAlignment="1" applyProtection="1">
      <alignment horizontal="center" vertical="center"/>
      <protection locked="0" hidden="1"/>
    </xf>
    <xf numFmtId="182" fontId="47" fillId="0" borderId="108" xfId="0" applyNumberFormat="1" applyFont="1" applyFill="1" applyBorder="1" applyAlignment="1" applyProtection="1">
      <alignment horizontal="center" vertical="center"/>
      <protection locked="0" hidden="1"/>
    </xf>
    <xf numFmtId="0" fontId="65" fillId="24" borderId="24" xfId="0" applyFont="1" applyFill="1" applyBorder="1" applyAlignment="1" applyProtection="1">
      <alignment horizontal="center" vertical="center"/>
      <protection hidden="1"/>
    </xf>
    <xf numFmtId="0" fontId="27" fillId="24" borderId="48" xfId="0" applyFont="1" applyFill="1" applyBorder="1" applyAlignment="1" applyProtection="1">
      <alignment vertical="center"/>
      <protection hidden="1"/>
    </xf>
    <xf numFmtId="182" fontId="47" fillId="0" borderId="103" xfId="0" applyNumberFormat="1" applyFont="1" applyFill="1" applyBorder="1" applyAlignment="1" applyProtection="1">
      <alignment horizontal="center" vertical="center"/>
      <protection locked="0" hidden="1"/>
    </xf>
    <xf numFmtId="182" fontId="47" fillId="0" borderId="109" xfId="0" applyNumberFormat="1" applyFont="1" applyFill="1" applyBorder="1" applyAlignment="1" applyProtection="1">
      <alignment horizontal="center" vertical="center"/>
      <protection locked="0" hidden="1"/>
    </xf>
    <xf numFmtId="182" fontId="47" fillId="0" borderId="110" xfId="0" applyNumberFormat="1" applyFont="1" applyFill="1" applyBorder="1" applyAlignment="1" applyProtection="1">
      <alignment horizontal="center" vertical="center"/>
      <protection locked="0" hidden="1"/>
    </xf>
    <xf numFmtId="0" fontId="32" fillId="24" borderId="20" xfId="0" applyFont="1" applyFill="1" applyBorder="1" applyAlignment="1" applyProtection="1">
      <alignment vertical="center"/>
      <protection hidden="1"/>
    </xf>
    <xf numFmtId="182" fontId="35" fillId="24" borderId="111" xfId="0" applyNumberFormat="1" applyFont="1" applyFill="1" applyBorder="1" applyAlignment="1" applyProtection="1">
      <alignment horizontal="center" vertical="center"/>
      <protection hidden="1"/>
    </xf>
    <xf numFmtId="182" fontId="47" fillId="24" borderId="112" xfId="0" applyNumberFormat="1" applyFont="1" applyFill="1" applyBorder="1" applyAlignment="1" applyProtection="1">
      <alignment horizontal="center" vertical="center"/>
      <protection hidden="1"/>
    </xf>
    <xf numFmtId="182" fontId="47" fillId="24" borderId="102" xfId="0" applyNumberFormat="1" applyFont="1" applyFill="1" applyBorder="1" applyAlignment="1" applyProtection="1">
      <alignment horizontal="center" vertical="center"/>
      <protection hidden="1"/>
    </xf>
    <xf numFmtId="182" fontId="47" fillId="0" borderId="88" xfId="0" applyNumberFormat="1" applyFont="1" applyFill="1" applyBorder="1" applyAlignment="1" applyProtection="1">
      <alignment horizontal="center" vertical="center"/>
      <protection locked="0" hidden="1"/>
    </xf>
    <xf numFmtId="182" fontId="47" fillId="0" borderId="113" xfId="0" applyNumberFormat="1" applyFont="1" applyFill="1" applyBorder="1" applyAlignment="1" applyProtection="1">
      <alignment horizontal="center" vertical="center"/>
      <protection locked="0" hidden="1"/>
    </xf>
    <xf numFmtId="182" fontId="47" fillId="0" borderId="86" xfId="0" applyNumberFormat="1" applyFont="1" applyFill="1" applyBorder="1" applyAlignment="1" applyProtection="1">
      <alignment horizontal="center" vertical="center"/>
      <protection locked="0" hidden="1"/>
    </xf>
    <xf numFmtId="0" fontId="41" fillId="24" borderId="63" xfId="0" applyFont="1" applyFill="1" applyBorder="1" applyAlignment="1" applyProtection="1">
      <alignment horizontal="center"/>
      <protection hidden="1"/>
    </xf>
    <xf numFmtId="0" fontId="32" fillId="24" borderId="48" xfId="0" applyFont="1" applyFill="1" applyBorder="1" applyAlignment="1" applyProtection="1">
      <alignment vertical="center"/>
      <protection hidden="1"/>
    </xf>
    <xf numFmtId="0" fontId="27" fillId="24" borderId="49" xfId="0" applyFont="1" applyFill="1" applyBorder="1" applyAlignment="1" applyProtection="1">
      <alignment vertical="center"/>
      <protection hidden="1"/>
    </xf>
    <xf numFmtId="182" fontId="35" fillId="0" borderId="109" xfId="0" applyNumberFormat="1" applyFont="1" applyFill="1" applyBorder="1" applyAlignment="1" applyProtection="1">
      <alignment horizontal="center" vertical="center"/>
      <protection locked="0" hidden="1"/>
    </xf>
    <xf numFmtId="0" fontId="41" fillId="24" borderId="49" xfId="0" applyNumberFormat="1" applyFont="1" applyFill="1" applyBorder="1" applyAlignment="1" applyProtection="1">
      <alignment horizontal="left" vertical="center"/>
      <protection hidden="1"/>
    </xf>
    <xf numFmtId="0" fontId="66" fillId="24" borderId="49" xfId="0" applyFont="1" applyFill="1" applyBorder="1" applyAlignment="1" applyProtection="1">
      <alignment vertical="center"/>
      <protection hidden="1"/>
    </xf>
    <xf numFmtId="179" fontId="37" fillId="24" borderId="10" xfId="0" applyNumberFormat="1" applyFont="1" applyFill="1" applyBorder="1" applyAlignment="1" applyProtection="1">
      <alignment horizontal="left"/>
    </xf>
    <xf numFmtId="179" fontId="37" fillId="24" borderId="49" xfId="0" applyNumberFormat="1" applyFont="1" applyFill="1" applyBorder="1" applyAlignment="1" applyProtection="1">
      <alignment horizontal="left"/>
    </xf>
    <xf numFmtId="182" fontId="47" fillId="24" borderId="114" xfId="0" applyNumberFormat="1" applyFont="1" applyFill="1" applyBorder="1" applyAlignment="1" applyProtection="1">
      <alignment horizontal="center" vertical="center"/>
      <protection hidden="1"/>
    </xf>
    <xf numFmtId="179" fontId="37" fillId="24" borderId="84" xfId="0" applyNumberFormat="1" applyFont="1" applyFill="1" applyBorder="1" applyAlignment="1" applyProtection="1">
      <alignment horizontal="left"/>
    </xf>
    <xf numFmtId="182" fontId="35" fillId="24" borderId="115" xfId="0" applyNumberFormat="1" applyFont="1" applyFill="1" applyBorder="1" applyAlignment="1" applyProtection="1">
      <alignment horizontal="center" vertical="center"/>
      <protection hidden="1"/>
    </xf>
    <xf numFmtId="0" fontId="27" fillId="24" borderId="52" xfId="0" applyNumberFormat="1" applyFont="1" applyFill="1" applyBorder="1" applyAlignment="1" applyProtection="1">
      <alignment horizontal="left" vertical="center"/>
      <protection hidden="1"/>
    </xf>
    <xf numFmtId="0" fontId="28" fillId="24" borderId="10" xfId="0" applyFont="1" applyFill="1" applyBorder="1" applyAlignment="1" applyProtection="1">
      <alignment horizontal="center" vertical="center"/>
    </xf>
    <xf numFmtId="0" fontId="28" fillId="24" borderId="49" xfId="0" applyFont="1" applyFill="1" applyBorder="1" applyAlignment="1" applyProtection="1">
      <alignment horizontal="center" vertical="center"/>
    </xf>
    <xf numFmtId="0" fontId="28" fillId="24" borderId="84" xfId="0" applyFont="1" applyFill="1" applyBorder="1" applyAlignment="1" applyProtection="1">
      <alignment horizontal="center" vertical="center"/>
    </xf>
    <xf numFmtId="0" fontId="65" fillId="24" borderId="20" xfId="0" applyNumberFormat="1" applyFont="1" applyFill="1" applyBorder="1" applyAlignment="1" applyProtection="1">
      <alignment horizontal="center" vertical="center"/>
      <protection hidden="1"/>
    </xf>
    <xf numFmtId="0" fontId="41" fillId="24" borderId="88" xfId="0" quotePrefix="1" applyNumberFormat="1" applyFont="1" applyFill="1" applyBorder="1" applyAlignment="1" applyProtection="1">
      <alignment horizontal="center" vertical="center"/>
      <protection hidden="1"/>
    </xf>
    <xf numFmtId="179" fontId="28" fillId="24" borderId="111" xfId="0" applyNumberFormat="1" applyFont="1" applyFill="1" applyBorder="1" applyAlignment="1" applyProtection="1">
      <alignment horizontal="center" vertical="center"/>
    </xf>
    <xf numFmtId="179" fontId="28" fillId="24" borderId="80" xfId="0" applyNumberFormat="1" applyFont="1" applyFill="1" applyBorder="1" applyAlignment="1" applyProtection="1">
      <alignment horizontal="center" vertical="center"/>
    </xf>
    <xf numFmtId="182" fontId="47" fillId="24" borderId="86" xfId="0" applyNumberFormat="1" applyFont="1" applyFill="1" applyBorder="1" applyAlignment="1" applyProtection="1">
      <alignment horizontal="center" vertical="center"/>
      <protection hidden="1"/>
    </xf>
    <xf numFmtId="182" fontId="47" fillId="24" borderId="88" xfId="0" applyNumberFormat="1" applyFont="1" applyFill="1" applyBorder="1" applyAlignment="1" applyProtection="1">
      <alignment horizontal="center" vertical="center"/>
      <protection hidden="1"/>
    </xf>
    <xf numFmtId="182" fontId="47" fillId="24" borderId="83" xfId="0" applyNumberFormat="1" applyFont="1" applyFill="1" applyBorder="1" applyAlignment="1" applyProtection="1">
      <alignment horizontal="center" vertical="center"/>
      <protection hidden="1"/>
    </xf>
    <xf numFmtId="182" fontId="47" fillId="24" borderId="84" xfId="0" applyNumberFormat="1" applyFont="1" applyFill="1" applyBorder="1" applyAlignment="1" applyProtection="1">
      <alignment horizontal="center" vertical="center"/>
      <protection hidden="1"/>
    </xf>
    <xf numFmtId="182" fontId="47" fillId="24" borderId="116" xfId="0" applyNumberFormat="1" applyFont="1" applyFill="1" applyBorder="1" applyAlignment="1" applyProtection="1">
      <alignment horizontal="center" vertical="center"/>
      <protection hidden="1"/>
    </xf>
    <xf numFmtId="0" fontId="65" fillId="24" borderId="24" xfId="0" applyNumberFormat="1" applyFont="1" applyFill="1" applyBorder="1" applyAlignment="1" applyProtection="1">
      <alignment horizontal="center" vertical="center"/>
      <protection hidden="1"/>
    </xf>
    <xf numFmtId="0" fontId="41" fillId="24" borderId="88" xfId="0" applyNumberFormat="1" applyFont="1" applyFill="1" applyBorder="1" applyAlignment="1" applyProtection="1">
      <alignment horizontal="center" vertical="center"/>
      <protection hidden="1"/>
    </xf>
    <xf numFmtId="182" fontId="47" fillId="0" borderId="117" xfId="0" applyNumberFormat="1" applyFont="1" applyFill="1" applyBorder="1" applyAlignment="1" applyProtection="1">
      <alignment horizontal="center" vertical="center"/>
      <protection locked="0" hidden="1"/>
    </xf>
    <xf numFmtId="182" fontId="47" fillId="0" borderId="81" xfId="0" applyNumberFormat="1" applyFont="1" applyFill="1" applyBorder="1" applyAlignment="1" applyProtection="1">
      <alignment horizontal="center" vertical="center"/>
      <protection locked="0" hidden="1"/>
    </xf>
    <xf numFmtId="182" fontId="47" fillId="0" borderId="82" xfId="0" applyNumberFormat="1" applyFont="1" applyFill="1" applyBorder="1" applyAlignment="1" applyProtection="1">
      <alignment horizontal="center" vertical="center"/>
      <protection locked="0" hidden="1"/>
    </xf>
    <xf numFmtId="0" fontId="41" fillId="24" borderId="81" xfId="0" applyNumberFormat="1" applyFont="1" applyFill="1" applyBorder="1" applyAlignment="1" applyProtection="1">
      <alignment horizontal="center" vertical="center"/>
      <protection hidden="1"/>
    </xf>
    <xf numFmtId="0" fontId="32" fillId="24" borderId="24" xfId="0" applyFont="1" applyFill="1" applyBorder="1" applyAlignment="1" applyProtection="1">
      <alignment vertical="center"/>
      <protection hidden="1"/>
    </xf>
    <xf numFmtId="0" fontId="27" fillId="24" borderId="49" xfId="0" applyFont="1" applyFill="1" applyBorder="1" applyAlignment="1" applyProtection="1">
      <alignment vertical="center" shrinkToFit="1"/>
      <protection hidden="1"/>
    </xf>
    <xf numFmtId="0" fontId="41" fillId="24" borderId="103" xfId="0" quotePrefix="1" applyNumberFormat="1" applyFont="1" applyFill="1" applyBorder="1" applyAlignment="1" applyProtection="1">
      <alignment horizontal="center" vertical="center"/>
      <protection hidden="1"/>
    </xf>
    <xf numFmtId="0" fontId="65" fillId="24" borderId="118" xfId="0" applyFont="1" applyFill="1" applyBorder="1" applyAlignment="1" applyProtection="1">
      <alignment horizontal="center" vertical="center"/>
      <protection hidden="1"/>
    </xf>
    <xf numFmtId="0" fontId="27" fillId="24" borderId="119" xfId="0" applyFont="1" applyFill="1" applyBorder="1" applyAlignment="1" applyProtection="1">
      <alignment horizontal="center" vertical="center"/>
      <protection hidden="1"/>
    </xf>
    <xf numFmtId="0" fontId="27" fillId="24" borderId="120" xfId="0" applyFont="1" applyFill="1" applyBorder="1" applyAlignment="1" applyProtection="1">
      <alignment vertical="center"/>
      <protection hidden="1"/>
    </xf>
    <xf numFmtId="179" fontId="28" fillId="24" borderId="106" xfId="0" applyNumberFormat="1" applyFont="1" applyFill="1" applyBorder="1" applyAlignment="1" applyProtection="1">
      <alignment horizontal="center" vertical="center"/>
    </xf>
    <xf numFmtId="179" fontId="28" fillId="24" borderId="120" xfId="0" applyNumberFormat="1" applyFont="1" applyFill="1" applyBorder="1" applyAlignment="1" applyProtection="1">
      <alignment horizontal="center" vertical="center"/>
    </xf>
    <xf numFmtId="0" fontId="32" fillId="26" borderId="121" xfId="0" applyFont="1" applyFill="1" applyBorder="1" applyAlignment="1" applyProtection="1">
      <alignment vertical="center"/>
      <protection hidden="1"/>
    </xf>
    <xf numFmtId="0" fontId="32" fillId="26" borderId="122" xfId="0" applyFont="1" applyFill="1" applyBorder="1" applyAlignment="1" applyProtection="1">
      <alignment horizontal="left"/>
      <protection hidden="1"/>
    </xf>
    <xf numFmtId="179" fontId="37" fillId="26" borderId="123" xfId="0" applyNumberFormat="1" applyFont="1" applyFill="1" applyBorder="1" applyAlignment="1" applyProtection="1">
      <alignment horizontal="left"/>
      <protection hidden="1"/>
    </xf>
    <xf numFmtId="179" fontId="37" fillId="26" borderId="122" xfId="0" applyNumberFormat="1" applyFont="1" applyFill="1" applyBorder="1" applyAlignment="1" applyProtection="1">
      <alignment horizontal="left"/>
      <protection hidden="1"/>
    </xf>
    <xf numFmtId="179" fontId="37" fillId="26" borderId="121" xfId="0" applyNumberFormat="1" applyFont="1" applyFill="1" applyBorder="1" applyAlignment="1" applyProtection="1">
      <alignment horizontal="left"/>
      <protection hidden="1"/>
    </xf>
    <xf numFmtId="179" fontId="37" fillId="26" borderId="90" xfId="0" applyNumberFormat="1" applyFont="1" applyFill="1" applyBorder="1" applyAlignment="1" applyProtection="1">
      <alignment horizontal="left"/>
      <protection hidden="1"/>
    </xf>
    <xf numFmtId="179" fontId="37" fillId="26" borderId="124" xfId="0" applyNumberFormat="1" applyFont="1" applyFill="1" applyBorder="1" applyAlignment="1" applyProtection="1">
      <alignment horizontal="left"/>
      <protection hidden="1"/>
    </xf>
    <xf numFmtId="179" fontId="37" fillId="26" borderId="125" xfId="0" applyNumberFormat="1" applyFont="1" applyFill="1" applyBorder="1" applyAlignment="1" applyProtection="1">
      <alignment horizontal="left"/>
      <protection hidden="1"/>
    </xf>
    <xf numFmtId="179" fontId="37" fillId="26" borderId="126" xfId="0" applyNumberFormat="1" applyFont="1" applyFill="1" applyBorder="1" applyAlignment="1" applyProtection="1">
      <alignment horizontal="left"/>
      <protection hidden="1"/>
    </xf>
    <xf numFmtId="0" fontId="41" fillId="24" borderId="97" xfId="0" applyFont="1" applyFill="1" applyBorder="1" applyAlignment="1" applyProtection="1">
      <alignment horizontal="left" vertical="center"/>
      <protection hidden="1"/>
    </xf>
    <xf numFmtId="0" fontId="41" fillId="24" borderId="0" xfId="0" applyFont="1" applyFill="1" applyBorder="1" applyAlignment="1" applyProtection="1">
      <alignment horizontal="left" vertical="center"/>
      <protection hidden="1"/>
    </xf>
    <xf numFmtId="179" fontId="37" fillId="24" borderId="22" xfId="0" applyNumberFormat="1" applyFont="1" applyFill="1" applyBorder="1" applyAlignment="1" applyProtection="1">
      <alignment horizontal="left"/>
    </xf>
    <xf numFmtId="179" fontId="37" fillId="24" borderId="57" xfId="0" applyNumberFormat="1" applyFont="1" applyFill="1" applyBorder="1" applyAlignment="1" applyProtection="1">
      <alignment horizontal="left"/>
    </xf>
    <xf numFmtId="179" fontId="37" fillId="24" borderId="81" xfId="0" applyNumberFormat="1" applyFont="1" applyFill="1" applyBorder="1" applyAlignment="1" applyProtection="1">
      <alignment horizontal="left"/>
    </xf>
    <xf numFmtId="182" fontId="35" fillId="24" borderId="127" xfId="0" applyNumberFormat="1" applyFont="1" applyFill="1" applyBorder="1" applyAlignment="1" applyProtection="1">
      <alignment horizontal="center" vertical="center"/>
      <protection hidden="1"/>
    </xf>
    <xf numFmtId="182" fontId="47" fillId="24" borderId="128" xfId="0" applyNumberFormat="1" applyFont="1" applyFill="1" applyBorder="1" applyAlignment="1" applyProtection="1">
      <alignment horizontal="center" vertical="center"/>
      <protection hidden="1"/>
    </xf>
    <xf numFmtId="182" fontId="47" fillId="24" borderId="129" xfId="0" applyNumberFormat="1" applyFont="1" applyFill="1" applyBorder="1" applyAlignment="1" applyProtection="1">
      <alignment horizontal="center" vertical="center"/>
      <protection hidden="1"/>
    </xf>
    <xf numFmtId="0" fontId="66" fillId="24" borderId="52" xfId="0" applyFont="1" applyFill="1" applyBorder="1" applyAlignment="1" applyProtection="1">
      <alignment vertical="center"/>
      <protection hidden="1"/>
    </xf>
    <xf numFmtId="182" fontId="47" fillId="24" borderId="110" xfId="0" applyNumberFormat="1" applyFont="1" applyFill="1" applyBorder="1" applyAlignment="1" applyProtection="1">
      <alignment horizontal="center" vertical="center"/>
      <protection hidden="1"/>
    </xf>
    <xf numFmtId="0" fontId="41" fillId="24" borderId="130" xfId="0" quotePrefix="1" applyNumberFormat="1" applyFont="1" applyFill="1" applyBorder="1" applyAlignment="1" applyProtection="1">
      <alignment horizontal="center" vertical="center"/>
      <protection hidden="1"/>
    </xf>
    <xf numFmtId="0" fontId="41" fillId="24" borderId="81" xfId="0" quotePrefix="1" applyNumberFormat="1" applyFont="1" applyFill="1" applyBorder="1" applyAlignment="1" applyProtection="1">
      <alignment horizontal="center" vertical="center"/>
      <protection hidden="1"/>
    </xf>
    <xf numFmtId="179" fontId="28" fillId="24" borderId="48" xfId="0" applyNumberFormat="1" applyFont="1" applyFill="1" applyBorder="1" applyAlignment="1" applyProtection="1">
      <alignment horizontal="center" vertical="center"/>
    </xf>
    <xf numFmtId="179" fontId="25" fillId="24" borderId="10" xfId="0" applyNumberFormat="1" applyFont="1" applyFill="1" applyBorder="1" applyAlignment="1" applyProtection="1">
      <alignment horizontal="center" vertical="center"/>
    </xf>
    <xf numFmtId="182" fontId="47" fillId="24" borderId="131" xfId="0" applyNumberFormat="1" applyFont="1" applyFill="1" applyBorder="1" applyAlignment="1" applyProtection="1">
      <alignment horizontal="center" vertical="center"/>
      <protection hidden="1"/>
    </xf>
    <xf numFmtId="182" fontId="35" fillId="24" borderId="132" xfId="0" applyNumberFormat="1" applyFont="1" applyFill="1" applyBorder="1" applyAlignment="1" applyProtection="1">
      <alignment horizontal="center" vertical="center"/>
      <protection hidden="1"/>
    </xf>
    <xf numFmtId="182" fontId="47" fillId="24" borderId="133" xfId="0" applyNumberFormat="1" applyFont="1" applyFill="1" applyBorder="1" applyAlignment="1" applyProtection="1">
      <alignment horizontal="center" vertical="center"/>
      <protection hidden="1"/>
    </xf>
    <xf numFmtId="182" fontId="47" fillId="24" borderId="71" xfId="0" applyNumberFormat="1" applyFont="1" applyFill="1" applyBorder="1" applyAlignment="1" applyProtection="1">
      <alignment horizontal="center" vertical="center"/>
      <protection hidden="1"/>
    </xf>
    <xf numFmtId="0" fontId="27" fillId="24" borderId="20" xfId="0" applyFont="1" applyFill="1" applyBorder="1" applyAlignment="1" applyProtection="1">
      <alignment vertical="center"/>
      <protection hidden="1"/>
    </xf>
    <xf numFmtId="0" fontId="41" fillId="24" borderId="81" xfId="0" applyFont="1" applyFill="1" applyBorder="1" applyAlignment="1" applyProtection="1">
      <alignment horizontal="center"/>
      <protection hidden="1"/>
    </xf>
    <xf numFmtId="0" fontId="28" fillId="31" borderId="52" xfId="0" applyFont="1" applyFill="1" applyBorder="1" applyAlignment="1" applyProtection="1">
      <alignment horizontal="center" vertical="center"/>
    </xf>
    <xf numFmtId="182" fontId="47" fillId="31" borderId="102" xfId="0" applyNumberFormat="1" applyFont="1" applyFill="1" applyBorder="1" applyAlignment="1" applyProtection="1">
      <alignment horizontal="center" vertical="center"/>
      <protection hidden="1"/>
    </xf>
    <xf numFmtId="0" fontId="28" fillId="31" borderId="102" xfId="0" applyFont="1" applyFill="1" applyBorder="1" applyAlignment="1" applyProtection="1">
      <alignment horizontal="center" vertical="center"/>
    </xf>
    <xf numFmtId="182" fontId="35" fillId="31" borderId="134" xfId="0" applyNumberFormat="1" applyFont="1" applyFill="1" applyBorder="1" applyAlignment="1" applyProtection="1">
      <alignment horizontal="center" vertical="center"/>
      <protection hidden="1"/>
    </xf>
    <xf numFmtId="182" fontId="35" fillId="31" borderId="135" xfId="0" applyNumberFormat="1" applyFont="1" applyFill="1" applyBorder="1" applyAlignment="1" applyProtection="1">
      <alignment horizontal="center" vertical="center"/>
      <protection hidden="1"/>
    </xf>
    <xf numFmtId="182" fontId="47" fillId="31" borderId="112" xfId="0" applyNumberFormat="1" applyFont="1" applyFill="1" applyBorder="1" applyAlignment="1" applyProtection="1">
      <alignment horizontal="center" vertical="center"/>
      <protection hidden="1"/>
    </xf>
    <xf numFmtId="0" fontId="32" fillId="24" borderId="102" xfId="0" quotePrefix="1" applyFont="1" applyFill="1" applyBorder="1" applyAlignment="1" applyProtection="1">
      <alignment vertical="center"/>
      <protection hidden="1"/>
    </xf>
    <xf numFmtId="0" fontId="41" fillId="24" borderId="52" xfId="0" applyNumberFormat="1" applyFont="1" applyFill="1" applyBorder="1" applyAlignment="1" applyProtection="1">
      <alignment horizontal="left" vertical="center"/>
      <protection hidden="1"/>
    </xf>
    <xf numFmtId="182" fontId="35" fillId="24" borderId="89" xfId="0" applyNumberFormat="1" applyFont="1" applyFill="1" applyBorder="1" applyAlignment="1" applyProtection="1">
      <alignment horizontal="center" vertical="center"/>
      <protection hidden="1"/>
    </xf>
    <xf numFmtId="0" fontId="27" fillId="24" borderId="23" xfId="0" applyFont="1" applyFill="1" applyBorder="1" applyAlignment="1" applyProtection="1">
      <alignment horizontal="center" vertical="center"/>
      <protection hidden="1"/>
    </xf>
    <xf numFmtId="0" fontId="27" fillId="24" borderId="49" xfId="0" applyNumberFormat="1" applyFont="1" applyFill="1" applyBorder="1" applyAlignment="1" applyProtection="1">
      <alignment horizontal="left" vertical="center"/>
      <protection hidden="1"/>
    </xf>
    <xf numFmtId="182" fontId="47" fillId="0" borderId="73" xfId="0" applyNumberFormat="1" applyFont="1" applyFill="1" applyBorder="1" applyAlignment="1" applyProtection="1">
      <alignment horizontal="center" vertical="center"/>
      <protection locked="0"/>
    </xf>
    <xf numFmtId="182" fontId="47" fillId="0" borderId="88" xfId="0" applyNumberFormat="1" applyFont="1" applyFill="1" applyBorder="1" applyAlignment="1" applyProtection="1">
      <alignment horizontal="center" vertical="center"/>
      <protection locked="0"/>
    </xf>
    <xf numFmtId="0" fontId="65" fillId="24" borderId="118" xfId="0" applyNumberFormat="1" applyFont="1" applyFill="1" applyBorder="1" applyAlignment="1" applyProtection="1">
      <alignment horizontal="center" vertical="center"/>
      <protection hidden="1"/>
    </xf>
    <xf numFmtId="179" fontId="28" fillId="24" borderId="102" xfId="0" applyNumberFormat="1" applyFont="1" applyFill="1" applyBorder="1" applyAlignment="1" applyProtection="1">
      <alignment horizontal="center" vertical="center"/>
    </xf>
    <xf numFmtId="179" fontId="28" fillId="24" borderId="52" xfId="0" applyNumberFormat="1" applyFont="1" applyFill="1" applyBorder="1" applyAlignment="1" applyProtection="1">
      <alignment horizontal="center" vertical="center"/>
    </xf>
    <xf numFmtId="182" fontId="47" fillId="0" borderId="103" xfId="0" applyNumberFormat="1" applyFont="1" applyFill="1" applyBorder="1" applyAlignment="1" applyProtection="1">
      <alignment horizontal="center" vertical="center"/>
      <protection locked="0"/>
    </xf>
    <xf numFmtId="0" fontId="6" fillId="0" borderId="86" xfId="0" applyFont="1" applyFill="1" applyBorder="1" applyProtection="1">
      <alignment vertical="center"/>
      <protection hidden="1"/>
    </xf>
    <xf numFmtId="0" fontId="32" fillId="26" borderId="122" xfId="0" applyNumberFormat="1" applyFont="1" applyFill="1" applyBorder="1" applyAlignment="1" applyProtection="1">
      <alignment horizontal="left" vertical="center"/>
      <protection hidden="1"/>
    </xf>
    <xf numFmtId="179" fontId="37" fillId="26" borderId="132" xfId="0" applyNumberFormat="1" applyFont="1" applyFill="1" applyBorder="1" applyAlignment="1" applyProtection="1">
      <alignment horizontal="left"/>
      <protection hidden="1"/>
    </xf>
    <xf numFmtId="179" fontId="37" fillId="26" borderId="121" xfId="0" applyNumberFormat="1" applyFont="1" applyFill="1" applyBorder="1" applyAlignment="1" applyProtection="1">
      <alignment horizontal="left"/>
    </xf>
    <xf numFmtId="0" fontId="27" fillId="24" borderId="136" xfId="0" applyFont="1" applyFill="1" applyBorder="1" applyAlignment="1" applyProtection="1">
      <alignment vertical="center"/>
      <protection hidden="1"/>
    </xf>
    <xf numFmtId="182" fontId="35" fillId="0" borderId="107" xfId="0" applyNumberFormat="1" applyFont="1" applyFill="1" applyBorder="1" applyAlignment="1" applyProtection="1">
      <alignment horizontal="center" vertical="center"/>
      <protection locked="0" hidden="1"/>
    </xf>
    <xf numFmtId="0" fontId="32" fillId="24" borderId="84" xfId="0" quotePrefix="1" applyFont="1" applyFill="1" applyBorder="1" applyAlignment="1" applyProtection="1">
      <alignment vertical="center"/>
      <protection hidden="1"/>
    </xf>
    <xf numFmtId="0" fontId="41" fillId="24" borderId="49" xfId="0" applyFont="1" applyFill="1" applyBorder="1" applyAlignment="1" applyProtection="1">
      <alignment horizontal="left" vertical="center"/>
      <protection hidden="1"/>
    </xf>
    <xf numFmtId="0" fontId="41" fillId="24" borderId="57" xfId="0" applyNumberFormat="1" applyFont="1" applyFill="1" applyBorder="1" applyAlignment="1" applyProtection="1">
      <alignment horizontal="left" vertical="center"/>
      <protection hidden="1"/>
    </xf>
    <xf numFmtId="0" fontId="32" fillId="24" borderId="20" xfId="0" applyFont="1" applyFill="1" applyBorder="1" applyProtection="1">
      <alignment vertical="center"/>
      <protection hidden="1"/>
    </xf>
    <xf numFmtId="0" fontId="27" fillId="24" borderId="57" xfId="0" applyNumberFormat="1" applyFont="1" applyFill="1" applyBorder="1" applyAlignment="1" applyProtection="1">
      <alignment horizontal="left" vertical="center"/>
      <protection hidden="1"/>
    </xf>
    <xf numFmtId="0" fontId="27" fillId="24" borderId="57" xfId="0" applyFont="1" applyFill="1" applyBorder="1" applyProtection="1">
      <alignment vertical="center"/>
      <protection hidden="1"/>
    </xf>
    <xf numFmtId="0" fontId="32" fillId="24" borderId="48" xfId="0" applyFont="1" applyFill="1" applyBorder="1" applyProtection="1">
      <alignment vertical="center"/>
      <protection hidden="1"/>
    </xf>
    <xf numFmtId="0" fontId="27" fillId="24" borderId="49" xfId="0" applyFont="1" applyFill="1" applyBorder="1" applyProtection="1">
      <alignment vertical="center"/>
      <protection hidden="1"/>
    </xf>
    <xf numFmtId="179" fontId="37" fillId="0" borderId="0" xfId="0" applyNumberFormat="1" applyFont="1" applyFill="1" applyBorder="1" applyAlignment="1" applyProtection="1">
      <alignment horizontal="left"/>
    </xf>
    <xf numFmtId="182" fontId="47" fillId="0" borderId="88" xfId="0" applyNumberFormat="1" applyFont="1" applyFill="1" applyBorder="1" applyAlignment="1" applyProtection="1">
      <alignment horizontal="center" vertical="center"/>
      <protection hidden="1"/>
    </xf>
    <xf numFmtId="179" fontId="37" fillId="0" borderId="88" xfId="0" applyNumberFormat="1" applyFont="1" applyFill="1" applyBorder="1" applyAlignment="1" applyProtection="1">
      <alignment horizontal="left"/>
    </xf>
    <xf numFmtId="182" fontId="47" fillId="0" borderId="131" xfId="0" applyNumberFormat="1" applyFont="1" applyFill="1" applyBorder="1" applyAlignment="1" applyProtection="1">
      <alignment horizontal="center" vertical="center"/>
      <protection hidden="1"/>
    </xf>
    <xf numFmtId="179" fontId="37" fillId="0" borderId="72" xfId="0" applyNumberFormat="1" applyFont="1" applyFill="1" applyBorder="1" applyAlignment="1" applyProtection="1">
      <alignment horizontal="left"/>
    </xf>
    <xf numFmtId="182" fontId="47" fillId="0" borderId="86" xfId="0" applyNumberFormat="1" applyFont="1" applyFill="1" applyBorder="1" applyAlignment="1" applyProtection="1">
      <alignment horizontal="center" vertical="center"/>
      <protection hidden="1"/>
    </xf>
    <xf numFmtId="182" fontId="47" fillId="0" borderId="88" xfId="0" applyNumberFormat="1" applyFont="1" applyFill="1" applyBorder="1" applyAlignment="1" applyProtection="1">
      <alignment horizontal="center" vertical="center"/>
    </xf>
    <xf numFmtId="182" fontId="47" fillId="0" borderId="113" xfId="0" applyNumberFormat="1" applyFont="1" applyFill="1" applyBorder="1" applyAlignment="1" applyProtection="1">
      <alignment horizontal="center" vertical="center"/>
      <protection hidden="1"/>
    </xf>
    <xf numFmtId="0" fontId="60" fillId="30" borderId="73" xfId="0" applyNumberFormat="1" applyFont="1" applyFill="1" applyBorder="1" applyAlignment="1" applyProtection="1">
      <alignment horizontal="left" vertical="center"/>
      <protection hidden="1"/>
    </xf>
    <xf numFmtId="0" fontId="60" fillId="30" borderId="79" xfId="0" applyNumberFormat="1" applyFont="1" applyFill="1" applyBorder="1" applyAlignment="1" applyProtection="1">
      <alignment horizontal="left" vertical="center"/>
      <protection hidden="1"/>
    </xf>
    <xf numFmtId="179" fontId="37" fillId="30" borderId="79" xfId="0" applyNumberFormat="1" applyFont="1" applyFill="1" applyBorder="1" applyAlignment="1" applyProtection="1">
      <alignment horizontal="left" vertical="center"/>
      <protection hidden="1"/>
    </xf>
    <xf numFmtId="179" fontId="37" fillId="30" borderId="137" xfId="0" applyNumberFormat="1" applyFont="1" applyFill="1" applyBorder="1" applyAlignment="1" applyProtection="1">
      <alignment horizontal="left" vertical="center"/>
      <protection hidden="1"/>
    </xf>
    <xf numFmtId="179" fontId="37" fillId="30" borderId="107" xfId="0" applyNumberFormat="1" applyFont="1" applyFill="1" applyBorder="1" applyAlignment="1" applyProtection="1">
      <alignment horizontal="left"/>
      <protection hidden="1"/>
    </xf>
    <xf numFmtId="179" fontId="37" fillId="30" borderId="115" xfId="0" applyNumberFormat="1" applyFont="1" applyFill="1" applyBorder="1" applyAlignment="1" applyProtection="1">
      <alignment horizontal="left"/>
      <protection hidden="1"/>
    </xf>
    <xf numFmtId="179" fontId="37" fillId="30" borderId="138" xfId="0" applyNumberFormat="1" applyFont="1" applyFill="1" applyBorder="1" applyAlignment="1" applyProtection="1">
      <alignment horizontal="left"/>
      <protection hidden="1"/>
    </xf>
    <xf numFmtId="179" fontId="37" fillId="30" borderId="137" xfId="0" applyNumberFormat="1" applyFont="1" applyFill="1" applyBorder="1" applyAlignment="1" applyProtection="1">
      <alignment horizontal="left"/>
      <protection hidden="1"/>
    </xf>
    <xf numFmtId="179" fontId="37" fillId="30" borderId="107" xfId="0" applyNumberFormat="1" applyFont="1" applyFill="1" applyBorder="1" applyAlignment="1" applyProtection="1">
      <alignment horizontal="left"/>
    </xf>
    <xf numFmtId="0" fontId="32" fillId="26" borderId="92" xfId="0" applyFont="1" applyFill="1" applyBorder="1" applyAlignment="1" applyProtection="1">
      <alignment vertical="center"/>
      <protection hidden="1"/>
    </xf>
    <xf numFmtId="179" fontId="37" fillId="26" borderId="139" xfId="0" applyNumberFormat="1" applyFont="1" applyFill="1" applyBorder="1" applyAlignment="1" applyProtection="1">
      <alignment horizontal="left"/>
      <protection hidden="1"/>
    </xf>
    <xf numFmtId="179" fontId="37" fillId="26" borderId="93" xfId="0" applyNumberFormat="1" applyFont="1" applyFill="1" applyBorder="1" applyAlignment="1" applyProtection="1">
      <alignment horizontal="left"/>
      <protection hidden="1"/>
    </xf>
    <xf numFmtId="179" fontId="37" fillId="26" borderId="140" xfId="0" applyNumberFormat="1" applyFont="1" applyFill="1" applyBorder="1" applyAlignment="1" applyProtection="1">
      <alignment horizontal="left"/>
      <protection hidden="1"/>
    </xf>
    <xf numFmtId="179" fontId="37" fillId="26" borderId="94" xfId="0" applyNumberFormat="1" applyFont="1" applyFill="1" applyBorder="1" applyAlignment="1" applyProtection="1">
      <alignment horizontal="left"/>
      <protection hidden="1"/>
    </xf>
    <xf numFmtId="179" fontId="37" fillId="26" borderId="139" xfId="0" applyNumberFormat="1" applyFont="1" applyFill="1" applyBorder="1" applyAlignment="1" applyProtection="1">
      <alignment horizontal="left"/>
    </xf>
    <xf numFmtId="0" fontId="41" fillId="24" borderId="136" xfId="0" applyNumberFormat="1" applyFont="1" applyFill="1" applyBorder="1" applyAlignment="1" applyProtection="1">
      <alignment horizontal="left" vertical="center"/>
      <protection hidden="1"/>
    </xf>
    <xf numFmtId="182" fontId="47" fillId="0" borderId="131" xfId="0" applyNumberFormat="1" applyFont="1" applyFill="1" applyBorder="1" applyAlignment="1" applyProtection="1">
      <alignment horizontal="center" vertical="center"/>
      <protection locked="0" hidden="1"/>
    </xf>
    <xf numFmtId="179" fontId="28" fillId="24" borderId="57" xfId="0" applyNumberFormat="1" applyFont="1" applyFill="1" applyBorder="1" applyAlignment="1" applyProtection="1">
      <alignment horizontal="center" vertical="center"/>
    </xf>
    <xf numFmtId="182" fontId="47" fillId="24" borderId="117" xfId="0" applyNumberFormat="1" applyFont="1" applyFill="1" applyBorder="1" applyAlignment="1" applyProtection="1">
      <alignment horizontal="center" vertical="center"/>
      <protection hidden="1"/>
    </xf>
    <xf numFmtId="182" fontId="47" fillId="24" borderId="81" xfId="0" applyNumberFormat="1" applyFont="1" applyFill="1" applyBorder="1" applyAlignment="1" applyProtection="1">
      <alignment horizontal="center" vertical="center"/>
      <protection hidden="1"/>
    </xf>
    <xf numFmtId="0" fontId="32" fillId="24" borderId="102" xfId="0" applyFont="1" applyFill="1" applyBorder="1" applyAlignment="1" applyProtection="1">
      <alignment vertical="center"/>
      <protection hidden="1"/>
    </xf>
    <xf numFmtId="182" fontId="35" fillId="24" borderId="141" xfId="0" applyNumberFormat="1" applyFont="1" applyFill="1" applyBorder="1" applyAlignment="1" applyProtection="1">
      <alignment horizontal="center" vertical="center"/>
      <protection hidden="1"/>
    </xf>
    <xf numFmtId="0" fontId="32" fillId="24" borderId="88" xfId="0" applyFont="1" applyFill="1" applyBorder="1" applyAlignment="1" applyProtection="1">
      <alignment vertical="center"/>
      <protection hidden="1"/>
    </xf>
    <xf numFmtId="182" fontId="47" fillId="0" borderId="71" xfId="0" applyNumberFormat="1" applyFont="1" applyFill="1" applyBorder="1" applyAlignment="1" applyProtection="1">
      <alignment horizontal="center" vertical="center"/>
      <protection locked="0" hidden="1"/>
    </xf>
    <xf numFmtId="182" fontId="35" fillId="0" borderId="131" xfId="0" applyNumberFormat="1" applyFont="1" applyFill="1" applyBorder="1" applyAlignment="1" applyProtection="1">
      <alignment horizontal="center" vertical="center"/>
      <protection locked="0" hidden="1"/>
    </xf>
    <xf numFmtId="182" fontId="47" fillId="0" borderId="133" xfId="0" applyNumberFormat="1" applyFont="1" applyFill="1" applyBorder="1" applyAlignment="1" applyProtection="1">
      <alignment horizontal="center" vertical="center"/>
      <protection locked="0" hidden="1"/>
    </xf>
    <xf numFmtId="0" fontId="32" fillId="24" borderId="48" xfId="0" applyNumberFormat="1" applyFont="1" applyFill="1" applyBorder="1" applyAlignment="1" applyProtection="1">
      <alignment horizontal="right" vertical="center"/>
      <protection hidden="1"/>
    </xf>
    <xf numFmtId="0" fontId="32" fillId="24" borderId="63" xfId="0" applyFont="1" applyFill="1" applyBorder="1" applyAlignment="1" applyProtection="1">
      <alignment vertical="center"/>
      <protection hidden="1"/>
    </xf>
    <xf numFmtId="179" fontId="28" fillId="24" borderId="116" xfId="0" applyNumberFormat="1" applyFont="1" applyFill="1" applyBorder="1" applyAlignment="1" applyProtection="1">
      <alignment horizontal="center" vertical="center"/>
    </xf>
    <xf numFmtId="0" fontId="28" fillId="24" borderId="81" xfId="0" applyFont="1" applyFill="1" applyBorder="1" applyAlignment="1" applyProtection="1">
      <alignment horizontal="center" vertical="center"/>
    </xf>
    <xf numFmtId="0" fontId="28" fillId="24" borderId="57" xfId="0" applyFont="1" applyFill="1" applyBorder="1" applyAlignment="1" applyProtection="1">
      <alignment horizontal="center" vertical="center"/>
    </xf>
    <xf numFmtId="182" fontId="47" fillId="24" borderId="78" xfId="0" applyNumberFormat="1" applyFont="1" applyFill="1" applyBorder="1" applyAlignment="1" applyProtection="1">
      <alignment horizontal="center" vertical="center"/>
      <protection hidden="1"/>
    </xf>
    <xf numFmtId="182" fontId="47" fillId="24" borderId="80" xfId="0" applyNumberFormat="1" applyFont="1" applyFill="1" applyBorder="1" applyAlignment="1" applyProtection="1">
      <alignment horizontal="center" vertical="center"/>
      <protection hidden="1"/>
    </xf>
    <xf numFmtId="182" fontId="35" fillId="24" borderId="131" xfId="0" applyNumberFormat="1" applyFont="1" applyFill="1" applyBorder="1" applyAlignment="1" applyProtection="1">
      <alignment horizontal="center" vertical="center"/>
      <protection hidden="1"/>
    </xf>
    <xf numFmtId="0" fontId="69" fillId="24" borderId="88" xfId="0" applyNumberFormat="1" applyFont="1" applyFill="1" applyBorder="1" applyAlignment="1" applyProtection="1">
      <alignment horizontal="center" vertical="center"/>
      <protection hidden="1"/>
    </xf>
    <xf numFmtId="182" fontId="35" fillId="24" borderId="107" xfId="0" applyNumberFormat="1" applyFont="1" applyFill="1" applyBorder="1" applyAlignment="1" applyProtection="1">
      <alignment horizontal="center" vertical="center"/>
      <protection hidden="1"/>
    </xf>
    <xf numFmtId="182" fontId="35" fillId="24" borderId="113" xfId="0" applyNumberFormat="1" applyFont="1" applyFill="1" applyBorder="1" applyAlignment="1" applyProtection="1">
      <alignment horizontal="center" vertical="center"/>
      <protection hidden="1"/>
    </xf>
    <xf numFmtId="182" fontId="35" fillId="24" borderId="109" xfId="0" applyNumberFormat="1" applyFont="1" applyFill="1" applyBorder="1" applyAlignment="1" applyProtection="1">
      <alignment horizontal="center" vertical="center"/>
      <protection hidden="1"/>
    </xf>
    <xf numFmtId="0" fontId="69" fillId="24" borderId="81" xfId="0" applyNumberFormat="1" applyFont="1" applyFill="1" applyBorder="1" applyAlignment="1" applyProtection="1">
      <alignment horizontal="center" vertical="center"/>
      <protection hidden="1"/>
    </xf>
    <xf numFmtId="182" fontId="35" fillId="24" borderId="142" xfId="0" applyNumberFormat="1" applyFont="1" applyFill="1" applyBorder="1" applyAlignment="1" applyProtection="1">
      <alignment horizontal="center" vertical="center"/>
      <protection hidden="1"/>
    </xf>
    <xf numFmtId="0" fontId="32" fillId="24" borderId="101" xfId="0" quotePrefix="1" applyFont="1" applyFill="1" applyBorder="1" applyAlignment="1" applyProtection="1">
      <alignment vertical="center"/>
      <protection hidden="1"/>
    </xf>
    <xf numFmtId="0" fontId="32" fillId="24" borderId="20" xfId="0" quotePrefix="1" applyFont="1" applyFill="1" applyBorder="1" applyAlignment="1" applyProtection="1">
      <alignment vertical="center"/>
      <protection hidden="1"/>
    </xf>
    <xf numFmtId="0" fontId="65" fillId="24" borderId="20" xfId="0" quotePrefix="1" applyNumberFormat="1" applyFont="1" applyFill="1" applyBorder="1" applyAlignment="1" applyProtection="1">
      <alignment horizontal="center" vertical="center"/>
      <protection hidden="1"/>
    </xf>
    <xf numFmtId="0" fontId="65" fillId="24" borderId="24" xfId="0" quotePrefix="1" applyNumberFormat="1" applyFont="1" applyFill="1" applyBorder="1" applyAlignment="1" applyProtection="1">
      <alignment horizontal="center" vertical="center"/>
      <protection hidden="1"/>
    </xf>
    <xf numFmtId="0" fontId="41" fillId="24" borderId="52" xfId="0" applyFont="1" applyFill="1" applyBorder="1" applyAlignment="1" applyProtection="1">
      <alignment horizontal="left" vertical="center"/>
      <protection hidden="1"/>
    </xf>
    <xf numFmtId="182" fontId="35" fillId="0" borderId="113" xfId="0" applyNumberFormat="1" applyFont="1" applyFill="1" applyBorder="1" applyAlignment="1" applyProtection="1">
      <alignment horizontal="center" vertical="center"/>
      <protection locked="0" hidden="1"/>
    </xf>
    <xf numFmtId="179" fontId="25" fillId="24" borderId="49" xfId="0" applyNumberFormat="1" applyFont="1" applyFill="1" applyBorder="1" applyAlignment="1" applyProtection="1">
      <alignment horizontal="center" vertical="center"/>
    </xf>
    <xf numFmtId="0" fontId="41" fillId="24" borderId="63" xfId="0" applyFont="1" applyFill="1" applyBorder="1" applyAlignment="1" applyProtection="1">
      <alignment horizontal="center" vertical="center"/>
      <protection hidden="1"/>
    </xf>
    <xf numFmtId="0" fontId="41" fillId="24" borderId="69" xfId="0" applyNumberFormat="1" applyFont="1" applyFill="1" applyBorder="1" applyAlignment="1" applyProtection="1">
      <alignment horizontal="center" vertical="center"/>
      <protection hidden="1"/>
    </xf>
    <xf numFmtId="179" fontId="37" fillId="26" borderId="71" xfId="0" applyNumberFormat="1" applyFont="1" applyFill="1" applyBorder="1" applyAlignment="1" applyProtection="1">
      <alignment horizontal="left"/>
      <protection hidden="1"/>
    </xf>
    <xf numFmtId="179" fontId="37" fillId="26" borderId="111" xfId="0" applyNumberFormat="1" applyFont="1" applyFill="1" applyBorder="1" applyAlignment="1" applyProtection="1">
      <alignment horizontal="left"/>
      <protection hidden="1"/>
    </xf>
    <xf numFmtId="179" fontId="37" fillId="26" borderId="108" xfId="0" applyNumberFormat="1" applyFont="1" applyFill="1" applyBorder="1" applyAlignment="1" applyProtection="1">
      <alignment horizontal="left"/>
      <protection hidden="1"/>
    </xf>
    <xf numFmtId="179" fontId="37" fillId="26" borderId="73" xfId="0" applyNumberFormat="1" applyFont="1" applyFill="1" applyBorder="1" applyAlignment="1" applyProtection="1">
      <alignment horizontal="left"/>
      <protection hidden="1"/>
    </xf>
    <xf numFmtId="179" fontId="37" fillId="26" borderId="71" xfId="0" applyNumberFormat="1" applyFont="1" applyFill="1" applyBorder="1" applyAlignment="1" applyProtection="1">
      <alignment horizontal="left"/>
    </xf>
    <xf numFmtId="0" fontId="32" fillId="24" borderId="129" xfId="0" quotePrefix="1" applyFont="1" applyFill="1" applyBorder="1" applyProtection="1">
      <alignment vertical="center"/>
      <protection hidden="1"/>
    </xf>
    <xf numFmtId="182" fontId="35" fillId="24" borderId="131" xfId="0" applyNumberFormat="1" applyFont="1" applyFill="1" applyBorder="1" applyAlignment="1" applyProtection="1">
      <alignment horizontal="center" vertical="center"/>
      <protection locked="0" hidden="1"/>
    </xf>
    <xf numFmtId="0" fontId="32" fillId="24" borderId="88" xfId="0" quotePrefix="1" applyFont="1" applyFill="1" applyBorder="1" applyProtection="1">
      <alignment vertical="center"/>
      <protection hidden="1"/>
    </xf>
    <xf numFmtId="0" fontId="32" fillId="24" borderId="130" xfId="0" quotePrefix="1" applyFont="1" applyFill="1" applyBorder="1" applyProtection="1">
      <alignment vertical="center"/>
      <protection hidden="1"/>
    </xf>
    <xf numFmtId="0" fontId="32" fillId="24" borderId="20" xfId="0" applyNumberFormat="1" applyFont="1" applyFill="1" applyBorder="1" applyAlignment="1" applyProtection="1">
      <alignment horizontal="left" vertical="center"/>
      <protection hidden="1"/>
    </xf>
    <xf numFmtId="0" fontId="32" fillId="24" borderId="81" xfId="0" quotePrefix="1" applyFont="1" applyFill="1" applyBorder="1" applyProtection="1">
      <alignment vertical="center"/>
      <protection hidden="1"/>
    </xf>
    <xf numFmtId="0" fontId="32" fillId="24" borderId="24" xfId="0" applyNumberFormat="1" applyFont="1" applyFill="1" applyBorder="1" applyAlignment="1" applyProtection="1">
      <alignment horizontal="left" vertical="center"/>
      <protection hidden="1"/>
    </xf>
    <xf numFmtId="179" fontId="28" fillId="24" borderId="22" xfId="0" applyNumberFormat="1" applyFont="1" applyFill="1" applyBorder="1" applyAlignment="1" applyProtection="1">
      <alignment horizontal="center" vertical="center"/>
    </xf>
    <xf numFmtId="182" fontId="35" fillId="24" borderId="82" xfId="0" applyNumberFormat="1" applyFont="1" applyFill="1" applyBorder="1" applyAlignment="1" applyProtection="1">
      <alignment horizontal="center" vertical="center"/>
      <protection hidden="1"/>
    </xf>
    <xf numFmtId="182" fontId="47" fillId="24" borderId="82" xfId="0" applyNumberFormat="1" applyFont="1" applyFill="1" applyBorder="1" applyAlignment="1" applyProtection="1">
      <alignment horizontal="center" vertical="center"/>
      <protection hidden="1"/>
    </xf>
    <xf numFmtId="0" fontId="32" fillId="24" borderId="88" xfId="0" applyFont="1" applyFill="1" applyBorder="1" applyProtection="1">
      <alignment vertical="center"/>
      <protection hidden="1"/>
    </xf>
    <xf numFmtId="182" fontId="35" fillId="24" borderId="143" xfId="0" applyNumberFormat="1" applyFont="1" applyFill="1" applyBorder="1" applyAlignment="1" applyProtection="1">
      <alignment horizontal="center" vertical="center"/>
      <protection hidden="1"/>
    </xf>
    <xf numFmtId="182" fontId="47" fillId="24" borderId="143" xfId="0" applyNumberFormat="1" applyFont="1" applyFill="1" applyBorder="1" applyAlignment="1" applyProtection="1">
      <alignment horizontal="center" vertical="center"/>
      <protection hidden="1"/>
    </xf>
    <xf numFmtId="0" fontId="69" fillId="24" borderId="88" xfId="0" applyFont="1" applyFill="1" applyBorder="1" applyAlignment="1" applyProtection="1">
      <alignment horizontal="center"/>
      <protection hidden="1"/>
    </xf>
    <xf numFmtId="0" fontId="6" fillId="24" borderId="59" xfId="0" applyFont="1" applyFill="1" applyBorder="1" applyProtection="1">
      <alignment vertical="center"/>
    </xf>
    <xf numFmtId="0" fontId="69" fillId="24" borderId="130" xfId="0" applyFont="1" applyFill="1" applyBorder="1" applyAlignment="1" applyProtection="1">
      <alignment horizontal="center"/>
      <protection hidden="1"/>
    </xf>
    <xf numFmtId="0" fontId="41" fillId="24" borderId="130" xfId="0" applyNumberFormat="1" applyFont="1" applyFill="1" applyBorder="1" applyAlignment="1" applyProtection="1">
      <alignment horizontal="center" vertical="center"/>
      <protection hidden="1"/>
    </xf>
    <xf numFmtId="0" fontId="6" fillId="24" borderId="22" xfId="0" applyFont="1" applyFill="1" applyBorder="1" applyProtection="1">
      <alignment vertical="center"/>
    </xf>
    <xf numFmtId="0" fontId="32" fillId="24" borderId="130" xfId="0" applyFont="1" applyFill="1" applyBorder="1" applyProtection="1">
      <alignment vertical="center"/>
      <protection hidden="1"/>
    </xf>
    <xf numFmtId="182" fontId="47" fillId="24" borderId="108" xfId="0" applyNumberFormat="1" applyFont="1" applyFill="1" applyBorder="1" applyAlignment="1" applyProtection="1">
      <alignment horizontal="center" vertical="center"/>
      <protection hidden="1"/>
    </xf>
    <xf numFmtId="182" fontId="47" fillId="24" borderId="73" xfId="0" applyNumberFormat="1" applyFont="1" applyFill="1" applyBorder="1" applyAlignment="1" applyProtection="1">
      <alignment horizontal="center" vertical="center"/>
      <protection hidden="1"/>
    </xf>
    <xf numFmtId="0" fontId="6" fillId="24" borderId="20" xfId="0" applyFont="1" applyFill="1" applyBorder="1" applyProtection="1">
      <alignment vertical="center"/>
    </xf>
    <xf numFmtId="0" fontId="32" fillId="24" borderId="69" xfId="0" applyFont="1" applyFill="1" applyBorder="1" applyProtection="1">
      <alignment vertical="center"/>
      <protection hidden="1"/>
    </xf>
    <xf numFmtId="0" fontId="6" fillId="24" borderId="118" xfId="0" applyFont="1" applyFill="1" applyBorder="1" applyProtection="1">
      <alignment vertical="center"/>
    </xf>
    <xf numFmtId="0" fontId="27" fillId="24" borderId="120" xfId="0" applyFont="1" applyFill="1" applyBorder="1" applyAlignment="1" applyProtection="1">
      <alignment vertical="center" shrinkToFit="1"/>
      <protection hidden="1"/>
    </xf>
    <xf numFmtId="179" fontId="28" fillId="24" borderId="119" xfId="0" applyNumberFormat="1" applyFont="1" applyFill="1" applyBorder="1" applyAlignment="1" applyProtection="1">
      <alignment horizontal="center" vertical="center"/>
    </xf>
    <xf numFmtId="0" fontId="41" fillId="0" borderId="0" xfId="0" quotePrefix="1" applyNumberFormat="1" applyFont="1" applyFill="1" applyBorder="1" applyAlignment="1" applyProtection="1">
      <alignment horizontal="left" vertical="center"/>
      <protection hidden="1"/>
    </xf>
    <xf numFmtId="0" fontId="36" fillId="0" borderId="0" xfId="0" applyNumberFormat="1" applyFont="1" applyFill="1" applyBorder="1" applyAlignment="1" applyProtection="1">
      <alignment horizontal="left" vertical="center"/>
      <protection hidden="1"/>
    </xf>
    <xf numFmtId="0" fontId="28" fillId="0" borderId="0" xfId="0" applyNumberFormat="1" applyFont="1" applyFill="1" applyBorder="1" applyAlignment="1" applyProtection="1">
      <alignment horizontal="left" vertical="center"/>
      <protection hidden="1"/>
    </xf>
    <xf numFmtId="0" fontId="6" fillId="0" borderId="0" xfId="0" applyFont="1" applyFill="1" applyBorder="1" applyProtection="1">
      <alignment vertical="center"/>
      <protection hidden="1"/>
    </xf>
    <xf numFmtId="179" fontId="37" fillId="0" borderId="0" xfId="0" applyNumberFormat="1" applyFont="1" applyFill="1" applyBorder="1" applyAlignment="1" applyProtection="1">
      <alignment horizontal="left" vertical="center"/>
      <protection hidden="1"/>
    </xf>
    <xf numFmtId="183" fontId="27" fillId="0" borderId="0" xfId="0" applyNumberFormat="1" applyFont="1" applyFill="1" applyBorder="1" applyAlignment="1" applyProtection="1">
      <alignment horizontal="center" vertical="center"/>
      <protection hidden="1"/>
    </xf>
    <xf numFmtId="179" fontId="37" fillId="0" borderId="0" xfId="0" applyNumberFormat="1" applyFont="1" applyFill="1" applyAlignment="1" applyProtection="1">
      <alignment horizontal="left"/>
    </xf>
    <xf numFmtId="0" fontId="32" fillId="0" borderId="0" xfId="0" applyFont="1" applyFill="1" applyProtection="1">
      <alignment vertical="center"/>
      <protection hidden="1"/>
    </xf>
    <xf numFmtId="0" fontId="27" fillId="0" borderId="0" xfId="0" applyFont="1">
      <alignment vertical="center"/>
    </xf>
    <xf numFmtId="0" fontId="27" fillId="0" borderId="0" xfId="0" applyFont="1" applyAlignment="1">
      <alignment horizontal="right" vertical="center"/>
    </xf>
    <xf numFmtId="0" fontId="6" fillId="0" borderId="57" xfId="0" applyFont="1" applyFill="1" applyBorder="1" applyAlignment="1" applyProtection="1">
      <alignment horizontal="center" vertical="center"/>
    </xf>
    <xf numFmtId="0" fontId="6" fillId="0" borderId="57" xfId="0" applyFont="1" applyFill="1" applyBorder="1" applyAlignment="1" applyProtection="1">
      <alignment vertical="center"/>
    </xf>
    <xf numFmtId="0" fontId="27" fillId="0" borderId="0" xfId="0" applyFont="1" applyFill="1" applyBorder="1" applyProtection="1">
      <alignment vertical="center"/>
      <protection hidden="1"/>
    </xf>
    <xf numFmtId="0" fontId="27" fillId="0" borderId="0" xfId="0" applyFont="1" applyFill="1" applyBorder="1" applyAlignment="1" applyProtection="1">
      <alignment vertical="center"/>
      <protection hidden="1"/>
    </xf>
    <xf numFmtId="0" fontId="27" fillId="24" borderId="10" xfId="0" applyFont="1" applyFill="1" applyBorder="1">
      <alignment vertical="center"/>
    </xf>
    <xf numFmtId="38" fontId="27" fillId="24" borderId="10" xfId="35" applyFont="1" applyFill="1" applyBorder="1" applyAlignment="1">
      <alignment vertical="center"/>
    </xf>
    <xf numFmtId="0" fontId="41" fillId="0" borderId="0" xfId="0" applyFont="1">
      <alignment vertical="center"/>
    </xf>
    <xf numFmtId="38" fontId="27" fillId="24" borderId="10" xfId="35" applyFont="1" applyFill="1" applyBorder="1">
      <alignment vertical="center"/>
    </xf>
    <xf numFmtId="0" fontId="27" fillId="24" borderId="48" xfId="0" applyFont="1" applyFill="1" applyBorder="1">
      <alignment vertical="center"/>
    </xf>
    <xf numFmtId="0" fontId="27" fillId="0" borderId="10" xfId="0" applyFont="1" applyBorder="1">
      <alignment vertical="center"/>
    </xf>
    <xf numFmtId="0" fontId="48" fillId="28" borderId="73" xfId="0" applyNumberFormat="1" applyFont="1" applyFill="1" applyBorder="1" applyAlignment="1" applyProtection="1">
      <alignment vertical="center"/>
      <protection hidden="1"/>
    </xf>
    <xf numFmtId="0" fontId="49" fillId="28" borderId="79" xfId="0" applyFont="1" applyFill="1" applyBorder="1" applyAlignment="1" applyProtection="1">
      <alignment horizontal="left" vertical="center"/>
      <protection hidden="1"/>
    </xf>
    <xf numFmtId="0" fontId="49" fillId="28" borderId="79" xfId="0" applyFont="1" applyFill="1" applyBorder="1" applyAlignment="1" applyProtection="1">
      <alignment vertical="center"/>
      <protection hidden="1"/>
    </xf>
    <xf numFmtId="0" fontId="48" fillId="28" borderId="79" xfId="0" applyNumberFormat="1" applyFont="1" applyFill="1" applyBorder="1" applyAlignment="1" applyProtection="1">
      <alignment vertical="center"/>
      <protection hidden="1"/>
    </xf>
    <xf numFmtId="0" fontId="85" fillId="28" borderId="108" xfId="0" applyFont="1" applyFill="1" applyBorder="1" applyAlignment="1" applyProtection="1">
      <alignment vertical="center"/>
      <protection hidden="1"/>
    </xf>
    <xf numFmtId="0" fontId="28" fillId="0" borderId="0" xfId="0" applyFont="1" applyFill="1" applyBorder="1" applyAlignment="1">
      <alignment horizontal="left" vertical="center"/>
    </xf>
    <xf numFmtId="0" fontId="47" fillId="0" borderId="0" xfId="0" applyFont="1" applyFill="1" applyBorder="1" applyAlignment="1" applyProtection="1">
      <alignment horizontal="left" vertical="center"/>
      <protection hidden="1"/>
    </xf>
    <xf numFmtId="0" fontId="28"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left" vertical="center"/>
      <protection hidden="1"/>
    </xf>
    <xf numFmtId="0" fontId="51" fillId="0" borderId="0" xfId="0" applyFont="1" applyFill="1" applyAlignment="1" applyProtection="1">
      <alignment horizontal="left" vertical="top" wrapText="1"/>
    </xf>
    <xf numFmtId="0" fontId="54" fillId="0" borderId="110" xfId="0" applyFont="1" applyFill="1" applyBorder="1" applyAlignment="1" applyProtection="1">
      <alignment vertical="center"/>
      <protection hidden="1"/>
    </xf>
    <xf numFmtId="0" fontId="28" fillId="0" borderId="0" xfId="0" applyFont="1" applyFill="1" applyBorder="1" applyAlignment="1" applyProtection="1">
      <alignment horizontal="center" vertical="justify"/>
      <protection hidden="1"/>
    </xf>
    <xf numFmtId="184" fontId="51" fillId="0" borderId="0" xfId="0" applyNumberFormat="1" applyFont="1" applyFill="1" applyBorder="1" applyAlignment="1" applyProtection="1">
      <alignment horizontal="center" vertical="justify" wrapText="1"/>
    </xf>
    <xf numFmtId="184" fontId="51" fillId="0" borderId="0" xfId="0" applyNumberFormat="1" applyFont="1" applyFill="1" applyBorder="1" applyAlignment="1" applyProtection="1">
      <alignment horizontal="center" vertical="center" wrapText="1"/>
    </xf>
    <xf numFmtId="0" fontId="60" fillId="28" borderId="72" xfId="0" applyFont="1" applyFill="1" applyBorder="1" applyAlignment="1" applyProtection="1">
      <alignment horizontal="center" vertical="center"/>
      <protection hidden="1"/>
    </xf>
    <xf numFmtId="0" fontId="29" fillId="28" borderId="72" xfId="0" applyNumberFormat="1" applyFont="1" applyFill="1" applyBorder="1" applyAlignment="1" applyProtection="1">
      <alignment horizontal="left" vertical="center"/>
    </xf>
    <xf numFmtId="179" fontId="2" fillId="28" borderId="72" xfId="0" applyNumberFormat="1" applyFont="1" applyFill="1" applyBorder="1" applyAlignment="1" applyProtection="1">
      <alignment horizontal="left" vertical="center"/>
      <protection hidden="1"/>
    </xf>
    <xf numFmtId="179" fontId="37" fillId="28" borderId="79" xfId="0" applyNumberFormat="1" applyFont="1" applyFill="1" applyBorder="1" applyAlignment="1" applyProtection="1">
      <alignment horizontal="left" vertical="center"/>
      <protection hidden="1"/>
    </xf>
    <xf numFmtId="184" fontId="51" fillId="0" borderId="0" xfId="0" applyNumberFormat="1" applyFont="1" applyFill="1" applyAlignment="1" applyProtection="1">
      <alignment horizontal="center"/>
    </xf>
    <xf numFmtId="184" fontId="55" fillId="0" borderId="0" xfId="0" applyNumberFormat="1" applyFont="1" applyFill="1" applyAlignment="1" applyProtection="1">
      <alignment horizontal="left"/>
    </xf>
    <xf numFmtId="184" fontId="55" fillId="0" borderId="0" xfId="0" applyNumberFormat="1" applyFont="1" applyFill="1" applyAlignment="1" applyProtection="1">
      <alignment horizontal="center"/>
    </xf>
    <xf numFmtId="0" fontId="54" fillId="24" borderId="79" xfId="0" applyFont="1" applyFill="1" applyBorder="1" applyAlignment="1" applyProtection="1">
      <alignment horizontal="center" vertical="center"/>
    </xf>
    <xf numFmtId="179" fontId="32" fillId="24" borderId="73" xfId="0" applyNumberFormat="1" applyFont="1" applyFill="1" applyBorder="1" applyAlignment="1" applyProtection="1">
      <alignment horizontal="centerContinuous" vertical="center"/>
      <protection hidden="1"/>
    </xf>
    <xf numFmtId="179" fontId="32" fillId="24" borderId="79" xfId="0" applyNumberFormat="1" applyFont="1" applyFill="1" applyBorder="1" applyAlignment="1" applyProtection="1">
      <alignment horizontal="centerContinuous" vertical="center"/>
      <protection hidden="1"/>
    </xf>
    <xf numFmtId="0" fontId="28" fillId="24" borderId="48" xfId="0" applyFont="1" applyFill="1" applyBorder="1" applyAlignment="1" applyProtection="1">
      <alignment horizontal="centerContinuous" vertical="center"/>
      <protection hidden="1"/>
    </xf>
    <xf numFmtId="0" fontId="6" fillId="24" borderId="50" xfId="0" applyFont="1" applyFill="1" applyBorder="1" applyAlignment="1" applyProtection="1">
      <alignment horizontal="centerContinuous" vertical="center"/>
      <protection hidden="1"/>
    </xf>
    <xf numFmtId="0" fontId="6" fillId="24" borderId="49" xfId="0" applyFont="1" applyFill="1" applyBorder="1" applyAlignment="1" applyProtection="1">
      <alignment horizontal="centerContinuous" vertical="center"/>
      <protection hidden="1"/>
    </xf>
    <xf numFmtId="184" fontId="55" fillId="0" borderId="10" xfId="0" applyNumberFormat="1" applyFont="1" applyFill="1" applyBorder="1" applyAlignment="1" applyProtection="1">
      <alignment horizontal="left" vertical="center"/>
    </xf>
    <xf numFmtId="0" fontId="28" fillId="0" borderId="10" xfId="0" applyFont="1" applyFill="1" applyBorder="1" applyProtection="1">
      <alignment vertical="center"/>
    </xf>
    <xf numFmtId="0" fontId="54" fillId="24" borderId="57" xfId="0" applyFont="1" applyFill="1" applyBorder="1" applyAlignment="1" applyProtection="1">
      <alignment vertical="top"/>
      <protection hidden="1"/>
    </xf>
    <xf numFmtId="0" fontId="54" fillId="24" borderId="57" xfId="0" applyFont="1" applyFill="1" applyBorder="1" applyAlignment="1" applyProtection="1">
      <alignment horizontal="center" vertical="top"/>
    </xf>
    <xf numFmtId="179" fontId="32" fillId="24" borderId="81" xfId="0" applyNumberFormat="1" applyFont="1" applyFill="1" applyBorder="1" applyAlignment="1" applyProtection="1">
      <alignment horizontal="centerContinuous" vertical="top"/>
      <protection hidden="1"/>
    </xf>
    <xf numFmtId="179" fontId="32" fillId="24" borderId="57" xfId="0" applyNumberFormat="1" applyFont="1" applyFill="1" applyBorder="1" applyAlignment="1" applyProtection="1">
      <alignment horizontal="centerContinuous" vertical="top"/>
      <protection hidden="1"/>
    </xf>
    <xf numFmtId="182" fontId="25" fillId="24" borderId="10" xfId="0" applyNumberFormat="1" applyFont="1" applyFill="1" applyBorder="1" applyAlignment="1" applyProtection="1">
      <alignment horizontal="center" vertical="center" wrapText="1"/>
      <protection hidden="1"/>
    </xf>
    <xf numFmtId="182" fontId="25" fillId="24" borderId="57" xfId="0" applyNumberFormat="1" applyFont="1" applyFill="1" applyBorder="1" applyAlignment="1" applyProtection="1">
      <alignment horizontal="center" vertical="center" wrapText="1"/>
      <protection hidden="1"/>
    </xf>
    <xf numFmtId="182" fontId="36" fillId="24" borderId="48" xfId="0" applyNumberFormat="1" applyFont="1" applyFill="1" applyBorder="1" applyAlignment="1" applyProtection="1">
      <alignment horizontal="centerContinuous" vertical="center" wrapText="1"/>
      <protection hidden="1"/>
    </xf>
    <xf numFmtId="182" fontId="36" fillId="24" borderId="50" xfId="0" applyNumberFormat="1" applyFont="1" applyFill="1" applyBorder="1" applyAlignment="1" applyProtection="1">
      <alignment horizontal="centerContinuous" vertical="center" wrapText="1"/>
      <protection hidden="1"/>
    </xf>
    <xf numFmtId="182" fontId="36" fillId="24" borderId="49" xfId="0" applyNumberFormat="1" applyFont="1" applyFill="1" applyBorder="1" applyAlignment="1" applyProtection="1">
      <alignment horizontal="centerContinuous" vertical="center" wrapText="1"/>
      <protection hidden="1"/>
    </xf>
    <xf numFmtId="182" fontId="25" fillId="24" borderId="114" xfId="0" applyNumberFormat="1" applyFont="1" applyFill="1" applyBorder="1" applyAlignment="1" applyProtection="1">
      <alignment horizontal="center" vertical="center" wrapText="1"/>
      <protection hidden="1"/>
    </xf>
    <xf numFmtId="0" fontId="87" fillId="30" borderId="0" xfId="0" applyFont="1" applyFill="1" applyBorder="1" applyProtection="1">
      <alignment vertical="center"/>
    </xf>
    <xf numFmtId="179" fontId="37" fillId="30" borderId="23" xfId="0" applyNumberFormat="1" applyFont="1" applyFill="1" applyBorder="1" applyAlignment="1" applyProtection="1">
      <alignment horizontal="left"/>
      <protection hidden="1"/>
    </xf>
    <xf numFmtId="179" fontId="37" fillId="30" borderId="20" xfId="0" applyNumberFormat="1" applyFont="1" applyFill="1" applyBorder="1" applyAlignment="1" applyProtection="1">
      <alignment horizontal="left"/>
      <protection hidden="1"/>
    </xf>
    <xf numFmtId="191" fontId="88" fillId="30" borderId="155" xfId="0" applyNumberFormat="1" applyFont="1" applyFill="1" applyBorder="1" applyAlignment="1" applyProtection="1">
      <alignment horizontal="center" vertical="center"/>
      <protection hidden="1"/>
    </xf>
    <xf numFmtId="191" fontId="88" fillId="30" borderId="23" xfId="0" applyNumberFormat="1" applyFont="1" applyFill="1" applyBorder="1" applyAlignment="1" applyProtection="1">
      <alignment horizontal="center" vertical="center"/>
      <protection hidden="1"/>
    </xf>
    <xf numFmtId="179" fontId="37" fillId="30" borderId="156" xfId="0" applyNumberFormat="1" applyFont="1" applyFill="1" applyBorder="1" applyAlignment="1" applyProtection="1">
      <alignment horizontal="left"/>
      <protection hidden="1"/>
    </xf>
    <xf numFmtId="191" fontId="88" fillId="30" borderId="0" xfId="0" applyNumberFormat="1" applyFont="1" applyFill="1" applyBorder="1" applyAlignment="1" applyProtection="1">
      <alignment horizontal="center" vertical="center"/>
      <protection hidden="1"/>
    </xf>
    <xf numFmtId="182" fontId="82" fillId="30" borderId="113" xfId="0" applyNumberFormat="1" applyFont="1" applyFill="1" applyBorder="1" applyAlignment="1" applyProtection="1">
      <alignment horizontal="center" vertical="center"/>
      <protection hidden="1"/>
    </xf>
    <xf numFmtId="200" fontId="51" fillId="0" borderId="10" xfId="0" applyNumberFormat="1" applyFont="1" applyBorder="1" applyAlignment="1">
      <alignment horizontal="center" vertical="center"/>
    </xf>
    <xf numFmtId="0" fontId="27" fillId="26" borderId="91" xfId="0" applyNumberFormat="1" applyFont="1" applyFill="1" applyBorder="1" applyAlignment="1" applyProtection="1">
      <alignment horizontal="left" vertical="center"/>
      <protection hidden="1"/>
    </xf>
    <xf numFmtId="0" fontId="41" fillId="26" borderId="91" xfId="0" applyNumberFormat="1" applyFont="1" applyFill="1" applyBorder="1" applyAlignment="1" applyProtection="1">
      <alignment horizontal="center" vertical="center"/>
    </xf>
    <xf numFmtId="182" fontId="89" fillId="26" borderId="94" xfId="0" applyNumberFormat="1" applyFont="1" applyFill="1" applyBorder="1" applyAlignment="1" applyProtection="1">
      <alignment horizontal="center" vertical="center"/>
      <protection hidden="1"/>
    </xf>
    <xf numFmtId="179" fontId="37" fillId="26" borderId="157" xfId="0" applyNumberFormat="1" applyFont="1" applyFill="1" applyBorder="1" applyAlignment="1" applyProtection="1">
      <alignment horizontal="left"/>
      <protection hidden="1"/>
    </xf>
    <xf numFmtId="182" fontId="89" fillId="26" borderId="139" xfId="0" applyNumberFormat="1" applyFont="1" applyFill="1" applyBorder="1" applyAlignment="1" applyProtection="1">
      <alignment horizontal="center" vertical="center"/>
      <protection hidden="1"/>
    </xf>
    <xf numFmtId="184" fontId="51" fillId="0" borderId="10" xfId="0" applyNumberFormat="1" applyFont="1" applyFill="1" applyBorder="1" applyAlignment="1" applyProtection="1">
      <alignment horizontal="center"/>
    </xf>
    <xf numFmtId="182" fontId="35" fillId="24" borderId="158" xfId="0" applyNumberFormat="1" applyFont="1" applyFill="1" applyBorder="1" applyAlignment="1" applyProtection="1">
      <alignment horizontal="center" vertical="center"/>
      <protection hidden="1"/>
    </xf>
    <xf numFmtId="0" fontId="41" fillId="24" borderId="0" xfId="0" applyNumberFormat="1" applyFont="1" applyFill="1" applyBorder="1" applyAlignment="1" applyProtection="1">
      <alignment vertical="center"/>
      <protection hidden="1"/>
    </xf>
    <xf numFmtId="0" fontId="66" fillId="24" borderId="0" xfId="0" applyFont="1" applyFill="1" applyBorder="1" applyAlignment="1" applyProtection="1">
      <alignment vertical="center"/>
      <protection hidden="1"/>
    </xf>
    <xf numFmtId="191" fontId="90" fillId="24" borderId="59" xfId="0" applyNumberFormat="1" applyFont="1" applyFill="1" applyBorder="1" applyAlignment="1" applyProtection="1">
      <alignment horizontal="center" vertical="center"/>
      <protection hidden="1"/>
    </xf>
    <xf numFmtId="182" fontId="91" fillId="24" borderId="113" xfId="0" applyNumberFormat="1" applyFont="1" applyFill="1" applyBorder="1" applyAlignment="1" applyProtection="1">
      <alignment horizontal="center" vertical="center"/>
      <protection hidden="1"/>
    </xf>
    <xf numFmtId="182" fontId="35" fillId="24" borderId="159" xfId="0" applyNumberFormat="1" applyFont="1" applyFill="1" applyBorder="1" applyAlignment="1" applyProtection="1">
      <alignment horizontal="center" vertical="center"/>
      <protection hidden="1"/>
    </xf>
    <xf numFmtId="191" fontId="90" fillId="24" borderId="51" xfId="0" applyNumberFormat="1" applyFont="1" applyFill="1" applyBorder="1" applyAlignment="1" applyProtection="1">
      <alignment horizontal="center" vertical="center"/>
      <protection hidden="1"/>
    </xf>
    <xf numFmtId="182" fontId="91" fillId="24" borderId="135" xfId="0" applyNumberFormat="1" applyFont="1" applyFill="1" applyBorder="1" applyAlignment="1" applyProtection="1">
      <alignment horizontal="center" vertical="center"/>
      <protection hidden="1"/>
    </xf>
    <xf numFmtId="182" fontId="47" fillId="24" borderId="107" xfId="0" applyNumberFormat="1" applyFont="1" applyFill="1" applyBorder="1" applyAlignment="1" applyProtection="1">
      <alignment horizontal="center" vertical="center"/>
      <protection hidden="1"/>
    </xf>
    <xf numFmtId="191" fontId="90" fillId="24" borderId="20" xfId="0" applyNumberFormat="1" applyFont="1" applyFill="1" applyBorder="1" applyAlignment="1" applyProtection="1">
      <alignment horizontal="center" vertical="center"/>
      <protection hidden="1"/>
    </xf>
    <xf numFmtId="182" fontId="47" fillId="0" borderId="107" xfId="0" applyNumberFormat="1" applyFont="1" applyFill="1" applyBorder="1" applyAlignment="1" applyProtection="1">
      <alignment horizontal="center" vertical="center"/>
      <protection hidden="1"/>
    </xf>
    <xf numFmtId="182" fontId="47" fillId="24" borderId="109" xfId="0" applyNumberFormat="1" applyFont="1" applyFill="1" applyBorder="1" applyAlignment="1" applyProtection="1">
      <alignment horizontal="center" vertical="center"/>
      <protection hidden="1"/>
    </xf>
    <xf numFmtId="182" fontId="47" fillId="0" borderId="109" xfId="0" applyNumberFormat="1" applyFont="1" applyFill="1" applyBorder="1" applyAlignment="1" applyProtection="1">
      <alignment horizontal="center" vertical="center"/>
      <protection hidden="1"/>
    </xf>
    <xf numFmtId="182" fontId="35" fillId="24" borderId="160" xfId="0" applyNumberFormat="1" applyFont="1" applyFill="1" applyBorder="1" applyAlignment="1" applyProtection="1">
      <alignment horizontal="center" vertical="center"/>
      <protection hidden="1"/>
    </xf>
    <xf numFmtId="182" fontId="47" fillId="24" borderId="113" xfId="0" applyNumberFormat="1" applyFont="1" applyFill="1" applyBorder="1" applyAlignment="1" applyProtection="1">
      <alignment horizontal="center" vertical="center"/>
      <protection hidden="1"/>
    </xf>
    <xf numFmtId="182" fontId="35" fillId="24" borderId="161" xfId="0" applyNumberFormat="1" applyFont="1" applyFill="1" applyBorder="1" applyAlignment="1" applyProtection="1">
      <alignment horizontal="center" vertical="center"/>
      <protection hidden="1"/>
    </xf>
    <xf numFmtId="182" fontId="35" fillId="24" borderId="162" xfId="0" applyNumberFormat="1" applyFont="1" applyFill="1" applyBorder="1" applyAlignment="1" applyProtection="1">
      <alignment horizontal="center" vertical="center"/>
      <protection hidden="1"/>
    </xf>
    <xf numFmtId="191" fontId="90" fillId="24" borderId="10" xfId="0" applyNumberFormat="1" applyFont="1" applyFill="1" applyBorder="1" applyAlignment="1" applyProtection="1">
      <alignment horizontal="center" vertical="center"/>
      <protection hidden="1"/>
    </xf>
    <xf numFmtId="182" fontId="35" fillId="24" borderId="163" xfId="0" applyNumberFormat="1" applyFont="1" applyFill="1" applyBorder="1" applyAlignment="1" applyProtection="1">
      <alignment horizontal="center" vertical="center"/>
      <protection hidden="1"/>
    </xf>
    <xf numFmtId="182" fontId="91" fillId="24" borderId="116" xfId="0" applyNumberFormat="1" applyFont="1" applyFill="1" applyBorder="1" applyAlignment="1" applyProtection="1">
      <alignment horizontal="center" vertical="center"/>
      <protection hidden="1"/>
    </xf>
    <xf numFmtId="191" fontId="90" fillId="24" borderId="48" xfId="0" applyNumberFormat="1" applyFont="1" applyFill="1" applyBorder="1" applyAlignment="1" applyProtection="1">
      <alignment horizontal="center" vertical="center"/>
      <protection hidden="1"/>
    </xf>
    <xf numFmtId="191" fontId="90" fillId="24" borderId="23" xfId="0" applyNumberFormat="1" applyFont="1" applyFill="1" applyBorder="1" applyAlignment="1" applyProtection="1">
      <alignment horizontal="center" vertical="center"/>
      <protection hidden="1"/>
    </xf>
    <xf numFmtId="182" fontId="35" fillId="24" borderId="164" xfId="0" applyNumberFormat="1" applyFont="1" applyFill="1" applyBorder="1" applyAlignment="1" applyProtection="1">
      <alignment horizontal="center" vertical="center"/>
      <protection hidden="1"/>
    </xf>
    <xf numFmtId="200" fontId="51" fillId="0" borderId="10" xfId="0" applyNumberFormat="1" applyFont="1" applyFill="1" applyBorder="1" applyAlignment="1">
      <alignment horizontal="center" vertical="center"/>
    </xf>
    <xf numFmtId="182" fontId="35" fillId="24" borderId="119" xfId="0" applyNumberFormat="1" applyFont="1" applyFill="1" applyBorder="1" applyAlignment="1" applyProtection="1">
      <alignment horizontal="center" vertical="center"/>
      <protection hidden="1"/>
    </xf>
    <xf numFmtId="182" fontId="35" fillId="0" borderId="109" xfId="0" applyNumberFormat="1" applyFont="1" applyFill="1" applyBorder="1" applyAlignment="1" applyProtection="1">
      <alignment horizontal="center" vertical="center"/>
      <protection hidden="1"/>
    </xf>
    <xf numFmtId="0" fontId="66" fillId="24" borderId="57" xfId="0" applyFont="1" applyFill="1" applyBorder="1" applyAlignment="1" applyProtection="1">
      <alignment vertical="center"/>
      <protection hidden="1"/>
    </xf>
    <xf numFmtId="0" fontId="66" fillId="24" borderId="120" xfId="0" applyFont="1" applyFill="1" applyBorder="1" applyAlignment="1" applyProtection="1">
      <alignment vertical="center"/>
      <protection hidden="1"/>
    </xf>
    <xf numFmtId="191" fontId="90" fillId="24" borderId="118" xfId="0" applyNumberFormat="1" applyFont="1" applyFill="1" applyBorder="1" applyAlignment="1" applyProtection="1">
      <alignment horizontal="center" vertical="center"/>
      <protection hidden="1"/>
    </xf>
    <xf numFmtId="182" fontId="91" fillId="24" borderId="109" xfId="0" applyNumberFormat="1" applyFont="1" applyFill="1" applyBorder="1" applyAlignment="1" applyProtection="1">
      <alignment horizontal="center" vertical="center"/>
      <protection hidden="1"/>
    </xf>
    <xf numFmtId="0" fontId="6" fillId="26" borderId="122" xfId="0" applyFont="1" applyFill="1" applyBorder="1" applyAlignment="1" applyProtection="1">
      <alignment vertical="center"/>
      <protection hidden="1"/>
    </xf>
    <xf numFmtId="179" fontId="37" fillId="26" borderId="165" xfId="0" applyNumberFormat="1" applyFont="1" applyFill="1" applyBorder="1" applyAlignment="1" applyProtection="1">
      <alignment horizontal="left"/>
      <protection hidden="1"/>
    </xf>
    <xf numFmtId="182" fontId="89" fillId="26" borderId="166" xfId="0" applyNumberFormat="1" applyFont="1" applyFill="1" applyBorder="1" applyAlignment="1" applyProtection="1">
      <alignment horizontal="center" vertical="center"/>
      <protection hidden="1"/>
    </xf>
    <xf numFmtId="182" fontId="35" fillId="24" borderId="167" xfId="0" applyNumberFormat="1" applyFont="1" applyFill="1" applyBorder="1" applyAlignment="1" applyProtection="1">
      <alignment horizontal="center" vertical="center"/>
      <protection hidden="1"/>
    </xf>
    <xf numFmtId="191" fontId="90" fillId="24" borderId="22" xfId="0" applyNumberFormat="1" applyFont="1" applyFill="1" applyBorder="1" applyAlignment="1" applyProtection="1">
      <alignment horizontal="center" vertical="center"/>
      <protection hidden="1"/>
    </xf>
    <xf numFmtId="182" fontId="91" fillId="24" borderId="82" xfId="0" applyNumberFormat="1" applyFont="1" applyFill="1" applyBorder="1" applyAlignment="1" applyProtection="1">
      <alignment horizontal="center" vertical="center"/>
      <protection hidden="1"/>
    </xf>
    <xf numFmtId="0" fontId="46" fillId="24" borderId="52" xfId="0" applyFont="1" applyFill="1" applyBorder="1" applyAlignment="1" applyProtection="1">
      <alignment vertical="center"/>
      <protection hidden="1"/>
    </xf>
    <xf numFmtId="0" fontId="92" fillId="24" borderId="52" xfId="0" applyFont="1" applyFill="1" applyBorder="1" applyAlignment="1" applyProtection="1">
      <alignment vertical="center"/>
      <protection hidden="1"/>
    </xf>
    <xf numFmtId="182" fontId="35" fillId="24" borderId="168" xfId="0" applyNumberFormat="1" applyFont="1" applyFill="1" applyBorder="1" applyAlignment="1" applyProtection="1">
      <alignment horizontal="center" vertical="center"/>
      <protection hidden="1"/>
    </xf>
    <xf numFmtId="0" fontId="93" fillId="24" borderId="20" xfId="0" applyNumberFormat="1" applyFont="1" applyFill="1" applyBorder="1" applyAlignment="1" applyProtection="1">
      <alignment horizontal="center" vertical="center"/>
      <protection hidden="1"/>
    </xf>
    <xf numFmtId="0" fontId="46" fillId="24" borderId="10" xfId="0" applyFont="1" applyFill="1" applyBorder="1" applyAlignment="1" applyProtection="1">
      <alignment horizontal="center" vertical="center"/>
      <protection hidden="1"/>
    </xf>
    <xf numFmtId="0" fontId="46" fillId="24" borderId="49" xfId="0" applyFont="1" applyFill="1" applyBorder="1" applyAlignment="1" applyProtection="1">
      <alignment vertical="center"/>
      <protection hidden="1"/>
    </xf>
    <xf numFmtId="0" fontId="27" fillId="24" borderId="49" xfId="0" applyFont="1" applyFill="1" applyBorder="1" applyAlignment="1" applyProtection="1">
      <alignment horizontal="center" vertical="center"/>
      <protection hidden="1"/>
    </xf>
    <xf numFmtId="182" fontId="35" fillId="24" borderId="169" xfId="0" applyNumberFormat="1" applyFont="1" applyFill="1" applyBorder="1" applyAlignment="1" applyProtection="1">
      <alignment horizontal="center" vertical="center"/>
      <protection hidden="1"/>
    </xf>
    <xf numFmtId="0" fontId="66" fillId="31" borderId="0" xfId="0" applyFont="1" applyFill="1" applyBorder="1" applyAlignment="1" applyProtection="1">
      <alignment vertical="center"/>
      <protection hidden="1"/>
    </xf>
    <xf numFmtId="182" fontId="47" fillId="31" borderId="164" xfId="0" applyNumberFormat="1" applyFont="1" applyFill="1" applyBorder="1" applyAlignment="1" applyProtection="1">
      <alignment horizontal="center" vertical="center"/>
      <protection hidden="1"/>
    </xf>
    <xf numFmtId="191" fontId="90" fillId="31" borderId="59" xfId="0" applyNumberFormat="1" applyFont="1" applyFill="1" applyBorder="1" applyAlignment="1" applyProtection="1">
      <alignment horizontal="center" vertical="center"/>
      <protection hidden="1"/>
    </xf>
    <xf numFmtId="182" fontId="35" fillId="31" borderId="163" xfId="0" applyNumberFormat="1" applyFont="1" applyFill="1" applyBorder="1" applyAlignment="1" applyProtection="1">
      <alignment horizontal="center" vertical="center"/>
      <protection hidden="1"/>
    </xf>
    <xf numFmtId="182" fontId="91" fillId="31" borderId="113" xfId="0" applyNumberFormat="1" applyFont="1" applyFill="1" applyBorder="1" applyAlignment="1" applyProtection="1">
      <alignment horizontal="center" vertical="center"/>
      <protection hidden="1"/>
    </xf>
    <xf numFmtId="200" fontId="51" fillId="34" borderId="10" xfId="0" applyNumberFormat="1" applyFont="1" applyFill="1" applyBorder="1" applyAlignment="1">
      <alignment horizontal="center" vertical="center"/>
    </xf>
    <xf numFmtId="182" fontId="47" fillId="0" borderId="164" xfId="0" applyNumberFormat="1" applyFont="1" applyFill="1" applyBorder="1" applyAlignment="1" applyProtection="1">
      <alignment horizontal="center" vertical="center"/>
      <protection hidden="1"/>
    </xf>
    <xf numFmtId="182" fontId="35" fillId="24" borderId="10" xfId="0" applyNumberFormat="1" applyFont="1" applyFill="1" applyBorder="1" applyAlignment="1" applyProtection="1">
      <alignment horizontal="center" vertical="center"/>
      <protection hidden="1"/>
    </xf>
    <xf numFmtId="191" fontId="90" fillId="24" borderId="169" xfId="0" applyNumberFormat="1" applyFont="1" applyFill="1" applyBorder="1" applyAlignment="1" applyProtection="1">
      <alignment horizontal="center" vertical="center"/>
      <protection hidden="1"/>
    </xf>
    <xf numFmtId="0" fontId="27" fillId="26" borderId="122" xfId="0" applyNumberFormat="1" applyFont="1" applyFill="1" applyBorder="1" applyAlignment="1" applyProtection="1">
      <alignment horizontal="left" vertical="center"/>
      <protection hidden="1"/>
    </xf>
    <xf numFmtId="179" fontId="37" fillId="26" borderId="170" xfId="0" applyNumberFormat="1" applyFont="1" applyFill="1" applyBorder="1" applyAlignment="1" applyProtection="1">
      <alignment horizontal="left"/>
      <protection hidden="1"/>
    </xf>
    <xf numFmtId="182" fontId="35" fillId="0" borderId="107" xfId="0" applyNumberFormat="1" applyFont="1" applyFill="1" applyBorder="1" applyAlignment="1" applyProtection="1">
      <alignment horizontal="center" vertical="center"/>
      <protection hidden="1"/>
    </xf>
    <xf numFmtId="182" fontId="35" fillId="0" borderId="143" xfId="0" applyNumberFormat="1" applyFont="1" applyFill="1" applyBorder="1" applyAlignment="1" applyProtection="1">
      <alignment horizontal="center" vertical="center"/>
      <protection hidden="1"/>
    </xf>
    <xf numFmtId="0" fontId="32" fillId="24" borderId="63" xfId="0" quotePrefix="1" applyFont="1" applyFill="1" applyBorder="1" applyAlignment="1" applyProtection="1">
      <alignment vertical="center"/>
      <protection hidden="1"/>
    </xf>
    <xf numFmtId="191" fontId="90" fillId="24" borderId="63" xfId="0" applyNumberFormat="1" applyFont="1" applyFill="1" applyBorder="1" applyAlignment="1" applyProtection="1">
      <alignment horizontal="center" vertical="center"/>
      <protection hidden="1"/>
    </xf>
    <xf numFmtId="191" fontId="90" fillId="24" borderId="64" xfId="0" applyNumberFormat="1" applyFont="1" applyFill="1" applyBorder="1" applyAlignment="1" applyProtection="1">
      <alignment horizontal="center" vertical="center"/>
      <protection hidden="1"/>
    </xf>
    <xf numFmtId="0" fontId="54" fillId="31" borderId="0" xfId="0" applyFont="1" applyFill="1" applyBorder="1" applyAlignment="1" applyProtection="1">
      <alignment vertical="center"/>
      <protection hidden="1"/>
    </xf>
    <xf numFmtId="191" fontId="91" fillId="31" borderId="59" xfId="0" applyNumberFormat="1" applyFont="1" applyFill="1" applyBorder="1" applyAlignment="1" applyProtection="1">
      <alignment horizontal="center" vertical="center"/>
      <protection hidden="1"/>
    </xf>
    <xf numFmtId="179" fontId="37" fillId="30" borderId="123" xfId="0" applyNumberFormat="1" applyFont="1" applyFill="1" applyBorder="1" applyAlignment="1" applyProtection="1">
      <alignment horizontal="left"/>
      <protection hidden="1"/>
    </xf>
    <xf numFmtId="179" fontId="37" fillId="30" borderId="171" xfId="0" applyNumberFormat="1" applyFont="1" applyFill="1" applyBorder="1" applyAlignment="1" applyProtection="1">
      <alignment horizontal="left"/>
      <protection hidden="1"/>
    </xf>
    <xf numFmtId="191" fontId="90" fillId="30" borderId="137" xfId="0" applyNumberFormat="1" applyFont="1" applyFill="1" applyBorder="1" applyAlignment="1" applyProtection="1">
      <alignment horizontal="center" vertical="center"/>
      <protection hidden="1"/>
    </xf>
    <xf numFmtId="179" fontId="37" fillId="30" borderId="170" xfId="0" applyNumberFormat="1" applyFont="1" applyFill="1" applyBorder="1" applyAlignment="1" applyProtection="1">
      <alignment horizontal="left"/>
      <protection hidden="1"/>
    </xf>
    <xf numFmtId="182" fontId="82" fillId="30" borderId="107" xfId="0" applyNumberFormat="1" applyFont="1" applyFill="1" applyBorder="1" applyAlignment="1" applyProtection="1">
      <alignment horizontal="center" vertical="center"/>
      <protection hidden="1"/>
    </xf>
    <xf numFmtId="179" fontId="37" fillId="30" borderId="172" xfId="0" applyNumberFormat="1" applyFont="1" applyFill="1" applyBorder="1" applyAlignment="1" applyProtection="1">
      <alignment horizontal="left"/>
      <protection hidden="1"/>
    </xf>
    <xf numFmtId="0" fontId="41" fillId="26" borderId="91" xfId="0" applyNumberFormat="1" applyFont="1" applyFill="1" applyBorder="1" applyAlignment="1" applyProtection="1">
      <alignment horizontal="right" vertical="center"/>
      <protection hidden="1"/>
    </xf>
    <xf numFmtId="179" fontId="37" fillId="26" borderId="173" xfId="0" applyNumberFormat="1" applyFont="1" applyFill="1" applyBorder="1" applyAlignment="1" applyProtection="1">
      <alignment horizontal="left"/>
      <protection hidden="1"/>
    </xf>
    <xf numFmtId="179" fontId="37" fillId="26" borderId="174" xfId="0" applyNumberFormat="1" applyFont="1" applyFill="1" applyBorder="1" applyAlignment="1" applyProtection="1">
      <alignment horizontal="left"/>
      <protection hidden="1"/>
    </xf>
    <xf numFmtId="0" fontId="41" fillId="24" borderId="0" xfId="0" applyFont="1" applyFill="1" applyBorder="1" applyAlignment="1" applyProtection="1">
      <alignment horizontal="right" vertical="center"/>
      <protection hidden="1"/>
    </xf>
    <xf numFmtId="0" fontId="41" fillId="24" borderId="49" xfId="0" applyFont="1" applyFill="1" applyBorder="1" applyAlignment="1" applyProtection="1">
      <alignment horizontal="right" vertical="center"/>
      <protection hidden="1"/>
    </xf>
    <xf numFmtId="184" fontId="51" fillId="29" borderId="10" xfId="0" applyNumberFormat="1" applyFont="1" applyFill="1" applyBorder="1" applyAlignment="1" applyProtection="1">
      <alignment horizontal="center"/>
    </xf>
    <xf numFmtId="182" fontId="35" fillId="0" borderId="113" xfId="0" applyNumberFormat="1" applyFont="1" applyFill="1" applyBorder="1" applyAlignment="1" applyProtection="1">
      <alignment horizontal="center" vertical="center"/>
      <protection hidden="1"/>
    </xf>
    <xf numFmtId="191" fontId="90" fillId="24" borderId="151" xfId="0" applyNumberFormat="1" applyFont="1" applyFill="1" applyBorder="1" applyAlignment="1" applyProtection="1">
      <alignment horizontal="center" vertical="center"/>
      <protection hidden="1"/>
    </xf>
    <xf numFmtId="182" fontId="35" fillId="0" borderId="131" xfId="0" applyNumberFormat="1" applyFont="1" applyFill="1" applyBorder="1" applyAlignment="1" applyProtection="1">
      <alignment horizontal="center" vertical="center"/>
      <protection hidden="1"/>
    </xf>
    <xf numFmtId="0" fontId="32" fillId="24" borderId="102" xfId="0" applyFont="1" applyFill="1" applyBorder="1" applyProtection="1">
      <alignment vertical="center"/>
      <protection hidden="1"/>
    </xf>
    <xf numFmtId="0" fontId="41" fillId="24" borderId="88" xfId="0" applyFont="1" applyFill="1" applyBorder="1" applyAlignment="1" applyProtection="1">
      <alignment horizontal="center" vertical="center"/>
      <protection hidden="1"/>
    </xf>
    <xf numFmtId="182" fontId="35" fillId="24" borderId="59" xfId="0" applyNumberFormat="1" applyFont="1" applyFill="1" applyBorder="1" applyAlignment="1" applyProtection="1">
      <alignment horizontal="center" vertical="center"/>
      <protection hidden="1"/>
    </xf>
    <xf numFmtId="191" fontId="90" fillId="24" borderId="58" xfId="0" applyNumberFormat="1" applyFont="1" applyFill="1" applyBorder="1" applyAlignment="1" applyProtection="1">
      <alignment horizontal="center" vertical="center"/>
      <protection hidden="1"/>
    </xf>
    <xf numFmtId="191" fontId="90" fillId="24" borderId="66" xfId="0" applyNumberFormat="1" applyFont="1" applyFill="1" applyBorder="1" applyAlignment="1" applyProtection="1">
      <alignment horizontal="center" vertical="center"/>
      <protection hidden="1"/>
    </xf>
    <xf numFmtId="0" fontId="32" fillId="24" borderId="51" xfId="0" applyFont="1" applyFill="1" applyBorder="1" applyProtection="1">
      <alignment vertical="center"/>
      <protection hidden="1"/>
    </xf>
    <xf numFmtId="191" fontId="90" fillId="24" borderId="175" xfId="0" applyNumberFormat="1" applyFont="1" applyFill="1" applyBorder="1" applyAlignment="1" applyProtection="1">
      <alignment horizontal="center" vertical="center"/>
      <protection hidden="1"/>
    </xf>
    <xf numFmtId="179" fontId="37" fillId="26" borderId="74" xfId="0" applyNumberFormat="1" applyFont="1" applyFill="1" applyBorder="1" applyAlignment="1" applyProtection="1">
      <alignment horizontal="left"/>
      <protection hidden="1"/>
    </xf>
    <xf numFmtId="191" fontId="90" fillId="24" borderId="24" xfId="0" applyNumberFormat="1" applyFont="1" applyFill="1" applyBorder="1" applyAlignment="1" applyProtection="1">
      <alignment horizontal="center" vertical="center"/>
      <protection hidden="1"/>
    </xf>
    <xf numFmtId="182" fontId="91" fillId="24" borderId="98" xfId="0" applyNumberFormat="1" applyFont="1" applyFill="1" applyBorder="1" applyAlignment="1" applyProtection="1">
      <alignment horizontal="center" vertical="center"/>
      <protection hidden="1"/>
    </xf>
    <xf numFmtId="182" fontId="35" fillId="29" borderId="131" xfId="0" applyNumberFormat="1" applyFont="1" applyFill="1" applyBorder="1" applyAlignment="1" applyProtection="1">
      <alignment horizontal="center" vertical="center"/>
      <protection hidden="1"/>
    </xf>
    <xf numFmtId="191" fontId="90" fillId="24" borderId="176" xfId="0" applyNumberFormat="1" applyFont="1" applyFill="1" applyBorder="1" applyAlignment="1" applyProtection="1">
      <alignment horizontal="center" vertical="center"/>
      <protection hidden="1"/>
    </xf>
    <xf numFmtId="191" fontId="90" fillId="24" borderId="177" xfId="0" applyNumberFormat="1" applyFont="1" applyFill="1" applyBorder="1" applyAlignment="1" applyProtection="1">
      <alignment horizontal="center" vertical="center"/>
      <protection hidden="1"/>
    </xf>
    <xf numFmtId="0" fontId="32" fillId="24" borderId="102" xfId="0" quotePrefix="1" applyFont="1" applyFill="1" applyBorder="1" applyProtection="1">
      <alignment vertical="center"/>
      <protection hidden="1"/>
    </xf>
    <xf numFmtId="0" fontId="65" fillId="24" borderId="59" xfId="0" applyFont="1" applyFill="1" applyBorder="1" applyAlignment="1" applyProtection="1">
      <alignment horizontal="center" vertical="center"/>
      <protection hidden="1"/>
    </xf>
    <xf numFmtId="182" fontId="91" fillId="24" borderId="86" xfId="0" applyNumberFormat="1" applyFont="1" applyFill="1" applyBorder="1" applyAlignment="1" applyProtection="1">
      <alignment horizontal="center" vertical="center"/>
      <protection hidden="1"/>
    </xf>
    <xf numFmtId="182" fontId="91" fillId="24" borderId="110" xfId="0" applyNumberFormat="1" applyFont="1" applyFill="1" applyBorder="1" applyAlignment="1" applyProtection="1">
      <alignment horizontal="center" vertical="center"/>
      <protection hidden="1"/>
    </xf>
    <xf numFmtId="182" fontId="35" fillId="24" borderId="22" xfId="0" applyNumberFormat="1" applyFont="1" applyFill="1" applyBorder="1" applyAlignment="1" applyProtection="1">
      <alignment horizontal="center" vertical="center"/>
      <protection hidden="1"/>
    </xf>
    <xf numFmtId="182" fontId="35" fillId="24" borderId="178" xfId="0" applyNumberFormat="1" applyFont="1" applyFill="1" applyBorder="1" applyAlignment="1" applyProtection="1">
      <alignment horizontal="center" vertical="center"/>
      <protection hidden="1"/>
    </xf>
    <xf numFmtId="191" fontId="90" fillId="24" borderId="161" xfId="0" applyNumberFormat="1" applyFont="1" applyFill="1" applyBorder="1" applyAlignment="1" applyProtection="1">
      <alignment horizontal="center" vertical="center"/>
      <protection hidden="1"/>
    </xf>
    <xf numFmtId="182" fontId="91" fillId="24" borderId="114" xfId="0" applyNumberFormat="1" applyFont="1" applyFill="1" applyBorder="1" applyAlignment="1" applyProtection="1">
      <alignment horizontal="center" vertical="center"/>
      <protection hidden="1"/>
    </xf>
    <xf numFmtId="40" fontId="37" fillId="0" borderId="0" xfId="35" applyNumberFormat="1" applyFont="1" applyFill="1" applyBorder="1" applyAlignment="1" applyProtection="1">
      <alignment vertical="center"/>
      <protection hidden="1"/>
    </xf>
    <xf numFmtId="40" fontId="59" fillId="0" borderId="0" xfId="35" applyNumberFormat="1" applyFont="1" applyFill="1" applyBorder="1" applyAlignment="1" applyProtection="1">
      <alignment vertical="center"/>
      <protection hidden="1"/>
    </xf>
    <xf numFmtId="182" fontId="51" fillId="0" borderId="0" xfId="0" applyNumberFormat="1" applyFont="1" applyFill="1" applyBorder="1" applyAlignment="1" applyProtection="1">
      <alignment horizontal="center"/>
    </xf>
    <xf numFmtId="0" fontId="81" fillId="0" borderId="0" xfId="0" applyFont="1" applyFill="1" applyProtection="1">
      <alignment vertical="center"/>
      <protection hidden="1"/>
    </xf>
    <xf numFmtId="0" fontId="81" fillId="0" borderId="0" xfId="0" applyFont="1" applyFill="1" applyBorder="1" applyAlignment="1" applyProtection="1">
      <alignment horizontal="left" vertical="center"/>
      <protection hidden="1"/>
    </xf>
    <xf numFmtId="0" fontId="94" fillId="0" borderId="0" xfId="0" applyFont="1" applyFill="1" applyBorder="1" applyAlignment="1" applyProtection="1">
      <alignment horizontal="left" vertical="center"/>
      <protection hidden="1"/>
    </xf>
    <xf numFmtId="0" fontId="81" fillId="0" borderId="0" xfId="0" applyFont="1" applyFill="1" applyBorder="1" applyAlignment="1" applyProtection="1">
      <alignment horizontal="right" vertical="center"/>
      <protection hidden="1"/>
    </xf>
    <xf numFmtId="0" fontId="81" fillId="0" borderId="0" xfId="0" applyFont="1" applyFill="1" applyBorder="1" applyAlignment="1" applyProtection="1">
      <alignment vertical="center"/>
      <protection hidden="1"/>
    </xf>
    <xf numFmtId="0" fontId="82" fillId="0" borderId="0" xfId="0" applyFont="1" applyFill="1" applyBorder="1" applyAlignment="1" applyProtection="1">
      <alignment vertical="center"/>
      <protection hidden="1"/>
    </xf>
    <xf numFmtId="0" fontId="82" fillId="0" borderId="0" xfId="0" applyFont="1" applyFill="1" applyBorder="1" applyAlignment="1" applyProtection="1">
      <alignment horizontal="center" vertical="center"/>
      <protection hidden="1"/>
    </xf>
    <xf numFmtId="14" fontId="75" fillId="0" borderId="0" xfId="0" applyNumberFormat="1" applyFont="1" applyFill="1" applyBorder="1" applyAlignment="1" applyProtection="1">
      <alignment horizontal="center" vertical="center"/>
      <protection hidden="1"/>
    </xf>
    <xf numFmtId="0" fontId="95" fillId="0" borderId="0" xfId="0" applyFont="1" applyFill="1" applyBorder="1" applyProtection="1">
      <alignment vertical="center"/>
      <protection hidden="1"/>
    </xf>
    <xf numFmtId="177" fontId="95" fillId="0" borderId="0" xfId="0" applyNumberFormat="1" applyFont="1" applyFill="1" applyBorder="1" applyProtection="1">
      <alignment vertical="center"/>
      <protection hidden="1"/>
    </xf>
    <xf numFmtId="0" fontId="75" fillId="0" borderId="0" xfId="0" applyFont="1" applyFill="1" applyProtection="1">
      <alignment vertical="center"/>
      <protection hidden="1"/>
    </xf>
    <xf numFmtId="0" fontId="25" fillId="0" borderId="0" xfId="0" applyFont="1" applyFill="1" applyBorder="1" applyAlignment="1" applyProtection="1">
      <protection hidden="1"/>
    </xf>
    <xf numFmtId="0" fontId="96" fillId="0" borderId="0" xfId="0" applyFont="1" applyFill="1" applyBorder="1" applyAlignment="1" applyProtection="1">
      <alignment horizontal="left" vertical="center"/>
      <protection hidden="1"/>
    </xf>
    <xf numFmtId="0" fontId="97" fillId="0" borderId="0" xfId="0" applyFont="1" applyFill="1" applyBorder="1" applyAlignment="1" applyProtection="1">
      <alignment horizontal="right" vertical="center"/>
      <protection hidden="1"/>
    </xf>
    <xf numFmtId="0" fontId="97" fillId="0" borderId="0" xfId="0" applyFont="1" applyFill="1" applyBorder="1" applyAlignment="1" applyProtection="1">
      <alignment vertical="center"/>
      <protection hidden="1"/>
    </xf>
    <xf numFmtId="0" fontId="51" fillId="0" borderId="0" xfId="0" applyFont="1" applyFill="1" applyBorder="1" applyAlignment="1" applyProtection="1">
      <alignment vertical="center"/>
      <protection hidden="1"/>
    </xf>
    <xf numFmtId="0" fontId="98" fillId="0" borderId="0" xfId="0" applyFont="1" applyFill="1" applyBorder="1" applyAlignment="1" applyProtection="1">
      <alignment vertical="center"/>
      <protection hidden="1"/>
    </xf>
    <xf numFmtId="0" fontId="99" fillId="0" borderId="0" xfId="0" applyFont="1" applyFill="1" applyBorder="1" applyAlignment="1" applyProtection="1">
      <alignment horizontal="center" vertical="center"/>
      <protection hidden="1"/>
    </xf>
    <xf numFmtId="0" fontId="100" fillId="0" borderId="0" xfId="0" applyNumberFormat="1" applyFont="1" applyFill="1" applyBorder="1" applyProtection="1">
      <alignment vertical="center"/>
      <protection hidden="1"/>
    </xf>
    <xf numFmtId="0" fontId="100" fillId="0" borderId="0" xfId="0" applyFont="1" applyFill="1" applyBorder="1" applyProtection="1">
      <alignment vertical="center"/>
      <protection hidden="1"/>
    </xf>
    <xf numFmtId="0" fontId="99" fillId="0" borderId="0" xfId="0" applyFont="1" applyFill="1" applyBorder="1" applyAlignment="1" applyProtection="1">
      <alignment horizontal="right" vertical="center"/>
      <protection hidden="1"/>
    </xf>
    <xf numFmtId="0" fontId="101" fillId="0" borderId="0" xfId="0" applyFont="1" applyFill="1" applyBorder="1" applyAlignment="1" applyProtection="1">
      <alignment horizontal="left" vertical="top"/>
      <protection hidden="1"/>
    </xf>
    <xf numFmtId="0" fontId="97" fillId="0" borderId="0" xfId="0" applyFont="1" applyFill="1" applyBorder="1" applyAlignment="1" applyProtection="1">
      <alignment horizontal="left" vertical="center"/>
      <protection hidden="1"/>
    </xf>
    <xf numFmtId="0" fontId="28" fillId="0" borderId="0" xfId="0" applyFont="1" applyFill="1" applyBorder="1" applyAlignment="1" applyProtection="1">
      <alignment horizontal="right" vertical="top"/>
      <protection hidden="1"/>
    </xf>
    <xf numFmtId="0" fontId="102" fillId="0" borderId="0" xfId="0" applyFont="1" applyFill="1" applyBorder="1" applyAlignment="1" applyProtection="1">
      <alignment vertical="center"/>
      <protection hidden="1"/>
    </xf>
    <xf numFmtId="0" fontId="103" fillId="0" borderId="0" xfId="0" applyFont="1" applyFill="1" applyBorder="1" applyAlignment="1" applyProtection="1">
      <alignment horizontal="left" vertical="center"/>
      <protection hidden="1"/>
    </xf>
    <xf numFmtId="0" fontId="103" fillId="0" borderId="0" xfId="0" applyFont="1" applyFill="1" applyBorder="1" applyAlignment="1" applyProtection="1">
      <alignment horizontal="right" vertical="center"/>
      <protection hidden="1"/>
    </xf>
    <xf numFmtId="0" fontId="103" fillId="0" borderId="0" xfId="0" applyFont="1" applyFill="1" applyBorder="1" applyAlignment="1" applyProtection="1">
      <alignment vertical="center"/>
      <protection hidden="1"/>
    </xf>
    <xf numFmtId="0" fontId="104" fillId="0" borderId="0" xfId="0" applyFont="1" applyFill="1" applyBorder="1" applyAlignment="1" applyProtection="1">
      <alignment vertical="center"/>
      <protection hidden="1"/>
    </xf>
    <xf numFmtId="0" fontId="104" fillId="0" borderId="0" xfId="0" applyFont="1" applyFill="1" applyBorder="1" applyAlignment="1" applyProtection="1">
      <alignment horizontal="center" vertical="center"/>
      <protection hidden="1"/>
    </xf>
    <xf numFmtId="0" fontId="105" fillId="0" borderId="0" xfId="0" applyFont="1" applyFill="1" applyBorder="1" applyAlignment="1" applyProtection="1">
      <alignment horizontal="center" vertical="center"/>
      <protection hidden="1"/>
    </xf>
    <xf numFmtId="0" fontId="106" fillId="0" borderId="0" xfId="0" applyFont="1" applyFill="1" applyBorder="1" applyAlignment="1" applyProtection="1">
      <alignment vertical="center"/>
      <protection hidden="1"/>
    </xf>
    <xf numFmtId="0" fontId="107" fillId="35" borderId="71" xfId="0" applyFont="1" applyFill="1" applyBorder="1" applyAlignment="1" applyProtection="1">
      <alignment horizontal="left" vertical="center"/>
      <protection hidden="1"/>
    </xf>
    <xf numFmtId="0" fontId="107" fillId="35" borderId="72" xfId="0" applyFont="1" applyFill="1" applyBorder="1" applyAlignment="1" applyProtection="1">
      <alignment horizontal="left" vertical="center"/>
      <protection hidden="1"/>
    </xf>
    <xf numFmtId="0" fontId="108" fillId="35" borderId="72" xfId="0" applyFont="1" applyFill="1" applyBorder="1" applyAlignment="1" applyProtection="1">
      <alignment horizontal="right" vertical="top"/>
      <protection hidden="1"/>
    </xf>
    <xf numFmtId="0" fontId="100" fillId="35" borderId="179" xfId="0" applyFont="1" applyFill="1" applyBorder="1" applyProtection="1">
      <alignment vertical="center"/>
      <protection hidden="1"/>
    </xf>
    <xf numFmtId="0" fontId="100" fillId="35" borderId="72" xfId="0" applyFont="1" applyFill="1" applyBorder="1" applyProtection="1">
      <alignment vertical="center"/>
      <protection hidden="1"/>
    </xf>
    <xf numFmtId="56" fontId="107" fillId="35" borderId="179" xfId="0" applyNumberFormat="1" applyFont="1" applyFill="1" applyBorder="1" applyProtection="1">
      <alignment vertical="center"/>
      <protection hidden="1"/>
    </xf>
    <xf numFmtId="0" fontId="107" fillId="35" borderId="133" xfId="0" applyFont="1" applyFill="1" applyBorder="1" applyAlignment="1" applyProtection="1">
      <alignment horizontal="left" vertical="center"/>
      <protection hidden="1"/>
    </xf>
    <xf numFmtId="0" fontId="76" fillId="0" borderId="0" xfId="0" applyFont="1" applyFill="1" applyBorder="1" applyProtection="1">
      <alignment vertical="center"/>
      <protection hidden="1"/>
    </xf>
    <xf numFmtId="0" fontId="27" fillId="0" borderId="88" xfId="0" applyFont="1" applyFill="1" applyBorder="1" applyAlignment="1" applyProtection="1">
      <alignment horizontal="left" vertical="center"/>
      <protection hidden="1"/>
    </xf>
    <xf numFmtId="0" fontId="30" fillId="0" borderId="0" xfId="0" applyFont="1" applyFill="1" applyBorder="1" applyAlignment="1" applyProtection="1">
      <alignment horizontal="left" vertical="center"/>
      <protection hidden="1"/>
    </xf>
    <xf numFmtId="0" fontId="84" fillId="0" borderId="88" xfId="0" applyFont="1" applyFill="1" applyBorder="1" applyAlignment="1" applyProtection="1">
      <alignment vertical="center"/>
      <protection hidden="1"/>
    </xf>
    <xf numFmtId="0" fontId="84" fillId="0" borderId="0" xfId="0" applyFont="1" applyFill="1" applyBorder="1" applyAlignment="1" applyProtection="1">
      <alignment vertical="center"/>
      <protection hidden="1"/>
    </xf>
    <xf numFmtId="0" fontId="84" fillId="0" borderId="86" xfId="0" applyFont="1" applyFill="1" applyBorder="1" applyAlignment="1" applyProtection="1">
      <alignment vertical="center"/>
      <protection hidden="1"/>
    </xf>
    <xf numFmtId="0" fontId="100" fillId="0" borderId="10" xfId="0" applyFont="1" applyFill="1" applyBorder="1" applyProtection="1">
      <alignment vertical="center"/>
      <protection hidden="1"/>
    </xf>
    <xf numFmtId="0" fontId="6" fillId="0" borderId="10" xfId="0" applyNumberFormat="1" applyFont="1" applyFill="1" applyBorder="1" applyProtection="1">
      <alignment vertical="center"/>
      <protection hidden="1"/>
    </xf>
    <xf numFmtId="0" fontId="109" fillId="0" borderId="10" xfId="0" applyFont="1" applyFill="1" applyBorder="1" applyProtection="1">
      <alignment vertical="center"/>
      <protection hidden="1"/>
    </xf>
    <xf numFmtId="0" fontId="75" fillId="0" borderId="10" xfId="0" applyNumberFormat="1" applyFont="1" applyFill="1" applyBorder="1" applyProtection="1">
      <alignment vertical="center"/>
      <protection hidden="1"/>
    </xf>
    <xf numFmtId="0" fontId="100" fillId="0" borderId="10" xfId="0" applyNumberFormat="1" applyFont="1" applyFill="1" applyBorder="1" applyProtection="1">
      <alignment vertical="center"/>
      <protection hidden="1"/>
    </xf>
    <xf numFmtId="0" fontId="100" fillId="0" borderId="88" xfId="0" applyFont="1" applyFill="1" applyBorder="1" applyProtection="1">
      <alignment vertical="center"/>
      <protection hidden="1"/>
    </xf>
    <xf numFmtId="0" fontId="100" fillId="0" borderId="86" xfId="0" applyFont="1" applyFill="1" applyBorder="1" applyProtection="1">
      <alignment vertical="center"/>
      <protection hidden="1"/>
    </xf>
    <xf numFmtId="0" fontId="75" fillId="0" borderId="10" xfId="0" applyFont="1" applyFill="1" applyBorder="1" applyProtection="1">
      <alignment vertical="center"/>
      <protection hidden="1"/>
    </xf>
    <xf numFmtId="0" fontId="75" fillId="0" borderId="10" xfId="0" applyNumberFormat="1" applyFont="1" applyFill="1" applyBorder="1" applyAlignment="1" applyProtection="1">
      <protection hidden="1"/>
    </xf>
    <xf numFmtId="0" fontId="100" fillId="0" borderId="88" xfId="0" applyFont="1" applyFill="1" applyBorder="1" applyProtection="1">
      <alignment vertical="center"/>
      <protection locked="0"/>
    </xf>
    <xf numFmtId="0" fontId="100" fillId="0" borderId="0" xfId="0" applyFont="1" applyFill="1" applyBorder="1" applyProtection="1">
      <alignment vertical="center"/>
      <protection locked="0"/>
    </xf>
    <xf numFmtId="0" fontId="100" fillId="0" borderId="86" xfId="0" applyFont="1" applyFill="1" applyBorder="1" applyProtection="1">
      <alignment vertical="center"/>
      <protection locked="0"/>
    </xf>
    <xf numFmtId="38" fontId="75" fillId="0" borderId="10" xfId="35" applyFont="1" applyFill="1" applyBorder="1" applyProtection="1">
      <alignment vertical="center"/>
      <protection hidden="1"/>
    </xf>
    <xf numFmtId="0" fontId="75" fillId="0" borderId="10" xfId="0" applyNumberFormat="1" applyFont="1" applyFill="1" applyBorder="1" applyAlignment="1" applyProtection="1">
      <alignment horizontal="left" vertical="center" wrapText="1"/>
      <protection hidden="1"/>
    </xf>
    <xf numFmtId="3" fontId="110" fillId="0" borderId="0" xfId="0" applyNumberFormat="1" applyFont="1" applyFill="1" applyBorder="1" applyAlignment="1" applyProtection="1">
      <alignment horizontal="left" vertical="center"/>
      <protection locked="0"/>
    </xf>
    <xf numFmtId="0" fontId="6" fillId="0" borderId="10" xfId="0" applyNumberFormat="1" applyFont="1" applyFill="1" applyBorder="1" applyAlignment="1" applyProtection="1">
      <alignment vertical="center" wrapText="1"/>
      <protection hidden="1"/>
    </xf>
    <xf numFmtId="3" fontId="27" fillId="0" borderId="102" xfId="0" applyNumberFormat="1" applyFont="1" applyFill="1" applyBorder="1" applyAlignment="1" applyProtection="1">
      <alignment horizontal="left" vertical="center"/>
      <protection hidden="1"/>
    </xf>
    <xf numFmtId="3" fontId="71" fillId="0" borderId="0" xfId="0" applyNumberFormat="1" applyFont="1" applyFill="1" applyBorder="1" applyAlignment="1" applyProtection="1">
      <alignment horizontal="left" vertical="center"/>
      <protection locked="0"/>
    </xf>
    <xf numFmtId="185" fontId="80" fillId="0" borderId="10" xfId="0" applyNumberFormat="1" applyFont="1" applyFill="1" applyBorder="1" applyAlignment="1" applyProtection="1">
      <alignment horizontal="center" vertical="center"/>
      <protection hidden="1"/>
    </xf>
    <xf numFmtId="0" fontId="0" fillId="0" borderId="57" xfId="0" applyBorder="1">
      <alignment vertical="center"/>
    </xf>
    <xf numFmtId="0" fontId="111" fillId="0" borderId="0" xfId="0" applyFont="1" applyFill="1" applyBorder="1" applyProtection="1">
      <alignment vertical="center"/>
      <protection hidden="1"/>
    </xf>
    <xf numFmtId="185" fontId="80" fillId="0" borderId="0" xfId="0" applyNumberFormat="1" applyFont="1" applyFill="1" applyBorder="1" applyAlignment="1" applyProtection="1">
      <alignment horizontal="center" vertical="center"/>
      <protection hidden="1"/>
    </xf>
    <xf numFmtId="37" fontId="30" fillId="0" borderId="0" xfId="0" applyNumberFormat="1" applyFont="1" applyFill="1" applyBorder="1" applyAlignment="1" applyProtection="1">
      <alignment horizontal="left" vertical="center"/>
      <protection hidden="1"/>
    </xf>
    <xf numFmtId="0" fontId="75" fillId="0" borderId="180" xfId="0" applyFont="1" applyFill="1" applyBorder="1" applyProtection="1">
      <alignment vertical="center"/>
      <protection hidden="1"/>
    </xf>
    <xf numFmtId="3" fontId="27" fillId="0" borderId="0" xfId="0" applyNumberFormat="1" applyFont="1" applyFill="1" applyBorder="1" applyAlignment="1" applyProtection="1">
      <alignment horizontal="right" vertical="center"/>
      <protection hidden="1"/>
    </xf>
    <xf numFmtId="181" fontId="27" fillId="0" borderId="0" xfId="0" applyNumberFormat="1" applyFont="1" applyFill="1" applyBorder="1" applyAlignment="1" applyProtection="1">
      <alignment horizontal="left" vertical="center"/>
      <protection hidden="1"/>
    </xf>
    <xf numFmtId="185" fontId="0" fillId="0" borderId="10" xfId="0" applyNumberFormat="1" applyFill="1" applyBorder="1" applyProtection="1">
      <alignment vertical="center"/>
      <protection hidden="1"/>
    </xf>
    <xf numFmtId="0" fontId="75" fillId="0" borderId="0" xfId="0" applyNumberFormat="1" applyFont="1" applyFill="1" applyBorder="1" applyProtection="1">
      <alignment vertical="center"/>
      <protection hidden="1"/>
    </xf>
    <xf numFmtId="0" fontId="6" fillId="0" borderId="0" xfId="0" applyNumberFormat="1" applyFont="1" applyFill="1" applyBorder="1" applyProtection="1">
      <alignment vertical="center"/>
      <protection hidden="1"/>
    </xf>
    <xf numFmtId="3" fontId="27" fillId="0" borderId="20" xfId="0" applyNumberFormat="1" applyFont="1" applyFill="1" applyBorder="1" applyAlignment="1" applyProtection="1">
      <alignment horizontal="left" vertical="center"/>
      <protection hidden="1"/>
    </xf>
    <xf numFmtId="0" fontId="40" fillId="0" borderId="86" xfId="0" applyFont="1" applyFill="1" applyBorder="1" applyProtection="1">
      <alignment vertical="center"/>
      <protection hidden="1"/>
    </xf>
    <xf numFmtId="0" fontId="100" fillId="0" borderId="52" xfId="0" applyFont="1" applyFill="1" applyBorder="1" applyProtection="1">
      <alignment vertical="center"/>
      <protection hidden="1"/>
    </xf>
    <xf numFmtId="0" fontId="75" fillId="0" borderId="0" xfId="0" applyFont="1" applyFill="1" applyBorder="1" applyProtection="1">
      <alignment vertical="center"/>
      <protection hidden="1"/>
    </xf>
    <xf numFmtId="0" fontId="27" fillId="0" borderId="86" xfId="0" applyFont="1" applyFill="1" applyBorder="1" applyProtection="1">
      <alignment vertical="center"/>
      <protection hidden="1"/>
    </xf>
    <xf numFmtId="0" fontId="27" fillId="0" borderId="0"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horizontal="left" vertical="center"/>
      <protection hidden="1"/>
    </xf>
    <xf numFmtId="0" fontId="84" fillId="0" borderId="0" xfId="0" applyNumberFormat="1" applyFont="1" applyFill="1" applyBorder="1" applyAlignment="1" applyProtection="1">
      <alignment vertical="center"/>
      <protection hidden="1"/>
    </xf>
    <xf numFmtId="0" fontId="100" fillId="0" borderId="103" xfId="0" applyFont="1" applyFill="1" applyBorder="1" applyProtection="1">
      <alignment vertical="center"/>
      <protection hidden="1"/>
    </xf>
    <xf numFmtId="0" fontId="100" fillId="0" borderId="154" xfId="0" applyFont="1" applyFill="1" applyBorder="1" applyProtection="1">
      <alignment vertical="center"/>
      <protection hidden="1"/>
    </xf>
    <xf numFmtId="0" fontId="75" fillId="0" borderId="154" xfId="0" applyFont="1" applyFill="1" applyBorder="1" applyProtection="1">
      <alignment vertical="center"/>
      <protection hidden="1"/>
    </xf>
    <xf numFmtId="0" fontId="27" fillId="0" borderId="110" xfId="0" applyFont="1" applyFill="1" applyBorder="1" applyProtection="1">
      <alignment vertical="center"/>
      <protection hidden="1"/>
    </xf>
    <xf numFmtId="0" fontId="112" fillId="0" borderId="79" xfId="0" applyFont="1" applyFill="1" applyBorder="1" applyProtection="1">
      <alignment vertical="center"/>
      <protection hidden="1"/>
    </xf>
    <xf numFmtId="0" fontId="113" fillId="0" borderId="79" xfId="0" applyFont="1" applyFill="1" applyBorder="1" applyAlignment="1" applyProtection="1">
      <alignment vertical="center"/>
      <protection hidden="1"/>
    </xf>
    <xf numFmtId="0" fontId="100" fillId="0" borderId="79" xfId="0" applyFont="1" applyFill="1" applyBorder="1" applyProtection="1">
      <alignment vertical="center"/>
      <protection hidden="1"/>
    </xf>
    <xf numFmtId="3" fontId="114" fillId="0" borderId="79" xfId="0" applyNumberFormat="1" applyFont="1" applyFill="1" applyBorder="1" applyAlignment="1" applyProtection="1">
      <alignment horizontal="left" vertical="center"/>
      <protection hidden="1"/>
    </xf>
    <xf numFmtId="0" fontId="115" fillId="0" borderId="79" xfId="0" applyFont="1" applyFill="1" applyBorder="1" applyAlignment="1" applyProtection="1">
      <alignment vertical="center"/>
      <protection hidden="1"/>
    </xf>
    <xf numFmtId="37" fontId="27" fillId="0" borderId="79" xfId="0" applyNumberFormat="1" applyFont="1" applyFill="1" applyBorder="1" applyAlignment="1" applyProtection="1">
      <alignment horizontal="left" vertical="center"/>
      <protection hidden="1"/>
    </xf>
    <xf numFmtId="0" fontId="107" fillId="35" borderId="73" xfId="0" applyFont="1" applyFill="1" applyBorder="1" applyAlignment="1" applyProtection="1">
      <alignment vertical="center"/>
      <protection hidden="1"/>
    </xf>
    <xf numFmtId="0" fontId="116" fillId="35" borderId="79" xfId="0" applyFont="1" applyFill="1" applyBorder="1" applyAlignment="1" applyProtection="1">
      <alignment horizontal="right" vertical="center"/>
      <protection hidden="1"/>
    </xf>
    <xf numFmtId="0" fontId="116" fillId="35" borderId="79" xfId="0" applyFont="1" applyFill="1" applyBorder="1" applyAlignment="1" applyProtection="1">
      <alignment vertical="center"/>
      <protection hidden="1"/>
    </xf>
    <xf numFmtId="0" fontId="117" fillId="35" borderId="79" xfId="0" applyFont="1" applyFill="1" applyBorder="1" applyAlignment="1" applyProtection="1">
      <alignment vertical="center"/>
      <protection hidden="1"/>
    </xf>
    <xf numFmtId="0" fontId="107" fillId="35" borderId="179" xfId="0" applyFont="1" applyFill="1" applyBorder="1" applyProtection="1">
      <alignment vertical="center"/>
      <protection hidden="1"/>
    </xf>
    <xf numFmtId="0" fontId="60" fillId="35" borderId="72" xfId="0" applyFont="1" applyFill="1" applyBorder="1" applyAlignment="1" applyProtection="1">
      <alignment horizontal="left" vertical="center"/>
      <protection hidden="1"/>
    </xf>
    <xf numFmtId="0" fontId="78" fillId="35" borderId="72" xfId="0" applyFont="1" applyFill="1" applyBorder="1" applyAlignment="1" applyProtection="1">
      <alignment horizontal="right" vertical="center"/>
      <protection hidden="1"/>
    </xf>
    <xf numFmtId="0" fontId="78" fillId="35" borderId="133" xfId="0" applyFont="1" applyFill="1" applyBorder="1" applyAlignment="1" applyProtection="1">
      <alignment horizontal="right" vertical="center"/>
      <protection hidden="1"/>
    </xf>
    <xf numFmtId="0" fontId="100" fillId="0" borderId="73" xfId="0" applyFont="1" applyFill="1" applyBorder="1" applyAlignment="1" applyProtection="1">
      <alignment vertical="center"/>
      <protection hidden="1"/>
    </xf>
    <xf numFmtId="0" fontId="100" fillId="0" borderId="0" xfId="0" applyFont="1" applyFill="1" applyBorder="1" applyAlignment="1" applyProtection="1">
      <alignment vertical="center"/>
      <protection hidden="1"/>
    </xf>
    <xf numFmtId="0" fontId="47" fillId="0" borderId="88" xfId="0" applyFont="1" applyFill="1" applyBorder="1" applyAlignment="1" applyProtection="1">
      <alignment vertical="center"/>
      <protection hidden="1"/>
    </xf>
    <xf numFmtId="0" fontId="47" fillId="0" borderId="0" xfId="0" applyFont="1" applyFill="1" applyBorder="1" applyAlignment="1" applyProtection="1">
      <alignment vertical="center"/>
      <protection hidden="1"/>
    </xf>
    <xf numFmtId="0" fontId="119" fillId="0" borderId="86" xfId="0" applyFont="1" applyFill="1" applyBorder="1" applyAlignment="1" applyProtection="1">
      <alignment horizontal="right" vertical="center"/>
      <protection hidden="1"/>
    </xf>
    <xf numFmtId="38" fontId="75" fillId="0" borderId="10" xfId="35" applyFont="1" applyFill="1" applyBorder="1" applyAlignment="1" applyProtection="1">
      <protection hidden="1"/>
    </xf>
    <xf numFmtId="0" fontId="82" fillId="0" borderId="88" xfId="0" applyFont="1" applyFill="1" applyBorder="1" applyAlignment="1" applyProtection="1">
      <alignment horizontal="right" vertical="center"/>
      <protection hidden="1"/>
    </xf>
    <xf numFmtId="0" fontId="35" fillId="0" borderId="0" xfId="0" applyFont="1" applyFill="1" applyBorder="1" applyAlignment="1" applyProtection="1">
      <alignment horizontal="center" vertical="center"/>
      <protection hidden="1"/>
    </xf>
    <xf numFmtId="0" fontId="35" fillId="0" borderId="86" xfId="0" applyFont="1" applyFill="1" applyBorder="1" applyAlignment="1" applyProtection="1">
      <alignment horizontal="center" vertical="center"/>
      <protection hidden="1"/>
    </xf>
    <xf numFmtId="38" fontId="6" fillId="0" borderId="10" xfId="35" applyFont="1" applyFill="1" applyBorder="1" applyProtection="1">
      <alignment vertical="center"/>
      <protection hidden="1"/>
    </xf>
    <xf numFmtId="0" fontId="100" fillId="0" borderId="181" xfId="0" applyFont="1" applyFill="1" applyBorder="1" applyProtection="1">
      <alignment vertical="center"/>
      <protection hidden="1"/>
    </xf>
    <xf numFmtId="0" fontId="100" fillId="0" borderId="182" xfId="0" applyFont="1" applyFill="1" applyBorder="1" applyProtection="1">
      <alignment vertical="center"/>
      <protection hidden="1"/>
    </xf>
    <xf numFmtId="0" fontId="100" fillId="0" borderId="183" xfId="0" applyFont="1" applyFill="1" applyBorder="1" applyProtection="1">
      <alignment vertical="center"/>
      <protection hidden="1"/>
    </xf>
    <xf numFmtId="0" fontId="100" fillId="0" borderId="88" xfId="0" applyFont="1" applyFill="1" applyBorder="1" applyAlignment="1" applyProtection="1">
      <alignment vertical="center"/>
      <protection hidden="1"/>
    </xf>
    <xf numFmtId="0" fontId="82" fillId="0" borderId="88" xfId="0" applyFont="1" applyFill="1" applyBorder="1" applyAlignment="1" applyProtection="1">
      <alignment horizontal="left" vertical="center"/>
      <protection hidden="1"/>
    </xf>
    <xf numFmtId="0" fontId="36" fillId="0" borderId="0" xfId="0" applyFont="1" applyFill="1" applyBorder="1" applyAlignment="1" applyProtection="1">
      <alignment horizontal="center" vertical="center"/>
      <protection hidden="1"/>
    </xf>
    <xf numFmtId="0" fontId="100" fillId="0" borderId="0" xfId="0" applyFont="1" applyFill="1" applyBorder="1" applyAlignment="1">
      <alignment vertical="center"/>
    </xf>
    <xf numFmtId="0" fontId="28" fillId="0" borderId="0" xfId="0" applyFont="1" applyFill="1" applyBorder="1" applyAlignment="1" applyProtection="1">
      <alignment horizontal="right" vertical="center"/>
      <protection hidden="1"/>
    </xf>
    <xf numFmtId="0" fontId="6" fillId="0" borderId="10" xfId="0" applyNumberFormat="1" applyFont="1" applyFill="1" applyBorder="1" applyAlignment="1" applyProtection="1">
      <alignment horizontal="center"/>
      <protection hidden="1"/>
    </xf>
    <xf numFmtId="0" fontId="6" fillId="0" borderId="10" xfId="0" applyNumberFormat="1" applyFont="1" applyFill="1" applyBorder="1" applyAlignment="1" applyProtection="1">
      <protection hidden="1"/>
    </xf>
    <xf numFmtId="0" fontId="6" fillId="0" borderId="10" xfId="0" quotePrefix="1" applyNumberFormat="1" applyFont="1" applyFill="1" applyBorder="1" applyAlignment="1" applyProtection="1">
      <protection hidden="1"/>
    </xf>
    <xf numFmtId="0" fontId="82" fillId="0" borderId="181" xfId="0" applyFont="1" applyFill="1" applyBorder="1" applyAlignment="1" applyProtection="1">
      <alignment horizontal="left" vertical="center"/>
      <protection hidden="1"/>
    </xf>
    <xf numFmtId="0" fontId="36" fillId="0" borderId="182" xfId="0" applyFont="1" applyFill="1" applyBorder="1" applyAlignment="1" applyProtection="1">
      <alignment horizontal="center" vertical="center"/>
      <protection hidden="1"/>
    </xf>
    <xf numFmtId="0" fontId="100" fillId="0" borderId="182" xfId="0" applyFont="1" applyFill="1" applyBorder="1" applyAlignment="1">
      <alignment vertical="center"/>
    </xf>
    <xf numFmtId="0" fontId="28" fillId="0" borderId="183" xfId="0" applyFont="1" applyFill="1" applyBorder="1" applyAlignment="1" applyProtection="1">
      <alignment horizontal="right" vertical="center"/>
      <protection hidden="1"/>
    </xf>
    <xf numFmtId="0" fontId="119" fillId="0" borderId="10" xfId="0" applyFont="1" applyFill="1" applyBorder="1" applyProtection="1">
      <alignment vertical="center"/>
      <protection hidden="1"/>
    </xf>
    <xf numFmtId="0" fontId="11" fillId="0" borderId="10" xfId="0" applyFont="1" applyFill="1" applyBorder="1" applyProtection="1">
      <alignment vertical="center"/>
      <protection hidden="1"/>
    </xf>
    <xf numFmtId="0" fontId="11" fillId="0" borderId="131" xfId="0" applyFont="1" applyFill="1" applyBorder="1" applyProtection="1">
      <alignment vertical="center"/>
      <protection hidden="1"/>
    </xf>
    <xf numFmtId="0" fontId="100" fillId="36" borderId="10" xfId="0" applyFont="1" applyFill="1" applyBorder="1" applyProtection="1">
      <alignment vertical="center"/>
      <protection hidden="1"/>
    </xf>
    <xf numFmtId="9" fontId="100" fillId="0" borderId="10" xfId="0" applyNumberFormat="1" applyFont="1" applyFill="1" applyBorder="1" applyProtection="1">
      <alignment vertical="center"/>
      <protection hidden="1"/>
    </xf>
    <xf numFmtId="0" fontId="11" fillId="0" borderId="0" xfId="0" applyFont="1" applyFill="1" applyBorder="1" applyProtection="1">
      <alignment vertical="center"/>
      <protection hidden="1"/>
    </xf>
    <xf numFmtId="0" fontId="82" fillId="0" borderId="0" xfId="0" applyFont="1" applyFill="1" applyBorder="1" applyProtection="1">
      <alignment vertical="center"/>
      <protection hidden="1"/>
    </xf>
    <xf numFmtId="0" fontId="107" fillId="35" borderId="71" xfId="0" applyFont="1" applyFill="1" applyBorder="1" applyAlignment="1" applyProtection="1">
      <alignment vertical="center"/>
      <protection hidden="1"/>
    </xf>
    <xf numFmtId="0" fontId="120" fillId="35" borderId="72" xfId="0" applyFont="1" applyFill="1" applyBorder="1" applyAlignment="1" applyProtection="1">
      <alignment vertical="center"/>
      <protection hidden="1"/>
    </xf>
    <xf numFmtId="0" fontId="120" fillId="35" borderId="72" xfId="0" applyFont="1" applyFill="1" applyBorder="1" applyAlignment="1" applyProtection="1">
      <alignment horizontal="right" vertical="center"/>
      <protection hidden="1"/>
    </xf>
    <xf numFmtId="0" fontId="121" fillId="35" borderId="72" xfId="0" applyFont="1" applyFill="1" applyBorder="1" applyAlignment="1" applyProtection="1">
      <alignment horizontal="right" vertical="top"/>
      <protection hidden="1"/>
    </xf>
    <xf numFmtId="0" fontId="104" fillId="35" borderId="72" xfId="0" applyFont="1" applyFill="1" applyBorder="1" applyAlignment="1" applyProtection="1">
      <alignment horizontal="center" vertical="center"/>
      <protection hidden="1"/>
    </xf>
    <xf numFmtId="0" fontId="84" fillId="35" borderId="72" xfId="0" applyFont="1" applyFill="1" applyBorder="1" applyAlignment="1" applyProtection="1">
      <alignment vertical="center"/>
      <protection hidden="1"/>
    </xf>
    <xf numFmtId="0" fontId="121" fillId="35" borderId="133" xfId="0" applyFont="1" applyFill="1" applyBorder="1" applyAlignment="1" applyProtection="1">
      <alignment horizontal="right" vertical="center"/>
      <protection hidden="1"/>
    </xf>
    <xf numFmtId="0" fontId="123" fillId="30" borderId="88" xfId="0" applyFont="1" applyFill="1" applyBorder="1" applyAlignment="1" applyProtection="1">
      <alignment vertical="center"/>
      <protection hidden="1"/>
    </xf>
    <xf numFmtId="0" fontId="120" fillId="30" borderId="0" xfId="0" applyFont="1" applyFill="1" applyBorder="1" applyAlignment="1" applyProtection="1">
      <alignment vertical="center"/>
      <protection hidden="1"/>
    </xf>
    <xf numFmtId="0" fontId="104" fillId="30" borderId="0" xfId="0" applyFont="1" applyFill="1" applyBorder="1" applyAlignment="1" applyProtection="1">
      <alignment horizontal="center" vertical="center"/>
      <protection hidden="1"/>
    </xf>
    <xf numFmtId="0" fontId="124" fillId="30" borderId="0" xfId="0" applyFont="1" applyFill="1" applyBorder="1" applyAlignment="1" applyProtection="1">
      <alignment horizontal="right" vertical="center"/>
      <protection hidden="1"/>
    </xf>
    <xf numFmtId="0" fontId="125" fillId="30" borderId="0" xfId="0" applyFont="1" applyFill="1" applyBorder="1" applyAlignment="1" applyProtection="1">
      <alignment horizontal="right" vertical="center"/>
      <protection hidden="1"/>
    </xf>
    <xf numFmtId="0" fontId="127" fillId="30" borderId="0" xfId="0" applyFont="1" applyFill="1" applyBorder="1" applyAlignment="1" applyProtection="1">
      <alignment horizontal="right" vertical="center"/>
      <protection hidden="1"/>
    </xf>
    <xf numFmtId="176" fontId="127" fillId="30" borderId="0" xfId="0" applyNumberFormat="1" applyFont="1" applyFill="1" applyBorder="1" applyAlignment="1" applyProtection="1">
      <alignment horizontal="right" vertical="center"/>
      <protection hidden="1"/>
    </xf>
    <xf numFmtId="0" fontId="121" fillId="30" borderId="86" xfId="0" applyFont="1" applyFill="1" applyBorder="1" applyAlignment="1" applyProtection="1">
      <alignment horizontal="right" vertical="center"/>
      <protection hidden="1"/>
    </xf>
    <xf numFmtId="0" fontId="76" fillId="0" borderId="0" xfId="0" applyFont="1" applyFill="1" applyBorder="1" applyAlignment="1" applyProtection="1">
      <alignment vertical="center"/>
      <protection hidden="1"/>
    </xf>
    <xf numFmtId="181" fontId="76" fillId="0" borderId="0" xfId="0" applyNumberFormat="1" applyFont="1" applyFill="1" applyBorder="1" applyAlignment="1" applyProtection="1">
      <alignment horizontal="left" vertical="center"/>
      <protection hidden="1"/>
    </xf>
    <xf numFmtId="0" fontId="76" fillId="0" borderId="0" xfId="0" applyFont="1" applyFill="1" applyBorder="1" applyAlignment="1" applyProtection="1">
      <alignment horizontal="left" vertical="center"/>
      <protection hidden="1"/>
    </xf>
    <xf numFmtId="0" fontId="75" fillId="0" borderId="86" xfId="0" applyFont="1" applyFill="1" applyBorder="1" applyProtection="1">
      <alignment vertical="center"/>
      <protection hidden="1"/>
    </xf>
    <xf numFmtId="0" fontId="128" fillId="0" borderId="0" xfId="0" applyFont="1" applyFill="1" applyBorder="1" applyAlignment="1" applyProtection="1">
      <alignment vertical="center"/>
      <protection hidden="1"/>
    </xf>
    <xf numFmtId="0" fontId="129" fillId="0" borderId="0" xfId="0" applyFont="1" applyFill="1" applyBorder="1" applyAlignment="1" applyProtection="1">
      <alignment horizontal="left" vertical="center"/>
      <protection hidden="1"/>
    </xf>
    <xf numFmtId="0" fontId="86" fillId="0" borderId="0" xfId="0" applyFont="1" applyFill="1" applyBorder="1" applyAlignment="1" applyProtection="1">
      <alignment horizontal="right" vertical="center"/>
      <protection hidden="1"/>
    </xf>
    <xf numFmtId="0" fontId="130" fillId="0" borderId="0" xfId="0" applyFont="1" applyFill="1" applyBorder="1" applyProtection="1">
      <alignment vertical="center"/>
      <protection hidden="1"/>
    </xf>
    <xf numFmtId="181" fontId="76" fillId="0" borderId="86" xfId="0" applyNumberFormat="1" applyFont="1" applyFill="1" applyBorder="1" applyAlignment="1" applyProtection="1">
      <alignment horizontal="center" vertical="center"/>
      <protection hidden="1"/>
    </xf>
    <xf numFmtId="0" fontId="75" fillId="0" borderId="10" xfId="0" applyNumberFormat="1" applyFont="1" applyFill="1" applyBorder="1" applyAlignment="1" applyProtection="1">
      <alignment horizontal="left" vertical="center"/>
      <protection hidden="1"/>
    </xf>
    <xf numFmtId="176" fontId="75" fillId="0" borderId="10" xfId="0" applyNumberFormat="1" applyFont="1" applyFill="1" applyBorder="1" applyAlignment="1" applyProtection="1">
      <alignment horizontal="right"/>
      <protection hidden="1"/>
    </xf>
    <xf numFmtId="176" fontId="75" fillId="0" borderId="10" xfId="0" applyNumberFormat="1" applyFont="1" applyFill="1" applyBorder="1" applyProtection="1">
      <alignment vertical="center"/>
      <protection hidden="1"/>
    </xf>
    <xf numFmtId="0" fontId="6" fillId="0" borderId="10" xfId="0" applyNumberFormat="1" applyFont="1" applyFill="1" applyBorder="1" applyAlignment="1" applyProtection="1">
      <alignment horizontal="left" vertical="center"/>
      <protection hidden="1"/>
    </xf>
    <xf numFmtId="181" fontId="26" fillId="0" borderId="0" xfId="0" applyNumberFormat="1" applyFont="1" applyFill="1" applyBorder="1" applyAlignment="1" applyProtection="1">
      <alignment horizontal="left" vertical="center"/>
      <protection hidden="1"/>
    </xf>
    <xf numFmtId="0" fontId="30" fillId="0" borderId="0" xfId="0" applyFont="1" applyFill="1" applyBorder="1" applyAlignment="1" applyProtection="1">
      <alignment vertical="center"/>
      <protection hidden="1"/>
    </xf>
    <xf numFmtId="0" fontId="30" fillId="0" borderId="57" xfId="0" applyFont="1" applyFill="1" applyBorder="1" applyAlignment="1" applyProtection="1">
      <alignment vertical="center"/>
      <protection hidden="1"/>
    </xf>
    <xf numFmtId="0" fontId="104" fillId="0" borderId="57" xfId="0" applyFont="1" applyFill="1" applyBorder="1" applyAlignment="1" applyProtection="1">
      <alignment horizontal="center" vertical="center"/>
      <protection hidden="1"/>
    </xf>
    <xf numFmtId="0" fontId="104" fillId="0" borderId="57" xfId="0" applyFont="1" applyFill="1" applyBorder="1" applyAlignment="1" applyProtection="1">
      <alignment vertical="center"/>
      <protection hidden="1"/>
    </xf>
    <xf numFmtId="0" fontId="75" fillId="0" borderId="57" xfId="0" applyFont="1" applyFill="1" applyBorder="1" applyProtection="1">
      <alignment vertical="center"/>
      <protection hidden="1"/>
    </xf>
    <xf numFmtId="0" fontId="75" fillId="0" borderId="117" xfId="0" applyFont="1" applyFill="1" applyBorder="1" applyProtection="1">
      <alignment vertical="center"/>
      <protection hidden="1"/>
    </xf>
    <xf numFmtId="0" fontId="75" fillId="0" borderId="52" xfId="0" applyFont="1" applyFill="1" applyBorder="1" applyProtection="1">
      <alignment vertical="center"/>
      <protection hidden="1"/>
    </xf>
    <xf numFmtId="0" fontId="132" fillId="30" borderId="102" xfId="0" applyFont="1" applyFill="1" applyBorder="1" applyAlignment="1" applyProtection="1">
      <alignment vertical="center"/>
      <protection hidden="1"/>
    </xf>
    <xf numFmtId="0" fontId="120" fillId="30" borderId="52" xfId="0" applyFont="1" applyFill="1" applyBorder="1" applyAlignment="1" applyProtection="1">
      <alignment vertical="center"/>
      <protection hidden="1"/>
    </xf>
    <xf numFmtId="0" fontId="120" fillId="30" borderId="52" xfId="0" applyFont="1" applyFill="1" applyBorder="1" applyAlignment="1" applyProtection="1">
      <alignment horizontal="right" vertical="center"/>
      <protection hidden="1"/>
    </xf>
    <xf numFmtId="181" fontId="127" fillId="30" borderId="0" xfId="0" applyNumberFormat="1" applyFont="1" applyFill="1" applyBorder="1" applyAlignment="1" applyProtection="1">
      <alignment horizontal="right" vertical="center"/>
      <protection hidden="1"/>
    </xf>
    <xf numFmtId="0" fontId="76" fillId="0" borderId="88" xfId="0" applyFont="1" applyFill="1" applyBorder="1" applyAlignment="1" applyProtection="1">
      <alignment horizontal="left" vertical="center"/>
      <protection hidden="1"/>
    </xf>
    <xf numFmtId="1" fontId="76" fillId="0" borderId="0" xfId="0" applyNumberFormat="1" applyFont="1" applyFill="1" applyBorder="1" applyAlignment="1" applyProtection="1">
      <alignment horizontal="left" vertical="center"/>
      <protection hidden="1"/>
    </xf>
    <xf numFmtId="0" fontId="76" fillId="0" borderId="86" xfId="0" applyFont="1" applyFill="1" applyBorder="1" applyAlignment="1" applyProtection="1">
      <alignment horizontal="left" vertical="center"/>
      <protection hidden="1"/>
    </xf>
    <xf numFmtId="0" fontId="133" fillId="0" borderId="0" xfId="0" applyFont="1" applyFill="1" applyBorder="1" applyAlignment="1" applyProtection="1">
      <alignment vertical="center"/>
      <protection hidden="1"/>
    </xf>
    <xf numFmtId="0" fontId="30" fillId="0" borderId="0" xfId="0" applyFont="1" applyFill="1" applyBorder="1" applyAlignment="1" applyProtection="1">
      <alignment horizontal="right" vertical="center"/>
      <protection hidden="1"/>
    </xf>
    <xf numFmtId="1" fontId="30" fillId="0" borderId="0" xfId="0" applyNumberFormat="1" applyFont="1" applyFill="1" applyBorder="1" applyAlignment="1" applyProtection="1">
      <alignment vertical="center"/>
      <protection hidden="1"/>
    </xf>
    <xf numFmtId="176" fontId="100" fillId="0" borderId="0" xfId="0" applyNumberFormat="1" applyFont="1" applyFill="1" applyBorder="1" applyProtection="1">
      <alignment vertical="center"/>
      <protection hidden="1"/>
    </xf>
    <xf numFmtId="0" fontId="84" fillId="0" borderId="0" xfId="0" applyFont="1" applyFill="1" applyBorder="1" applyAlignment="1" applyProtection="1">
      <alignment horizontal="right" vertical="center"/>
      <protection hidden="1"/>
    </xf>
    <xf numFmtId="0" fontId="26" fillId="0" borderId="0" xfId="0" applyFont="1" applyFill="1" applyBorder="1" applyAlignment="1" applyProtection="1">
      <alignment horizontal="left" vertical="center"/>
      <protection hidden="1"/>
    </xf>
    <xf numFmtId="0" fontId="6" fillId="0" borderId="10" xfId="0" applyNumberFormat="1" applyFont="1" applyFill="1" applyBorder="1" applyAlignment="1" applyProtection="1">
      <alignment horizontal="left"/>
      <protection hidden="1"/>
    </xf>
    <xf numFmtId="0" fontId="30" fillId="0" borderId="88"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6" fontId="75" fillId="37" borderId="10" xfId="0" applyNumberFormat="1" applyFont="1" applyFill="1" applyBorder="1" applyAlignment="1" applyProtection="1">
      <alignment horizontal="right"/>
      <protection hidden="1"/>
    </xf>
    <xf numFmtId="0" fontId="75" fillId="0" borderId="0" xfId="0" applyNumberFormat="1" applyFont="1" applyFill="1" applyBorder="1" applyAlignment="1" applyProtection="1">
      <alignment horizontal="right"/>
      <protection hidden="1"/>
    </xf>
    <xf numFmtId="0" fontId="30" fillId="0" borderId="103" xfId="0" applyFont="1" applyFill="1" applyBorder="1" applyAlignment="1" applyProtection="1">
      <alignment vertical="center"/>
      <protection hidden="1"/>
    </xf>
    <xf numFmtId="0" fontId="30" fillId="0" borderId="154" xfId="0" applyFont="1" applyFill="1" applyBorder="1" applyAlignment="1" applyProtection="1">
      <alignment vertical="center"/>
      <protection hidden="1"/>
    </xf>
    <xf numFmtId="0" fontId="30" fillId="0" borderId="154" xfId="0" applyFont="1" applyFill="1" applyBorder="1" applyAlignment="1" applyProtection="1">
      <alignment horizontal="right" vertical="center"/>
      <protection hidden="1"/>
    </xf>
    <xf numFmtId="0" fontId="104" fillId="0" borderId="154" xfId="0" applyFont="1" applyFill="1" applyBorder="1" applyAlignment="1" applyProtection="1">
      <alignment vertical="center"/>
      <protection hidden="1"/>
    </xf>
    <xf numFmtId="0" fontId="26" fillId="0" borderId="154" xfId="0" applyFont="1" applyFill="1" applyBorder="1" applyAlignment="1" applyProtection="1">
      <alignment horizontal="left" vertical="center"/>
      <protection hidden="1"/>
    </xf>
    <xf numFmtId="0" fontId="84" fillId="0" borderId="154" xfId="0" applyFont="1" applyFill="1" applyBorder="1" applyAlignment="1" applyProtection="1">
      <alignment vertical="center"/>
      <protection hidden="1"/>
    </xf>
    <xf numFmtId="0" fontId="84" fillId="0" borderId="110" xfId="0" applyFont="1" applyFill="1" applyBorder="1" applyAlignment="1" applyProtection="1">
      <alignment vertical="center"/>
      <protection hidden="1"/>
    </xf>
    <xf numFmtId="194" fontId="75" fillId="0" borderId="0" xfId="0" applyNumberFormat="1" applyFont="1" applyFill="1" applyBorder="1" applyProtection="1">
      <alignment vertical="center"/>
      <protection hidden="1"/>
    </xf>
    <xf numFmtId="0" fontId="115" fillId="0" borderId="0" xfId="0" applyFont="1" applyFill="1" applyBorder="1" applyAlignment="1" applyProtection="1">
      <alignment vertical="center"/>
      <protection hidden="1"/>
    </xf>
    <xf numFmtId="0" fontId="26" fillId="0" borderId="0" xfId="0" applyFont="1" applyFill="1" applyBorder="1" applyAlignment="1" applyProtection="1">
      <alignment horizontal="right" vertical="center"/>
      <protection hidden="1"/>
    </xf>
    <xf numFmtId="0" fontId="120" fillId="35" borderId="79" xfId="0" applyFont="1" applyFill="1" applyBorder="1" applyAlignment="1" applyProtection="1">
      <alignment vertical="center"/>
      <protection hidden="1"/>
    </xf>
    <xf numFmtId="0" fontId="120" fillId="35" borderId="79" xfId="0" applyFont="1" applyFill="1" applyBorder="1" applyAlignment="1" applyProtection="1">
      <alignment horizontal="right" vertical="center"/>
      <protection hidden="1"/>
    </xf>
    <xf numFmtId="0" fontId="134" fillId="35" borderId="79" xfId="0" applyFont="1" applyFill="1" applyBorder="1" applyAlignment="1" applyProtection="1">
      <alignment horizontal="right" vertical="top"/>
      <protection hidden="1"/>
    </xf>
    <xf numFmtId="0" fontId="104" fillId="35" borderId="79" xfId="0" applyFont="1" applyFill="1" applyBorder="1" applyAlignment="1" applyProtection="1">
      <alignment horizontal="center" vertical="center"/>
      <protection hidden="1"/>
    </xf>
    <xf numFmtId="0" fontId="84" fillId="35" borderId="79" xfId="0" applyFont="1" applyFill="1" applyBorder="1" applyAlignment="1" applyProtection="1">
      <alignment vertical="center"/>
      <protection hidden="1"/>
    </xf>
    <xf numFmtId="0" fontId="134" fillId="35" borderId="108" xfId="0" applyFont="1" applyFill="1" applyBorder="1" applyAlignment="1" applyProtection="1">
      <alignment horizontal="right" vertical="center"/>
      <protection hidden="1"/>
    </xf>
    <xf numFmtId="0" fontId="4" fillId="38" borderId="102" xfId="0" applyFont="1" applyFill="1" applyBorder="1" applyAlignment="1" applyProtection="1">
      <alignment vertical="center"/>
      <protection hidden="1"/>
    </xf>
    <xf numFmtId="0" fontId="120" fillId="38" borderId="52" xfId="0" applyFont="1" applyFill="1" applyBorder="1" applyAlignment="1" applyProtection="1">
      <alignment vertical="center"/>
      <protection hidden="1"/>
    </xf>
    <xf numFmtId="0" fontId="120" fillId="38" borderId="52" xfId="0" applyFont="1" applyFill="1" applyBorder="1" applyAlignment="1" applyProtection="1">
      <alignment horizontal="right" vertical="center"/>
      <protection hidden="1"/>
    </xf>
    <xf numFmtId="0" fontId="88" fillId="38" borderId="53" xfId="0" applyFont="1" applyFill="1" applyBorder="1" applyAlignment="1" applyProtection="1">
      <alignment vertical="center"/>
      <protection hidden="1"/>
    </xf>
    <xf numFmtId="0" fontId="4" fillId="38" borderId="52" xfId="0" applyFont="1" applyFill="1" applyBorder="1" applyAlignment="1" applyProtection="1">
      <alignment vertical="center"/>
      <protection hidden="1"/>
    </xf>
    <xf numFmtId="0" fontId="88" fillId="38" borderId="52" xfId="0" applyFont="1" applyFill="1" applyBorder="1" applyAlignment="1" applyProtection="1">
      <alignment horizontal="center" vertical="center"/>
      <protection hidden="1"/>
    </xf>
    <xf numFmtId="0" fontId="88" fillId="38" borderId="112" xfId="0" applyFont="1" applyFill="1" applyBorder="1" applyAlignment="1" applyProtection="1">
      <alignment horizontal="center" vertical="center"/>
      <protection hidden="1"/>
    </xf>
    <xf numFmtId="0" fontId="135" fillId="38" borderId="102" xfId="0" applyFont="1" applyFill="1" applyBorder="1" applyAlignment="1" applyProtection="1">
      <alignment vertical="center"/>
      <protection hidden="1"/>
    </xf>
    <xf numFmtId="0" fontId="88" fillId="38" borderId="53" xfId="0" applyFont="1" applyFill="1" applyBorder="1" applyAlignment="1" applyProtection="1">
      <alignment horizontal="center" vertical="center"/>
      <protection hidden="1"/>
    </xf>
    <xf numFmtId="0" fontId="135" fillId="38" borderId="20" xfId="0" applyFont="1" applyFill="1" applyBorder="1">
      <alignment vertical="center"/>
    </xf>
    <xf numFmtId="0" fontId="88" fillId="38" borderId="0" xfId="0" applyFont="1" applyFill="1" applyBorder="1" applyAlignment="1" applyProtection="1">
      <alignment horizontal="center" vertical="center"/>
      <protection hidden="1"/>
    </xf>
    <xf numFmtId="0" fontId="88" fillId="38" borderId="151" xfId="0" applyFont="1" applyFill="1" applyBorder="1" applyAlignment="1" applyProtection="1">
      <alignment horizontal="center" vertical="center"/>
      <protection hidden="1"/>
    </xf>
    <xf numFmtId="0" fontId="135" fillId="38" borderId="51" xfId="0" applyFont="1" applyFill="1" applyBorder="1">
      <alignment vertical="center"/>
    </xf>
    <xf numFmtId="0" fontId="88" fillId="38" borderId="0" xfId="0" applyFont="1" applyFill="1" applyBorder="1" applyAlignment="1" applyProtection="1">
      <alignment horizontal="left" vertical="center"/>
      <protection hidden="1"/>
    </xf>
    <xf numFmtId="0" fontId="120" fillId="38" borderId="0" xfId="0" applyFont="1" applyFill="1" applyBorder="1" applyAlignment="1" applyProtection="1">
      <alignment horizontal="right" vertical="center"/>
      <protection hidden="1"/>
    </xf>
    <xf numFmtId="0" fontId="120" fillId="38" borderId="86" xfId="0" applyFont="1" applyFill="1" applyBorder="1" applyAlignment="1" applyProtection="1">
      <alignment horizontal="right" vertical="center"/>
      <protection hidden="1"/>
    </xf>
    <xf numFmtId="0" fontId="135" fillId="38" borderId="102" xfId="0" applyFont="1" applyFill="1" applyBorder="1">
      <alignment vertical="center"/>
    </xf>
    <xf numFmtId="0" fontId="88" fillId="38" borderId="52" xfId="0" applyFont="1" applyFill="1" applyBorder="1" applyAlignment="1" applyProtection="1">
      <alignment horizontal="left" vertical="center"/>
      <protection hidden="1"/>
    </xf>
    <xf numFmtId="0" fontId="120" fillId="38" borderId="53" xfId="0" applyFont="1" applyFill="1" applyBorder="1" applyAlignment="1" applyProtection="1">
      <alignment horizontal="right" vertical="center"/>
      <protection hidden="1"/>
    </xf>
    <xf numFmtId="0" fontId="135" fillId="38" borderId="0" xfId="0" applyFont="1" applyFill="1" applyBorder="1">
      <alignment vertical="center"/>
    </xf>
    <xf numFmtId="0" fontId="135" fillId="38" borderId="52" xfId="0" applyFont="1" applyFill="1" applyBorder="1">
      <alignment vertical="center"/>
    </xf>
    <xf numFmtId="0" fontId="120" fillId="38" borderId="112" xfId="0" applyFont="1" applyFill="1" applyBorder="1" applyAlignment="1" applyProtection="1">
      <alignment horizontal="right" vertical="center"/>
      <protection hidden="1"/>
    </xf>
    <xf numFmtId="0" fontId="60" fillId="39" borderId="71" xfId="0" applyFont="1" applyFill="1" applyBorder="1" applyAlignment="1" applyProtection="1">
      <alignment vertical="center"/>
      <protection hidden="1"/>
    </xf>
    <xf numFmtId="0" fontId="120" fillId="39" borderId="72" xfId="0" applyFont="1" applyFill="1" applyBorder="1" applyAlignment="1" applyProtection="1">
      <alignment vertical="center"/>
      <protection hidden="1"/>
    </xf>
    <xf numFmtId="0" fontId="120" fillId="39" borderId="72" xfId="0" applyFont="1" applyFill="1" applyBorder="1" applyAlignment="1" applyProtection="1">
      <alignment horizontal="right" vertical="center"/>
      <protection hidden="1"/>
    </xf>
    <xf numFmtId="0" fontId="121" fillId="39" borderId="72" xfId="0" applyFont="1" applyFill="1" applyBorder="1" applyAlignment="1" applyProtection="1">
      <alignment vertical="top"/>
      <protection hidden="1"/>
    </xf>
    <xf numFmtId="0" fontId="84" fillId="39" borderId="72" xfId="0" applyFont="1" applyFill="1" applyBorder="1" applyAlignment="1" applyProtection="1">
      <alignment vertical="center"/>
      <protection hidden="1"/>
    </xf>
    <xf numFmtId="0" fontId="134" fillId="39" borderId="72" xfId="0" applyFont="1" applyFill="1" applyBorder="1" applyAlignment="1" applyProtection="1">
      <alignment vertical="center"/>
      <protection hidden="1"/>
    </xf>
    <xf numFmtId="0" fontId="121" fillId="39" borderId="133" xfId="0" applyFont="1" applyFill="1" applyBorder="1" applyAlignment="1" applyProtection="1">
      <alignment horizontal="right" vertical="center"/>
      <protection hidden="1"/>
    </xf>
    <xf numFmtId="0" fontId="60" fillId="28" borderId="73" xfId="0" applyFont="1" applyFill="1" applyBorder="1" applyAlignment="1" applyProtection="1">
      <alignment vertical="center"/>
      <protection hidden="1"/>
    </xf>
    <xf numFmtId="0" fontId="120" fillId="28" borderId="79" xfId="0" applyFont="1" applyFill="1" applyBorder="1" applyAlignment="1" applyProtection="1">
      <alignment vertical="center"/>
      <protection hidden="1"/>
    </xf>
    <xf numFmtId="0" fontId="120" fillId="28" borderId="79" xfId="0" applyFont="1" applyFill="1" applyBorder="1" applyAlignment="1" applyProtection="1">
      <alignment horizontal="right" vertical="center"/>
      <protection hidden="1"/>
    </xf>
    <xf numFmtId="0" fontId="134" fillId="28" borderId="79" xfId="0" applyFont="1" applyFill="1" applyBorder="1" applyAlignment="1" applyProtection="1">
      <alignment vertical="center"/>
      <protection hidden="1"/>
    </xf>
    <xf numFmtId="0" fontId="2" fillId="28" borderId="79" xfId="0" applyFont="1" applyFill="1" applyBorder="1" applyAlignment="1" applyProtection="1">
      <alignment vertical="center"/>
      <protection hidden="1"/>
    </xf>
    <xf numFmtId="0" fontId="84" fillId="28" borderId="79" xfId="0" applyFont="1" applyFill="1" applyBorder="1" applyAlignment="1" applyProtection="1">
      <alignment vertical="center"/>
      <protection hidden="1"/>
    </xf>
    <xf numFmtId="0" fontId="2" fillId="28" borderId="108" xfId="0" applyFont="1" applyFill="1" applyBorder="1" applyAlignment="1" applyProtection="1">
      <alignment horizontal="right" vertical="center"/>
      <protection hidden="1"/>
    </xf>
    <xf numFmtId="0" fontId="103" fillId="40" borderId="73" xfId="0" applyFont="1" applyFill="1" applyBorder="1" applyAlignment="1" applyProtection="1">
      <alignment horizontal="left" vertical="center"/>
      <protection hidden="1"/>
    </xf>
    <xf numFmtId="0" fontId="103" fillId="40" borderId="79" xfId="0" applyFont="1" applyFill="1" applyBorder="1" applyAlignment="1" applyProtection="1">
      <alignment horizontal="left" vertical="center"/>
      <protection hidden="1"/>
    </xf>
    <xf numFmtId="0" fontId="103" fillId="40" borderId="79" xfId="0" applyFont="1" applyFill="1" applyBorder="1" applyAlignment="1" applyProtection="1">
      <alignment horizontal="right" vertical="center"/>
      <protection hidden="1"/>
    </xf>
    <xf numFmtId="0" fontId="37" fillId="26" borderId="79" xfId="0" applyFont="1" applyFill="1" applyBorder="1" applyAlignment="1" applyProtection="1">
      <alignment vertical="center"/>
      <protection hidden="1"/>
    </xf>
    <xf numFmtId="0" fontId="30" fillId="26" borderId="79" xfId="0" applyFont="1" applyFill="1" applyBorder="1" applyAlignment="1" applyProtection="1">
      <alignment vertical="center"/>
      <protection hidden="1"/>
    </xf>
    <xf numFmtId="0" fontId="84" fillId="26" borderId="79" xfId="0" applyFont="1" applyFill="1" applyBorder="1" applyAlignment="1" applyProtection="1">
      <alignment vertical="center"/>
      <protection hidden="1"/>
    </xf>
    <xf numFmtId="0" fontId="30" fillId="26" borderId="108" xfId="0" applyFont="1" applyFill="1" applyBorder="1" applyAlignment="1" applyProtection="1">
      <alignment horizontal="right" vertical="center"/>
      <protection hidden="1"/>
    </xf>
    <xf numFmtId="0" fontId="103" fillId="40" borderId="88" xfId="0" applyFont="1" applyFill="1" applyBorder="1" applyAlignment="1" applyProtection="1">
      <alignment horizontal="left" vertical="center"/>
      <protection hidden="1"/>
    </xf>
    <xf numFmtId="49" fontId="27" fillId="40" borderId="0" xfId="0" applyNumberFormat="1" applyFont="1" applyFill="1" applyBorder="1" applyAlignment="1" applyProtection="1">
      <alignment horizontal="left" vertical="center"/>
      <protection hidden="1"/>
    </xf>
    <xf numFmtId="49" fontId="30" fillId="40" borderId="0" xfId="0" applyNumberFormat="1" applyFont="1" applyFill="1" applyBorder="1" applyAlignment="1" applyProtection="1">
      <alignment horizontal="right" vertical="center"/>
      <protection hidden="1"/>
    </xf>
    <xf numFmtId="49" fontId="26" fillId="41" borderId="0"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left" vertical="center"/>
      <protection hidden="1"/>
    </xf>
    <xf numFmtId="49" fontId="30" fillId="0" borderId="0" xfId="0" applyNumberFormat="1" applyFont="1" applyFill="1" applyBorder="1" applyAlignment="1" applyProtection="1">
      <alignment horizontal="left" vertical="center"/>
      <protection hidden="1"/>
    </xf>
    <xf numFmtId="49" fontId="26" fillId="41" borderId="0" xfId="0" applyNumberFormat="1" applyFont="1" applyFill="1" applyBorder="1" applyAlignment="1" applyProtection="1">
      <alignment horizontal="right" vertical="center"/>
      <protection locked="0"/>
    </xf>
    <xf numFmtId="0" fontId="30" fillId="41" borderId="0" xfId="0" applyNumberFormat="1" applyFont="1" applyFill="1" applyBorder="1" applyAlignment="1" applyProtection="1">
      <alignment horizontal="center" vertical="center"/>
      <protection locked="0"/>
    </xf>
    <xf numFmtId="0" fontId="30" fillId="0" borderId="0" xfId="0" applyNumberFormat="1" applyFont="1" applyFill="1" applyBorder="1" applyAlignment="1" applyProtection="1">
      <alignment horizontal="center" vertical="center"/>
      <protection hidden="1"/>
    </xf>
    <xf numFmtId="49" fontId="26" fillId="0" borderId="0" xfId="0" applyNumberFormat="1" applyFont="1" applyFill="1" applyBorder="1" applyAlignment="1" applyProtection="1">
      <alignment horizontal="center" vertical="center"/>
      <protection hidden="1"/>
    </xf>
    <xf numFmtId="49" fontId="26" fillId="0" borderId="86" xfId="0" applyNumberFormat="1" applyFont="1" applyFill="1" applyBorder="1" applyAlignment="1" applyProtection="1">
      <alignment horizontal="left" vertical="center"/>
      <protection hidden="1"/>
    </xf>
    <xf numFmtId="0" fontId="27" fillId="40" borderId="0" xfId="0" applyFont="1" applyFill="1" applyBorder="1" applyAlignment="1" applyProtection="1">
      <alignment vertical="center"/>
      <protection hidden="1"/>
    </xf>
    <xf numFmtId="0" fontId="30" fillId="40" borderId="0" xfId="0" applyFont="1" applyFill="1" applyBorder="1" applyAlignment="1" applyProtection="1">
      <alignment horizontal="right" vertical="center"/>
      <protection hidden="1"/>
    </xf>
    <xf numFmtId="0" fontId="30" fillId="41" borderId="0" xfId="0" applyFont="1" applyFill="1" applyBorder="1" applyAlignment="1" applyProtection="1">
      <alignment vertical="center"/>
      <protection locked="0"/>
    </xf>
    <xf numFmtId="0" fontId="30" fillId="41" borderId="0" xfId="0" applyFont="1" applyFill="1" applyBorder="1" applyAlignment="1" applyProtection="1">
      <alignment horizontal="right" vertical="center"/>
      <protection locked="0"/>
    </xf>
    <xf numFmtId="0" fontId="30" fillId="41" borderId="0" xfId="0" applyFont="1" applyFill="1" applyBorder="1" applyAlignment="1" applyProtection="1">
      <alignment horizontal="center" vertical="center"/>
      <protection locked="0"/>
    </xf>
    <xf numFmtId="0" fontId="30" fillId="0" borderId="0" xfId="0" applyFont="1" applyFill="1" applyBorder="1" applyAlignment="1" applyProtection="1">
      <alignment horizontal="center" vertical="center"/>
      <protection hidden="1"/>
    </xf>
    <xf numFmtId="0" fontId="30" fillId="0" borderId="86" xfId="0" applyFont="1" applyFill="1" applyBorder="1" applyAlignment="1" applyProtection="1">
      <alignment vertical="center"/>
      <protection hidden="1"/>
    </xf>
    <xf numFmtId="0" fontId="78" fillId="0" borderId="0" xfId="0" applyFont="1" applyFill="1" applyProtection="1">
      <alignment vertical="center"/>
      <protection hidden="1"/>
    </xf>
    <xf numFmtId="0" fontId="78" fillId="40" borderId="88" xfId="0" applyFont="1" applyFill="1" applyBorder="1" applyProtection="1">
      <alignment vertical="center"/>
      <protection hidden="1"/>
    </xf>
    <xf numFmtId="0" fontId="27" fillId="40" borderId="0" xfId="0" applyFont="1" applyFill="1" applyBorder="1" applyAlignment="1" applyProtection="1">
      <alignment horizontal="left" vertical="center"/>
      <protection hidden="1"/>
    </xf>
    <xf numFmtId="49" fontId="30" fillId="0" borderId="0" xfId="0" applyNumberFormat="1" applyFont="1" applyFill="1" applyBorder="1" applyAlignment="1" applyProtection="1">
      <alignment horizontal="center" vertical="center"/>
      <protection hidden="1"/>
    </xf>
    <xf numFmtId="0" fontId="30" fillId="40" borderId="0" xfId="0" applyFont="1" applyFill="1" applyBorder="1" applyAlignment="1" applyProtection="1">
      <alignment horizontal="left" vertical="center"/>
      <protection hidden="1"/>
    </xf>
    <xf numFmtId="49" fontId="30" fillId="0" borderId="86" xfId="0" applyNumberFormat="1" applyFont="1" applyFill="1" applyBorder="1" applyAlignment="1" applyProtection="1">
      <alignment horizontal="left" vertical="center"/>
      <protection hidden="1"/>
    </xf>
    <xf numFmtId="0" fontId="103" fillId="40" borderId="103" xfId="0" applyFont="1" applyFill="1" applyBorder="1" applyAlignment="1" applyProtection="1">
      <alignment horizontal="left" vertical="center"/>
      <protection hidden="1"/>
    </xf>
    <xf numFmtId="0" fontId="30" fillId="41" borderId="154" xfId="0" applyFont="1" applyFill="1" applyBorder="1" applyAlignment="1" applyProtection="1">
      <alignment horizontal="left" vertical="center"/>
      <protection locked="0"/>
    </xf>
    <xf numFmtId="0" fontId="30" fillId="40" borderId="154" xfId="0" applyFont="1" applyFill="1" applyBorder="1" applyAlignment="1" applyProtection="1">
      <alignment horizontal="right" vertical="center"/>
      <protection hidden="1"/>
    </xf>
    <xf numFmtId="0" fontId="30" fillId="41" borderId="154" xfId="0" applyFont="1" applyFill="1" applyBorder="1" applyAlignment="1" applyProtection="1">
      <alignment vertical="center"/>
      <protection locked="0"/>
    </xf>
    <xf numFmtId="0" fontId="27" fillId="0" borderId="154" xfId="0" applyFont="1" applyFill="1" applyBorder="1" applyAlignment="1" applyProtection="1">
      <alignment vertical="center"/>
      <protection hidden="1"/>
    </xf>
    <xf numFmtId="0" fontId="30" fillId="41" borderId="154" xfId="0" applyFont="1" applyFill="1" applyBorder="1" applyAlignment="1" applyProtection="1">
      <alignment horizontal="right" vertical="center"/>
      <protection locked="0"/>
    </xf>
    <xf numFmtId="0" fontId="30" fillId="0" borderId="154" xfId="0" applyFont="1" applyFill="1" applyBorder="1" applyAlignment="1" applyProtection="1">
      <alignment horizontal="center" vertical="center"/>
      <protection hidden="1"/>
    </xf>
    <xf numFmtId="0" fontId="30" fillId="0" borderId="110" xfId="0" applyFont="1" applyFill="1" applyBorder="1" applyAlignment="1" applyProtection="1">
      <alignment vertical="center"/>
      <protection hidden="1"/>
    </xf>
    <xf numFmtId="0" fontId="134" fillId="28" borderId="72" xfId="0" applyFont="1" applyFill="1" applyBorder="1" applyAlignment="1" applyProtection="1">
      <alignment horizontal="left" vertical="center"/>
      <protection hidden="1"/>
    </xf>
    <xf numFmtId="0" fontId="134" fillId="28" borderId="72" xfId="0" applyFont="1" applyFill="1" applyBorder="1" applyAlignment="1" applyProtection="1">
      <alignment horizontal="right" vertical="center"/>
      <protection hidden="1"/>
    </xf>
    <xf numFmtId="0" fontId="134" fillId="28" borderId="72" xfId="0" applyFont="1" applyFill="1" applyBorder="1" applyAlignment="1" applyProtection="1">
      <alignment vertical="center"/>
      <protection hidden="1"/>
    </xf>
    <xf numFmtId="0" fontId="138" fillId="28" borderId="72" xfId="0" applyFont="1" applyFill="1" applyBorder="1" applyAlignment="1" applyProtection="1">
      <alignment vertical="center"/>
      <protection hidden="1"/>
    </xf>
    <xf numFmtId="0" fontId="138" fillId="28" borderId="133" xfId="0" applyFont="1" applyFill="1" applyBorder="1" applyAlignment="1" applyProtection="1">
      <alignment vertical="center"/>
      <protection hidden="1"/>
    </xf>
    <xf numFmtId="0" fontId="4" fillId="30" borderId="73" xfId="0" applyNumberFormat="1" applyFont="1" applyFill="1" applyBorder="1" applyAlignment="1" applyProtection="1">
      <alignment vertical="center"/>
      <protection hidden="1"/>
    </xf>
    <xf numFmtId="0" fontId="88" fillId="30" borderId="79" xfId="0" applyNumberFormat="1" applyFont="1" applyFill="1" applyBorder="1" applyAlignment="1" applyProtection="1">
      <alignment vertical="center"/>
      <protection hidden="1"/>
    </xf>
    <xf numFmtId="0" fontId="88" fillId="30" borderId="79" xfId="0" applyNumberFormat="1" applyFont="1" applyFill="1" applyBorder="1" applyAlignment="1" applyProtection="1">
      <alignment horizontal="right" vertical="center"/>
      <protection hidden="1"/>
    </xf>
    <xf numFmtId="181" fontId="107" fillId="30" borderId="79" xfId="0" applyNumberFormat="1" applyFont="1" applyFill="1" applyBorder="1" applyAlignment="1" applyProtection="1">
      <alignment horizontal="center" vertical="center"/>
      <protection hidden="1"/>
    </xf>
    <xf numFmtId="0" fontId="78" fillId="30" borderId="79" xfId="0" applyFont="1" applyFill="1" applyBorder="1" applyProtection="1">
      <alignment vertical="center"/>
      <protection hidden="1"/>
    </xf>
    <xf numFmtId="0" fontId="4" fillId="30" borderId="74" xfId="0" applyNumberFormat="1" applyFont="1" applyFill="1" applyBorder="1" applyAlignment="1" applyProtection="1">
      <alignment vertical="center"/>
      <protection hidden="1"/>
    </xf>
    <xf numFmtId="0" fontId="107" fillId="30" borderId="79" xfId="0" applyNumberFormat="1" applyFont="1" applyFill="1" applyBorder="1" applyAlignment="1" applyProtection="1">
      <alignment vertical="center"/>
      <protection hidden="1"/>
    </xf>
    <xf numFmtId="0" fontId="107" fillId="30" borderId="79" xfId="0" applyNumberFormat="1" applyFont="1" applyFill="1" applyBorder="1" applyAlignment="1" applyProtection="1">
      <alignment horizontal="right" vertical="center"/>
      <protection hidden="1"/>
    </xf>
    <xf numFmtId="0" fontId="88" fillId="30" borderId="108" xfId="0" applyNumberFormat="1" applyFont="1" applyFill="1" applyBorder="1" applyAlignment="1" applyProtection="1">
      <alignment vertical="center"/>
      <protection hidden="1"/>
    </xf>
    <xf numFmtId="0" fontId="84" fillId="0" borderId="88" xfId="0" applyFont="1" applyFill="1" applyBorder="1" applyAlignment="1" applyProtection="1">
      <alignment horizontal="left" vertical="center"/>
      <protection hidden="1"/>
    </xf>
    <xf numFmtId="0" fontId="59" fillId="41" borderId="0" xfId="0" applyNumberFormat="1" applyFont="1" applyFill="1" applyBorder="1" applyAlignment="1" applyProtection="1">
      <alignment horizontal="left" vertical="center"/>
      <protection locked="0"/>
    </xf>
    <xf numFmtId="0" fontId="139" fillId="0" borderId="0" xfId="0" applyNumberFormat="1" applyFont="1" applyFill="1" applyBorder="1" applyAlignment="1" applyProtection="1">
      <alignment horizontal="right" vertical="center"/>
      <protection hidden="1"/>
    </xf>
    <xf numFmtId="0" fontId="59" fillId="41" borderId="20" xfId="0" applyNumberFormat="1" applyFont="1" applyFill="1" applyBorder="1" applyAlignment="1" applyProtection="1">
      <alignment horizontal="left" vertical="center"/>
      <protection locked="0"/>
    </xf>
    <xf numFmtId="0" fontId="119" fillId="0" borderId="0" xfId="0" applyFont="1" applyFill="1" applyBorder="1" applyAlignment="1" applyProtection="1">
      <alignment vertical="center"/>
      <protection hidden="1"/>
    </xf>
    <xf numFmtId="0" fontId="100" fillId="0" borderId="86" xfId="0" applyFont="1" applyFill="1" applyBorder="1" applyAlignment="1" applyProtection="1">
      <alignment vertical="center"/>
      <protection hidden="1"/>
    </xf>
    <xf numFmtId="0" fontId="84" fillId="0" borderId="103" xfId="0" applyFont="1" applyFill="1" applyBorder="1" applyAlignment="1" applyProtection="1">
      <alignment horizontal="left" vertical="center"/>
      <protection hidden="1"/>
    </xf>
    <xf numFmtId="0" fontId="139" fillId="41" borderId="154" xfId="0" applyNumberFormat="1" applyFont="1" applyFill="1" applyBorder="1" applyAlignment="1" applyProtection="1">
      <alignment horizontal="left" vertical="center"/>
      <protection locked="0"/>
    </xf>
    <xf numFmtId="0" fontId="139" fillId="0" borderId="154" xfId="0" applyNumberFormat="1" applyFont="1" applyFill="1" applyBorder="1" applyAlignment="1" applyProtection="1">
      <alignment horizontal="right" vertical="center"/>
      <protection hidden="1"/>
    </xf>
    <xf numFmtId="0" fontId="139" fillId="41" borderId="118" xfId="0" applyNumberFormat="1" applyFont="1" applyFill="1" applyBorder="1" applyAlignment="1" applyProtection="1">
      <alignment horizontal="left" vertical="center"/>
      <protection locked="0"/>
    </xf>
    <xf numFmtId="0" fontId="40" fillId="0" borderId="154" xfId="0" applyFont="1" applyFill="1" applyBorder="1" applyAlignment="1" applyProtection="1">
      <alignment horizontal="left" vertical="top"/>
      <protection hidden="1"/>
    </xf>
    <xf numFmtId="0" fontId="40" fillId="0" borderId="110" xfId="0" applyFont="1" applyFill="1" applyBorder="1" applyAlignment="1" applyProtection="1">
      <alignment horizontal="left" vertical="top"/>
      <protection hidden="1"/>
    </xf>
    <xf numFmtId="177" fontId="100" fillId="0" borderId="0" xfId="0" applyNumberFormat="1" applyFont="1" applyFill="1" applyBorder="1" applyProtection="1">
      <alignment vertical="center"/>
      <protection hidden="1"/>
    </xf>
    <xf numFmtId="0" fontId="100" fillId="0" borderId="0" xfId="0" applyFont="1" applyFill="1" applyProtection="1">
      <alignment vertical="center"/>
      <protection hidden="1"/>
    </xf>
    <xf numFmtId="0" fontId="140" fillId="0" borderId="51" xfId="0" quotePrefix="1" applyNumberFormat="1" applyFont="1" applyFill="1" applyBorder="1" applyAlignment="1" applyProtection="1">
      <alignment horizontal="left" vertical="center"/>
      <protection hidden="1"/>
    </xf>
    <xf numFmtId="0" fontId="141" fillId="0" borderId="52" xfId="0" applyFont="1" applyFill="1" applyBorder="1" applyAlignment="1" applyProtection="1">
      <alignment horizontal="right" vertical="center"/>
      <protection hidden="1"/>
    </xf>
    <xf numFmtId="0" fontId="103" fillId="0" borderId="52" xfId="0" applyFont="1" applyFill="1" applyBorder="1" applyAlignment="1" applyProtection="1">
      <alignment horizontal="right" vertical="center"/>
      <protection hidden="1"/>
    </xf>
    <xf numFmtId="0" fontId="141" fillId="0" borderId="52" xfId="0" quotePrefix="1" applyNumberFormat="1" applyFont="1" applyFill="1" applyBorder="1" applyAlignment="1" applyProtection="1">
      <alignment horizontal="left" vertical="center"/>
      <protection hidden="1"/>
    </xf>
    <xf numFmtId="0" fontId="141" fillId="0" borderId="52" xfId="0" quotePrefix="1" applyNumberFormat="1" applyFont="1" applyFill="1" applyBorder="1" applyAlignment="1" applyProtection="1">
      <alignment horizontal="center" vertical="center"/>
      <protection hidden="1"/>
    </xf>
    <xf numFmtId="0" fontId="141" fillId="0" borderId="52" xfId="0" applyFont="1" applyFill="1" applyBorder="1" applyAlignment="1" applyProtection="1">
      <alignment horizontal="center" vertical="center"/>
      <protection hidden="1"/>
    </xf>
    <xf numFmtId="0" fontId="141" fillId="0" borderId="52" xfId="0" applyFont="1" applyFill="1" applyBorder="1" applyAlignment="1" applyProtection="1">
      <alignment vertical="center"/>
      <protection hidden="1"/>
    </xf>
    <xf numFmtId="0" fontId="141" fillId="0" borderId="53" xfId="0" applyFont="1" applyFill="1" applyBorder="1" applyAlignment="1" applyProtection="1">
      <alignment vertical="center"/>
      <protection hidden="1"/>
    </xf>
    <xf numFmtId="0" fontId="140" fillId="0" borderId="20" xfId="0" quotePrefix="1" applyNumberFormat="1" applyFont="1" applyFill="1" applyBorder="1" applyAlignment="1" applyProtection="1">
      <alignment horizontal="left" vertical="center"/>
      <protection hidden="1"/>
    </xf>
    <xf numFmtId="0" fontId="142" fillId="0" borderId="0" xfId="0" applyFont="1" applyFill="1" applyBorder="1" applyAlignment="1" applyProtection="1">
      <alignment horizontal="right" vertical="center"/>
      <protection hidden="1"/>
    </xf>
    <xf numFmtId="0" fontId="141" fillId="0" borderId="0" xfId="0" applyNumberFormat="1" applyFont="1" applyFill="1" applyBorder="1" applyAlignment="1" applyProtection="1">
      <alignment horizontal="center" vertical="center"/>
      <protection hidden="1"/>
    </xf>
    <xf numFmtId="0" fontId="141" fillId="0" borderId="0" xfId="0" applyFont="1" applyFill="1" applyBorder="1" applyAlignment="1" applyProtection="1">
      <alignment horizontal="right" vertical="center"/>
      <protection hidden="1"/>
    </xf>
    <xf numFmtId="0" fontId="104" fillId="0" borderId="0" xfId="0" applyFont="1" applyBorder="1" applyAlignment="1" applyProtection="1">
      <alignment vertical="center"/>
      <protection hidden="1"/>
    </xf>
    <xf numFmtId="0" fontId="104" fillId="0" borderId="0" xfId="0" applyFont="1" applyBorder="1" applyAlignment="1" applyProtection="1">
      <alignment horizontal="center" vertical="center"/>
      <protection hidden="1"/>
    </xf>
    <xf numFmtId="0" fontId="141" fillId="0" borderId="0" xfId="0" applyNumberFormat="1" applyFont="1" applyFill="1" applyBorder="1" applyAlignment="1" applyProtection="1">
      <alignment horizontal="right" vertical="center"/>
      <protection hidden="1"/>
    </xf>
    <xf numFmtId="0" fontId="84" fillId="0" borderId="0" xfId="0" applyFont="1" applyBorder="1" applyAlignment="1" applyProtection="1">
      <alignment vertical="center"/>
      <protection hidden="1"/>
    </xf>
    <xf numFmtId="0" fontId="141" fillId="0" borderId="0" xfId="0" applyFont="1" applyBorder="1" applyAlignment="1" applyProtection="1">
      <alignment horizontal="center" vertical="center"/>
      <protection hidden="1"/>
    </xf>
    <xf numFmtId="0" fontId="141" fillId="0" borderId="151" xfId="0" applyFont="1" applyFill="1" applyBorder="1" applyAlignment="1" applyProtection="1">
      <alignment horizontal="right" vertical="center"/>
      <protection hidden="1"/>
    </xf>
    <xf numFmtId="0" fontId="142" fillId="0" borderId="0" xfId="0" applyNumberFormat="1" applyFont="1" applyFill="1" applyBorder="1" applyAlignment="1" applyProtection="1">
      <alignment horizontal="left" vertical="center"/>
      <protection hidden="1"/>
    </xf>
    <xf numFmtId="0" fontId="142" fillId="0" borderId="0" xfId="0" quotePrefix="1" applyNumberFormat="1" applyFont="1" applyFill="1" applyBorder="1" applyAlignment="1" applyProtection="1">
      <alignment horizontal="left" vertical="center"/>
      <protection hidden="1"/>
    </xf>
    <xf numFmtId="0" fontId="84" fillId="0" borderId="0" xfId="0" quotePrefix="1" applyNumberFormat="1" applyFont="1" applyFill="1" applyBorder="1" applyAlignment="1" applyProtection="1">
      <alignment horizontal="left" vertical="center"/>
      <protection hidden="1"/>
    </xf>
    <xf numFmtId="0" fontId="50" fillId="0" borderId="0" xfId="0" quotePrefix="1" applyNumberFormat="1" applyFont="1" applyFill="1" applyBorder="1" applyAlignment="1" applyProtection="1">
      <alignment horizontal="center" vertical="center"/>
      <protection hidden="1"/>
    </xf>
    <xf numFmtId="0" fontId="50" fillId="0" borderId="0" xfId="0" applyFont="1" applyFill="1" applyBorder="1" applyAlignment="1" applyProtection="1">
      <alignment horizontal="center" vertical="center"/>
      <protection hidden="1"/>
    </xf>
    <xf numFmtId="0" fontId="84" fillId="0" borderId="151" xfId="0" applyFont="1" applyFill="1" applyBorder="1" applyAlignment="1" applyProtection="1">
      <alignment vertical="center"/>
      <protection hidden="1"/>
    </xf>
    <xf numFmtId="0" fontId="103" fillId="0" borderId="20" xfId="0" applyFont="1" applyFill="1" applyBorder="1" applyAlignment="1" applyProtection="1">
      <alignment horizontal="left" vertical="center"/>
      <protection hidden="1"/>
    </xf>
    <xf numFmtId="0" fontId="142" fillId="0" borderId="0" xfId="0" applyFont="1" applyFill="1" applyBorder="1" applyAlignment="1" applyProtection="1">
      <alignment horizontal="left" vertical="center"/>
      <protection hidden="1"/>
    </xf>
    <xf numFmtId="0" fontId="142" fillId="0" borderId="0" xfId="0" applyFont="1" applyBorder="1" applyAlignment="1" applyProtection="1">
      <alignment horizontal="left" vertical="center"/>
      <protection hidden="1"/>
    </xf>
    <xf numFmtId="0" fontId="50" fillId="0" borderId="0" xfId="0" applyFont="1" applyFill="1" applyBorder="1" applyAlignment="1" applyProtection="1">
      <alignment vertical="center"/>
      <protection hidden="1"/>
    </xf>
    <xf numFmtId="0" fontId="103" fillId="0" borderId="24" xfId="0" applyFont="1" applyFill="1" applyBorder="1" applyAlignment="1" applyProtection="1">
      <alignment horizontal="left" vertical="center"/>
      <protection hidden="1"/>
    </xf>
    <xf numFmtId="0" fontId="142" fillId="0" borderId="57" xfId="0" applyFont="1" applyFill="1" applyBorder="1" applyAlignment="1" applyProtection="1">
      <alignment horizontal="right" vertical="center"/>
      <protection hidden="1"/>
    </xf>
    <xf numFmtId="0" fontId="142" fillId="0" borderId="57" xfId="0" applyFont="1" applyFill="1" applyBorder="1" applyAlignment="1" applyProtection="1">
      <alignment horizontal="left" vertical="center"/>
      <protection hidden="1"/>
    </xf>
    <xf numFmtId="0" fontId="103" fillId="0" borderId="57" xfId="0" applyFont="1" applyBorder="1" applyAlignment="1" applyProtection="1">
      <alignment vertical="center"/>
      <protection hidden="1"/>
    </xf>
    <xf numFmtId="0" fontId="104" fillId="0" borderId="57" xfId="0" applyFont="1" applyBorder="1" applyAlignment="1" applyProtection="1">
      <alignment vertical="center"/>
      <protection hidden="1"/>
    </xf>
    <xf numFmtId="0" fontId="50" fillId="0" borderId="57" xfId="0" applyFont="1" applyFill="1" applyBorder="1" applyAlignment="1" applyProtection="1">
      <alignment vertical="center"/>
      <protection hidden="1"/>
    </xf>
    <xf numFmtId="0" fontId="104" fillId="0" borderId="57" xfId="0" applyFont="1" applyBorder="1" applyAlignment="1" applyProtection="1">
      <alignment horizontal="center" vertical="center"/>
      <protection hidden="1"/>
    </xf>
    <xf numFmtId="0" fontId="84" fillId="0" borderId="57" xfId="0" applyFont="1" applyBorder="1" applyAlignment="1" applyProtection="1">
      <alignment vertical="center"/>
      <protection hidden="1"/>
    </xf>
    <xf numFmtId="0" fontId="84" fillId="0" borderId="58" xfId="0" applyFont="1" applyFill="1" applyBorder="1" applyAlignment="1" applyProtection="1">
      <alignment vertical="center"/>
      <protection hidden="1"/>
    </xf>
    <xf numFmtId="0" fontId="103" fillId="0" borderId="0" xfId="0" applyFont="1" applyBorder="1" applyAlignment="1" applyProtection="1">
      <alignment vertical="center"/>
      <protection hidden="1"/>
    </xf>
    <xf numFmtId="0" fontId="50" fillId="0" borderId="0" xfId="0" applyFont="1" applyBorder="1" applyAlignment="1" applyProtection="1">
      <alignment vertical="center"/>
      <protection hidden="1"/>
    </xf>
    <xf numFmtId="0" fontId="84" fillId="0" borderId="0" xfId="0" applyFont="1" applyFill="1" applyBorder="1" applyAlignment="1" applyProtection="1">
      <alignment horizontal="left" vertical="center"/>
      <protection hidden="1"/>
    </xf>
    <xf numFmtId="0" fontId="143" fillId="0" borderId="0" xfId="0" quotePrefix="1" applyNumberFormat="1" applyFont="1" applyFill="1" applyBorder="1" applyAlignment="1" applyProtection="1">
      <alignment horizontal="left" vertical="center"/>
      <protection hidden="1"/>
    </xf>
    <xf numFmtId="0" fontId="144" fillId="0" borderId="0" xfId="0" quotePrefix="1" applyNumberFormat="1" applyFont="1" applyFill="1" applyBorder="1" applyAlignment="1" applyProtection="1">
      <alignment horizontal="left" vertical="center"/>
      <protection hidden="1"/>
    </xf>
    <xf numFmtId="0" fontId="144" fillId="0" borderId="0" xfId="0" quotePrefix="1" applyNumberFormat="1" applyFont="1" applyFill="1" applyBorder="1" applyAlignment="1" applyProtection="1">
      <alignment horizontal="right" vertical="center"/>
      <protection hidden="1"/>
    </xf>
    <xf numFmtId="0" fontId="143" fillId="0" borderId="0" xfId="0" quotePrefix="1" applyNumberFormat="1" applyFont="1" applyFill="1" applyBorder="1" applyAlignment="1" applyProtection="1">
      <alignment horizontal="right" vertical="center"/>
      <protection hidden="1"/>
    </xf>
    <xf numFmtId="0" fontId="100" fillId="35" borderId="184" xfId="0" applyFont="1" applyFill="1" applyBorder="1" applyProtection="1">
      <alignment vertical="center"/>
      <protection hidden="1"/>
    </xf>
    <xf numFmtId="56" fontId="107" fillId="35" borderId="185" xfId="0" applyNumberFormat="1" applyFont="1" applyFill="1" applyBorder="1" applyProtection="1">
      <alignment vertical="center"/>
      <protection hidden="1"/>
    </xf>
    <xf numFmtId="0" fontId="84" fillId="0" borderId="73" xfId="0" applyFont="1" applyFill="1" applyBorder="1" applyAlignment="1" applyProtection="1">
      <alignment vertical="center"/>
      <protection hidden="1"/>
    </xf>
    <xf numFmtId="0" fontId="27" fillId="0" borderId="103" xfId="0" applyFont="1" applyFill="1" applyBorder="1" applyAlignment="1" applyProtection="1">
      <alignment horizontal="left" vertical="center"/>
      <protection hidden="1"/>
    </xf>
    <xf numFmtId="37" fontId="30" fillId="0" borderId="154" xfId="0" applyNumberFormat="1" applyFont="1" applyFill="1" applyBorder="1" applyAlignment="1" applyProtection="1">
      <alignment horizontal="left" vertical="center"/>
      <protection hidden="1"/>
    </xf>
    <xf numFmtId="0" fontId="75" fillId="0" borderId="186" xfId="0" applyFont="1" applyFill="1" applyBorder="1" applyProtection="1">
      <alignment vertical="center"/>
      <protection hidden="1"/>
    </xf>
    <xf numFmtId="37" fontId="27" fillId="0" borderId="154" xfId="0" applyNumberFormat="1" applyFont="1" applyFill="1" applyBorder="1" applyAlignment="1" applyProtection="1">
      <alignment horizontal="right" vertical="center"/>
      <protection hidden="1"/>
    </xf>
    <xf numFmtId="0" fontId="27" fillId="0" borderId="154" xfId="0" applyFont="1" applyFill="1" applyBorder="1" applyAlignment="1" applyProtection="1">
      <alignment horizontal="left" vertical="center"/>
      <protection hidden="1"/>
    </xf>
    <xf numFmtId="0" fontId="100" fillId="0" borderId="110" xfId="0" applyFont="1" applyFill="1" applyBorder="1" applyProtection="1">
      <alignment vertical="center"/>
      <protection hidden="1"/>
    </xf>
    <xf numFmtId="3" fontId="71" fillId="0" borderId="103" xfId="0" applyNumberFormat="1" applyFont="1" applyFill="1" applyBorder="1" applyAlignment="1" applyProtection="1">
      <alignment horizontal="left" vertical="center"/>
      <protection hidden="1"/>
    </xf>
    <xf numFmtId="3" fontId="71" fillId="0" borderId="154" xfId="0" applyNumberFormat="1" applyFont="1" applyFill="1" applyBorder="1" applyAlignment="1" applyProtection="1">
      <alignment horizontal="right" vertical="center" indent="1"/>
      <protection hidden="1"/>
    </xf>
    <xf numFmtId="0" fontId="71" fillId="0" borderId="154" xfId="0" applyFont="1" applyFill="1" applyBorder="1" applyProtection="1">
      <alignment vertical="center"/>
      <protection hidden="1"/>
    </xf>
    <xf numFmtId="0" fontId="71" fillId="0" borderId="110" xfId="0" applyFont="1" applyFill="1" applyBorder="1" applyProtection="1">
      <alignment vertical="center"/>
      <protection hidden="1"/>
    </xf>
    <xf numFmtId="0" fontId="100" fillId="0" borderId="180" xfId="0" applyFont="1" applyFill="1" applyBorder="1" applyProtection="1">
      <alignment vertical="center"/>
      <protection hidden="1"/>
    </xf>
    <xf numFmtId="0" fontId="47" fillId="0" borderId="0" xfId="0" applyFont="1" applyFill="1" applyBorder="1" applyAlignment="1" applyProtection="1">
      <alignment vertical="top" wrapText="1"/>
      <protection hidden="1"/>
    </xf>
    <xf numFmtId="0" fontId="47" fillId="0" borderId="86" xfId="0" applyFont="1" applyFill="1" applyBorder="1" applyAlignment="1" applyProtection="1">
      <alignment vertical="top" wrapText="1"/>
      <protection hidden="1"/>
    </xf>
    <xf numFmtId="0" fontId="112" fillId="0" borderId="0" xfId="0" applyFont="1" applyFill="1" applyBorder="1" applyProtection="1">
      <alignment vertical="center"/>
      <protection hidden="1"/>
    </xf>
    <xf numFmtId="3" fontId="71" fillId="0" borderId="151" xfId="0" applyNumberFormat="1" applyFont="1" applyFill="1" applyBorder="1" applyAlignment="1" applyProtection="1">
      <alignment horizontal="right" vertical="center" indent="1"/>
      <protection hidden="1"/>
    </xf>
    <xf numFmtId="0" fontId="71" fillId="0" borderId="0" xfId="0" applyFont="1" applyFill="1" applyBorder="1" applyProtection="1">
      <alignment vertical="center"/>
      <protection hidden="1"/>
    </xf>
    <xf numFmtId="0" fontId="71" fillId="0" borderId="86" xfId="0" applyFont="1" applyFill="1" applyBorder="1" applyProtection="1">
      <alignment vertical="center"/>
      <protection hidden="1"/>
    </xf>
    <xf numFmtId="0" fontId="112" fillId="0" borderId="88" xfId="0" applyFont="1" applyFill="1" applyBorder="1" applyProtection="1">
      <alignment vertical="center"/>
      <protection hidden="1"/>
    </xf>
    <xf numFmtId="3" fontId="145" fillId="0" borderId="0" xfId="0" applyNumberFormat="1" applyFont="1" applyFill="1" applyBorder="1" applyAlignment="1" applyProtection="1">
      <alignment horizontal="left" vertical="center"/>
      <protection hidden="1"/>
    </xf>
    <xf numFmtId="0" fontId="47" fillId="0" borderId="180" xfId="0" applyFont="1" applyFill="1" applyBorder="1" applyAlignment="1" applyProtection="1">
      <alignment vertical="top" wrapText="1"/>
      <protection hidden="1"/>
    </xf>
    <xf numFmtId="0" fontId="0" fillId="0" borderId="151" xfId="0" applyBorder="1">
      <alignment vertical="center"/>
    </xf>
    <xf numFmtId="0" fontId="112" fillId="0" borderId="103" xfId="0" applyFont="1" applyFill="1" applyBorder="1" applyProtection="1">
      <alignment vertical="center"/>
      <protection hidden="1"/>
    </xf>
    <xf numFmtId="3" fontId="146" fillId="0" borderId="154" xfId="0" applyNumberFormat="1" applyFont="1" applyFill="1" applyBorder="1" applyAlignment="1" applyProtection="1">
      <alignment horizontal="left" vertical="center"/>
      <protection hidden="1"/>
    </xf>
    <xf numFmtId="0" fontId="47" fillId="0" borderId="186" xfId="0" applyFont="1" applyFill="1" applyBorder="1" applyAlignment="1" applyProtection="1">
      <alignment vertical="top" wrapText="1"/>
      <protection hidden="1"/>
    </xf>
    <xf numFmtId="0" fontId="47" fillId="0" borderId="154" xfId="0" applyFont="1" applyFill="1" applyBorder="1" applyAlignment="1" applyProtection="1">
      <alignment vertical="top" wrapText="1"/>
      <protection hidden="1"/>
    </xf>
    <xf numFmtId="0" fontId="47" fillId="0" borderId="110" xfId="0" applyFont="1" applyFill="1" applyBorder="1" applyAlignment="1" applyProtection="1">
      <alignment vertical="top" wrapText="1"/>
      <protection hidden="1"/>
    </xf>
    <xf numFmtId="0" fontId="0" fillId="0" borderId="175" xfId="0" applyBorder="1">
      <alignment vertical="center"/>
    </xf>
    <xf numFmtId="0" fontId="112" fillId="0" borderId="154" xfId="0" applyFont="1" applyFill="1" applyBorder="1" applyProtection="1">
      <alignment vertical="center"/>
      <protection hidden="1"/>
    </xf>
    <xf numFmtId="3" fontId="71" fillId="0" borderId="175" xfId="0" applyNumberFormat="1" applyFont="1" applyFill="1" applyBorder="1" applyAlignment="1" applyProtection="1">
      <alignment horizontal="right" vertical="center" indent="1"/>
      <protection hidden="1"/>
    </xf>
    <xf numFmtId="0" fontId="109" fillId="0" borderId="187" xfId="0" applyFont="1" applyFill="1" applyBorder="1" applyProtection="1">
      <alignment vertical="center"/>
      <protection hidden="1"/>
    </xf>
    <xf numFmtId="0" fontId="109" fillId="0" borderId="76" xfId="0" applyFont="1" applyFill="1" applyBorder="1" applyProtection="1">
      <alignment vertical="center"/>
      <protection hidden="1"/>
    </xf>
    <xf numFmtId="0" fontId="75" fillId="0" borderId="80" xfId="0" applyNumberFormat="1" applyFont="1" applyFill="1" applyBorder="1" applyAlignment="1" applyProtection="1">
      <alignment horizontal="centerContinuous" vertical="center"/>
      <protection hidden="1"/>
    </xf>
    <xf numFmtId="0" fontId="100" fillId="0" borderId="78" xfId="0" applyNumberFormat="1" applyFont="1" applyFill="1" applyBorder="1" applyAlignment="1" applyProtection="1">
      <alignment horizontal="centerContinuous" vertical="center"/>
      <protection hidden="1"/>
    </xf>
    <xf numFmtId="49" fontId="41" fillId="0" borderId="80" xfId="0" applyNumberFormat="1" applyFont="1" applyFill="1" applyBorder="1" applyAlignment="1" applyProtection="1">
      <alignment horizontal="left" vertical="center"/>
      <protection hidden="1"/>
    </xf>
    <xf numFmtId="3" fontId="41" fillId="0" borderId="77" xfId="0" applyNumberFormat="1" applyFont="1" applyFill="1" applyBorder="1" applyAlignment="1" applyProtection="1">
      <alignment vertical="center"/>
      <protection hidden="1"/>
    </xf>
    <xf numFmtId="0" fontId="7" fillId="0" borderId="44" xfId="0" applyFont="1" applyFill="1" applyBorder="1" applyAlignment="1" applyProtection="1">
      <alignment horizontal="left" vertical="center" indent="1"/>
      <protection hidden="1"/>
    </xf>
    <xf numFmtId="0" fontId="100" fillId="0" borderId="48" xfId="0" applyFont="1" applyFill="1" applyBorder="1" applyProtection="1">
      <alignment vertical="center"/>
      <protection hidden="1"/>
    </xf>
    <xf numFmtId="0" fontId="100" fillId="0" borderId="65" xfId="0" applyFont="1" applyFill="1" applyBorder="1" applyProtection="1">
      <alignment vertical="center"/>
      <protection hidden="1"/>
    </xf>
    <xf numFmtId="0" fontId="100" fillId="0" borderId="66" xfId="0" applyFont="1" applyFill="1" applyBorder="1" applyProtection="1">
      <alignment vertical="center"/>
      <protection hidden="1"/>
    </xf>
    <xf numFmtId="0" fontId="6" fillId="0" borderId="50" xfId="0" applyNumberFormat="1" applyFont="1" applyFill="1" applyBorder="1" applyProtection="1">
      <alignment vertical="center"/>
      <protection hidden="1"/>
    </xf>
    <xf numFmtId="0" fontId="109" fillId="0" borderId="48" xfId="0" applyFont="1" applyFill="1" applyBorder="1" applyProtection="1">
      <alignment vertical="center"/>
      <protection hidden="1"/>
    </xf>
    <xf numFmtId="0" fontId="109" fillId="0" borderId="65" xfId="0" applyFont="1" applyFill="1" applyBorder="1" applyProtection="1">
      <alignment vertical="center"/>
      <protection hidden="1"/>
    </xf>
    <xf numFmtId="0" fontId="109" fillId="0" borderId="66" xfId="0" applyFont="1" applyFill="1" applyBorder="1" applyProtection="1">
      <alignment vertical="center"/>
      <protection hidden="1"/>
    </xf>
    <xf numFmtId="0" fontId="100" fillId="0" borderId="50" xfId="0" applyNumberFormat="1" applyFont="1" applyFill="1" applyBorder="1" applyProtection="1">
      <alignment vertical="center"/>
      <protection hidden="1"/>
    </xf>
    <xf numFmtId="0" fontId="75" fillId="0" borderId="50" xfId="0" applyFont="1" applyFill="1" applyBorder="1" applyProtection="1">
      <alignment vertical="center"/>
      <protection hidden="1"/>
    </xf>
    <xf numFmtId="176" fontId="75" fillId="0" borderId="65" xfId="0" applyNumberFormat="1" applyFont="1" applyFill="1" applyBorder="1" applyAlignment="1" applyProtection="1">
      <protection hidden="1"/>
    </xf>
    <xf numFmtId="176" fontId="75" fillId="0" borderId="66" xfId="0" applyNumberFormat="1" applyFont="1" applyFill="1" applyBorder="1" applyAlignment="1" applyProtection="1">
      <protection hidden="1"/>
    </xf>
    <xf numFmtId="0" fontId="75" fillId="0" borderId="48" xfId="0" applyNumberFormat="1" applyFont="1" applyFill="1" applyBorder="1" applyProtection="1">
      <alignment vertical="center"/>
      <protection hidden="1"/>
    </xf>
    <xf numFmtId="0" fontId="75" fillId="0" borderId="65" xfId="0" applyNumberFormat="1" applyFont="1" applyFill="1" applyBorder="1" applyProtection="1">
      <alignment vertical="center"/>
      <protection hidden="1"/>
    </xf>
    <xf numFmtId="38" fontId="75" fillId="0" borderId="66" xfId="35" applyFont="1" applyFill="1" applyBorder="1" applyProtection="1">
      <alignment vertical="center"/>
      <protection hidden="1"/>
    </xf>
    <xf numFmtId="0" fontId="75" fillId="0" borderId="66" xfId="0" applyNumberFormat="1" applyFont="1" applyFill="1" applyBorder="1" applyProtection="1">
      <alignment vertical="center"/>
      <protection hidden="1"/>
    </xf>
    <xf numFmtId="0" fontId="75" fillId="0" borderId="48" xfId="0" applyFont="1" applyFill="1" applyBorder="1" applyProtection="1">
      <alignment vertical="center"/>
      <protection hidden="1"/>
    </xf>
    <xf numFmtId="185" fontId="80" fillId="0" borderId="65" xfId="0" applyNumberFormat="1" applyFont="1" applyFill="1" applyBorder="1" applyAlignment="1" applyProtection="1">
      <alignment horizontal="center" vertical="center"/>
      <protection hidden="1"/>
    </xf>
    <xf numFmtId="185" fontId="80" fillId="0" borderId="66" xfId="0" applyNumberFormat="1" applyFont="1" applyFill="1" applyBorder="1" applyAlignment="1" applyProtection="1">
      <alignment horizontal="center" vertical="center"/>
      <protection hidden="1"/>
    </xf>
    <xf numFmtId="185" fontId="80" fillId="0" borderId="88" xfId="0" applyNumberFormat="1" applyFont="1" applyFill="1" applyBorder="1" applyAlignment="1" applyProtection="1">
      <alignment horizontal="center" vertical="center"/>
      <protection hidden="1"/>
    </xf>
    <xf numFmtId="185" fontId="80" fillId="0" borderId="86" xfId="0" applyNumberFormat="1" applyFont="1" applyFill="1" applyBorder="1" applyAlignment="1" applyProtection="1">
      <alignment horizontal="center" vertical="center"/>
      <protection hidden="1"/>
    </xf>
    <xf numFmtId="176" fontId="75" fillId="0" borderId="190" xfId="0" applyNumberFormat="1" applyFont="1" applyFill="1" applyBorder="1" applyAlignment="1" applyProtection="1">
      <protection hidden="1"/>
    </xf>
    <xf numFmtId="176" fontId="75" fillId="0" borderId="191" xfId="0" applyNumberFormat="1" applyFont="1" applyFill="1" applyBorder="1" applyAlignment="1" applyProtection="1">
      <protection hidden="1"/>
    </xf>
    <xf numFmtId="185" fontId="0" fillId="0" borderId="65" xfId="0" applyNumberFormat="1" applyFill="1" applyBorder="1" applyProtection="1">
      <alignment vertical="center"/>
      <protection hidden="1"/>
    </xf>
    <xf numFmtId="185" fontId="0" fillId="0" borderId="66" xfId="0" applyNumberFormat="1" applyFill="1" applyBorder="1" applyProtection="1">
      <alignment vertical="center"/>
      <protection hidden="1"/>
    </xf>
    <xf numFmtId="185" fontId="0" fillId="0" borderId="190" xfId="0" applyNumberFormat="1" applyFill="1" applyBorder="1" applyProtection="1">
      <alignment vertical="center"/>
      <protection hidden="1"/>
    </xf>
    <xf numFmtId="185" fontId="0" fillId="0" borderId="105" xfId="0" applyNumberFormat="1" applyFill="1" applyBorder="1" applyProtection="1">
      <alignment vertical="center"/>
      <protection hidden="1"/>
    </xf>
    <xf numFmtId="0" fontId="30" fillId="0" borderId="103" xfId="0" applyNumberFormat="1" applyFont="1" applyFill="1" applyBorder="1" applyProtection="1">
      <alignment vertical="center"/>
      <protection hidden="1"/>
    </xf>
    <xf numFmtId="0" fontId="30" fillId="0" borderId="192" xfId="0" applyNumberFormat="1" applyFont="1" applyFill="1" applyBorder="1" applyAlignment="1" applyProtection="1">
      <alignment horizontal="left" vertical="center"/>
      <protection hidden="1"/>
    </xf>
    <xf numFmtId="0" fontId="30" fillId="0" borderId="154" xfId="0" applyNumberFormat="1" applyFont="1" applyFill="1" applyBorder="1" applyAlignment="1" applyProtection="1">
      <alignment vertical="top" wrapText="1"/>
      <protection hidden="1"/>
    </xf>
    <xf numFmtId="0" fontId="30" fillId="0" borderId="110" xfId="0" applyNumberFormat="1" applyFont="1" applyFill="1" applyBorder="1" applyAlignment="1" applyProtection="1">
      <alignment vertical="top" wrapText="1"/>
      <protection hidden="1"/>
    </xf>
    <xf numFmtId="0" fontId="30" fillId="0" borderId="192" xfId="0" applyNumberFormat="1" applyFont="1" applyFill="1" applyBorder="1" applyProtection="1">
      <alignment vertical="center"/>
      <protection hidden="1"/>
    </xf>
    <xf numFmtId="0" fontId="30" fillId="0" borderId="192" xfId="0" applyNumberFormat="1" applyFont="1" applyFill="1" applyBorder="1" applyAlignment="1" applyProtection="1">
      <alignment horizontal="right" vertical="center" indent="1"/>
      <protection hidden="1"/>
    </xf>
    <xf numFmtId="0" fontId="0" fillId="0" borderId="154" xfId="0" applyBorder="1" applyAlignment="1">
      <alignment vertical="top" shrinkToFit="1"/>
    </xf>
    <xf numFmtId="0" fontId="0" fillId="0" borderId="110" xfId="0" applyBorder="1" applyAlignment="1">
      <alignment vertical="top" shrinkToFit="1"/>
    </xf>
    <xf numFmtId="0" fontId="109" fillId="0" borderId="80" xfId="0" applyFont="1" applyFill="1" applyBorder="1" applyAlignment="1" applyProtection="1">
      <alignment horizontal="centerContinuous" vertical="center"/>
      <protection hidden="1"/>
    </xf>
    <xf numFmtId="0" fontId="75" fillId="0" borderId="77" xfId="0" applyNumberFormat="1" applyFont="1" applyFill="1" applyBorder="1" applyAlignment="1" applyProtection="1">
      <alignment horizontal="centerContinuous" vertical="center"/>
      <protection hidden="1"/>
    </xf>
    <xf numFmtId="0" fontId="75" fillId="0" borderId="78" xfId="0" applyNumberFormat="1" applyFont="1" applyFill="1" applyBorder="1" applyAlignment="1" applyProtection="1">
      <alignment horizontal="centerContinuous" vertical="center"/>
      <protection hidden="1"/>
    </xf>
    <xf numFmtId="0" fontId="100" fillId="0" borderId="77" xfId="0" applyFont="1" applyFill="1" applyBorder="1" applyAlignment="1" applyProtection="1">
      <alignment horizontal="centerContinuous" vertical="center"/>
      <protection hidden="1"/>
    </xf>
    <xf numFmtId="0" fontId="100" fillId="0" borderId="78" xfId="0" applyFont="1" applyFill="1" applyBorder="1" applyAlignment="1" applyProtection="1">
      <alignment horizontal="centerContinuous" vertical="center"/>
      <protection hidden="1"/>
    </xf>
    <xf numFmtId="0" fontId="6" fillId="0" borderId="65" xfId="0" applyNumberFormat="1" applyFont="1" applyFill="1" applyBorder="1" applyProtection="1">
      <alignment vertical="center"/>
      <protection hidden="1"/>
    </xf>
    <xf numFmtId="0" fontId="6" fillId="0" borderId="66" xfId="0" applyNumberFormat="1" applyFont="1" applyFill="1" applyBorder="1" applyProtection="1">
      <alignment vertical="center"/>
      <protection hidden="1"/>
    </xf>
    <xf numFmtId="38" fontId="75" fillId="0" borderId="65" xfId="35" applyFont="1" applyFill="1" applyBorder="1" applyAlignment="1" applyProtection="1">
      <protection hidden="1"/>
    </xf>
    <xf numFmtId="38" fontId="75" fillId="0" borderId="66" xfId="35" applyFont="1" applyFill="1" applyBorder="1" applyAlignment="1" applyProtection="1">
      <protection hidden="1"/>
    </xf>
    <xf numFmtId="185" fontId="80" fillId="0" borderId="0" xfId="0" applyNumberFormat="1" applyFont="1" applyFill="1" applyBorder="1" applyAlignment="1" applyProtection="1">
      <alignment horizontal="left" vertical="top"/>
      <protection hidden="1"/>
    </xf>
    <xf numFmtId="185" fontId="80" fillId="0" borderId="0" xfId="0" applyNumberFormat="1" applyFont="1" applyFill="1" applyBorder="1" applyAlignment="1" applyProtection="1">
      <alignment horizontal="left" vertical="center"/>
      <protection hidden="1"/>
    </xf>
    <xf numFmtId="0" fontId="75" fillId="0" borderId="48" xfId="0" applyNumberFormat="1" applyFont="1" applyFill="1" applyBorder="1" applyAlignment="1" applyProtection="1">
      <protection hidden="1"/>
    </xf>
    <xf numFmtId="38" fontId="6" fillId="0" borderId="65" xfId="35" applyFont="1" applyFill="1" applyBorder="1" applyProtection="1">
      <alignment vertical="center"/>
      <protection hidden="1"/>
    </xf>
    <xf numFmtId="38" fontId="6" fillId="0" borderId="66" xfId="35" applyFont="1" applyFill="1" applyBorder="1" applyProtection="1">
      <alignment vertical="center"/>
      <protection hidden="1"/>
    </xf>
    <xf numFmtId="0" fontId="0" fillId="0" borderId="116" xfId="0" applyBorder="1">
      <alignment vertical="center"/>
    </xf>
    <xf numFmtId="38" fontId="6" fillId="0" borderId="190" xfId="35" applyFont="1" applyFill="1" applyBorder="1" applyProtection="1">
      <alignment vertical="center"/>
      <protection hidden="1"/>
    </xf>
    <xf numFmtId="38" fontId="6" fillId="0" borderId="119" xfId="35" applyFont="1" applyFill="1" applyBorder="1" applyProtection="1">
      <alignment vertical="center"/>
      <protection hidden="1"/>
    </xf>
    <xf numFmtId="38" fontId="6" fillId="0" borderId="191" xfId="35" applyFont="1" applyFill="1" applyBorder="1" applyProtection="1">
      <alignment vertical="center"/>
      <protection hidden="1"/>
    </xf>
    <xf numFmtId="201" fontId="75" fillId="0" borderId="154" xfId="0" applyNumberFormat="1" applyFont="1" applyFill="1" applyBorder="1" applyAlignment="1" applyProtection="1">
      <alignment horizontal="right" vertical="center"/>
      <protection hidden="1"/>
    </xf>
    <xf numFmtId="202" fontId="147" fillId="0" borderId="154" xfId="0" applyNumberFormat="1" applyFont="1" applyFill="1" applyBorder="1" applyProtection="1">
      <alignment vertical="center"/>
      <protection hidden="1"/>
    </xf>
    <xf numFmtId="176" fontId="127" fillId="30" borderId="0" xfId="0" applyNumberFormat="1" applyFont="1" applyFill="1" applyBorder="1" applyAlignment="1" applyProtection="1">
      <alignment horizontal="left" vertical="center"/>
      <protection hidden="1"/>
    </xf>
    <xf numFmtId="0" fontId="121" fillId="30" borderId="86" xfId="0" applyFont="1" applyFill="1" applyBorder="1" applyAlignment="1" applyProtection="1">
      <alignment horizontal="left" vertical="center"/>
      <protection hidden="1"/>
    </xf>
    <xf numFmtId="0" fontId="0" fillId="0" borderId="80" xfId="0" applyBorder="1" applyAlignment="1">
      <alignment horizontal="centerContinuous" vertical="center"/>
    </xf>
    <xf numFmtId="0" fontId="0" fillId="0" borderId="78" xfId="0" applyBorder="1" applyAlignment="1">
      <alignment horizontal="centerContinuous" vertical="center"/>
    </xf>
    <xf numFmtId="0" fontId="75" fillId="0" borderId="63" xfId="0" applyNumberFormat="1" applyFont="1" applyFill="1" applyBorder="1" applyProtection="1">
      <alignment vertical="center"/>
      <protection hidden="1"/>
    </xf>
    <xf numFmtId="0" fontId="75" fillId="0" borderId="64" xfId="0" applyNumberFormat="1" applyFont="1" applyFill="1" applyBorder="1" applyProtection="1">
      <alignment vertical="center"/>
      <protection hidden="1"/>
    </xf>
    <xf numFmtId="0" fontId="75" fillId="0" borderId="49" xfId="0" applyNumberFormat="1" applyFont="1" applyFill="1" applyBorder="1" applyProtection="1">
      <alignment vertical="center"/>
      <protection hidden="1"/>
    </xf>
    <xf numFmtId="0" fontId="75" fillId="0" borderId="48" xfId="0" applyNumberFormat="1" applyFont="1" applyFill="1" applyBorder="1" applyAlignment="1" applyProtection="1">
      <alignment horizontal="left" vertical="center"/>
      <protection hidden="1"/>
    </xf>
    <xf numFmtId="176" fontId="75" fillId="0" borderId="65" xfId="0" applyNumberFormat="1" applyFont="1" applyFill="1" applyBorder="1" applyAlignment="1" applyProtection="1">
      <alignment horizontal="right"/>
      <protection hidden="1"/>
    </xf>
    <xf numFmtId="176" fontId="75" fillId="0" borderId="66" xfId="0" applyNumberFormat="1" applyFont="1" applyFill="1" applyBorder="1" applyAlignment="1" applyProtection="1">
      <alignment horizontal="right"/>
      <protection hidden="1"/>
    </xf>
    <xf numFmtId="0" fontId="6" fillId="0" borderId="49" xfId="0" applyNumberFormat="1" applyFont="1" applyFill="1" applyBorder="1" applyProtection="1">
      <alignment vertical="center"/>
      <protection hidden="1"/>
    </xf>
    <xf numFmtId="0" fontId="75" fillId="0" borderId="49" xfId="0" applyNumberFormat="1" applyFont="1" applyFill="1" applyBorder="1" applyAlignment="1" applyProtection="1">
      <alignment horizontal="left" vertical="center"/>
      <protection hidden="1"/>
    </xf>
    <xf numFmtId="0" fontId="6" fillId="0" borderId="48" xfId="0" applyNumberFormat="1" applyFont="1" applyFill="1" applyBorder="1" applyAlignment="1" applyProtection="1">
      <alignment horizontal="left" vertical="center"/>
      <protection hidden="1"/>
    </xf>
    <xf numFmtId="0" fontId="84" fillId="0" borderId="66" xfId="0" applyNumberFormat="1" applyFont="1" applyFill="1" applyBorder="1" applyProtection="1">
      <alignment vertical="center"/>
      <protection hidden="1"/>
    </xf>
    <xf numFmtId="0" fontId="6" fillId="0" borderId="49" xfId="0" applyNumberFormat="1" applyFont="1" applyFill="1" applyBorder="1" applyAlignment="1" applyProtection="1">
      <alignment horizontal="left" vertical="center"/>
      <protection hidden="1"/>
    </xf>
    <xf numFmtId="0" fontId="75" fillId="0" borderId="88" xfId="0" applyNumberFormat="1" applyFont="1" applyFill="1" applyBorder="1" applyProtection="1">
      <alignment vertical="center"/>
      <protection hidden="1"/>
    </xf>
    <xf numFmtId="0" fontId="75" fillId="0" borderId="86" xfId="0" applyNumberFormat="1" applyFont="1" applyFill="1" applyBorder="1" applyProtection="1">
      <alignment vertical="center"/>
      <protection hidden="1"/>
    </xf>
    <xf numFmtId="0" fontId="0" fillId="0" borderId="86" xfId="0" applyBorder="1">
      <alignment vertical="center"/>
    </xf>
    <xf numFmtId="0" fontId="6" fillId="0" borderId="48" xfId="0" applyNumberFormat="1" applyFont="1" applyFill="1" applyBorder="1" applyProtection="1">
      <alignment vertical="center"/>
      <protection hidden="1"/>
    </xf>
    <xf numFmtId="176" fontId="100" fillId="0" borderId="88" xfId="0" applyNumberFormat="1" applyFont="1" applyFill="1" applyBorder="1" applyProtection="1">
      <alignment vertical="center"/>
      <protection hidden="1"/>
    </xf>
    <xf numFmtId="0" fontId="6" fillId="0" borderId="49" xfId="0" applyNumberFormat="1" applyFont="1" applyFill="1" applyBorder="1" applyAlignment="1" applyProtection="1">
      <alignment horizontal="left"/>
      <protection hidden="1"/>
    </xf>
    <xf numFmtId="0" fontId="0" fillId="0" borderId="49" xfId="0" applyNumberFormat="1" applyFill="1" applyBorder="1" applyProtection="1">
      <alignment vertical="center"/>
      <protection hidden="1"/>
    </xf>
    <xf numFmtId="176" fontId="75" fillId="37" borderId="190" xfId="0" applyNumberFormat="1" applyFont="1" applyFill="1" applyBorder="1" applyAlignment="1" applyProtection="1">
      <alignment horizontal="right"/>
      <protection hidden="1"/>
    </xf>
    <xf numFmtId="0" fontId="84" fillId="0" borderId="191" xfId="0" applyNumberFormat="1" applyFont="1" applyFill="1" applyBorder="1" applyProtection="1">
      <alignment vertical="center"/>
      <protection hidden="1"/>
    </xf>
    <xf numFmtId="176" fontId="75" fillId="0" borderId="190" xfId="0" applyNumberFormat="1" applyFont="1" applyFill="1" applyBorder="1" applyAlignment="1" applyProtection="1">
      <alignment horizontal="right"/>
      <protection hidden="1"/>
    </xf>
    <xf numFmtId="0" fontId="120" fillId="35" borderId="108" xfId="0" applyFont="1" applyFill="1" applyBorder="1" applyAlignment="1" applyProtection="1">
      <alignment vertical="center"/>
      <protection hidden="1"/>
    </xf>
    <xf numFmtId="0" fontId="0" fillId="0" borderId="114" xfId="0" applyNumberFormat="1" applyFill="1" applyBorder="1" applyAlignment="1" applyProtection="1">
      <alignment horizontal="centerContinuous" vertical="center"/>
      <protection hidden="1"/>
    </xf>
    <xf numFmtId="0" fontId="100" fillId="0" borderId="108" xfId="0" applyFont="1" applyFill="1" applyBorder="1" applyProtection="1">
      <alignment vertical="center"/>
      <protection hidden="1"/>
    </xf>
    <xf numFmtId="0" fontId="6" fillId="0" borderId="114" xfId="0" applyFont="1" applyFill="1" applyBorder="1" applyAlignment="1" applyProtection="1">
      <alignment horizontal="centerContinuous" vertical="center"/>
      <protection hidden="1"/>
    </xf>
    <xf numFmtId="0" fontId="120" fillId="0" borderId="88" xfId="0" applyFont="1" applyFill="1" applyBorder="1" applyAlignment="1" applyProtection="1">
      <alignment vertical="center"/>
      <protection hidden="1"/>
    </xf>
    <xf numFmtId="0" fontId="120" fillId="0" borderId="0" xfId="0" applyFont="1" applyFill="1" applyBorder="1" applyAlignment="1" applyProtection="1">
      <alignment vertical="center"/>
      <protection hidden="1"/>
    </xf>
    <xf numFmtId="0" fontId="120" fillId="0" borderId="86" xfId="0" applyFont="1" applyFill="1" applyBorder="1" applyAlignment="1" applyProtection="1">
      <alignment vertical="center"/>
      <protection hidden="1"/>
    </xf>
    <xf numFmtId="0" fontId="103" fillId="0" borderId="88" xfId="0" applyFont="1" applyFill="1" applyBorder="1" applyAlignment="1" applyProtection="1">
      <alignment horizontal="left" vertical="center"/>
      <protection hidden="1"/>
    </xf>
    <xf numFmtId="0" fontId="41" fillId="0" borderId="57" xfId="0" applyFont="1" applyFill="1" applyBorder="1" applyAlignment="1" applyProtection="1">
      <alignment vertical="center"/>
      <protection hidden="1"/>
    </xf>
    <xf numFmtId="0" fontId="15" fillId="0" borderId="57" xfId="0" applyFont="1" applyFill="1" applyBorder="1" applyAlignment="1" applyProtection="1">
      <alignment horizontal="center" vertical="center"/>
      <protection hidden="1"/>
    </xf>
    <xf numFmtId="0" fontId="153" fillId="0" borderId="57" xfId="0" applyFont="1" applyFill="1" applyBorder="1" applyAlignment="1" applyProtection="1">
      <alignment vertical="center"/>
      <protection hidden="1"/>
    </xf>
    <xf numFmtId="0" fontId="0" fillId="0" borderId="86" xfId="0" applyFill="1" applyBorder="1">
      <alignment vertical="center"/>
    </xf>
    <xf numFmtId="0" fontId="75" fillId="0" borderId="65" xfId="0" applyNumberFormat="1" applyFont="1" applyFill="1" applyBorder="1" applyAlignment="1" applyProtection="1">
      <protection hidden="1"/>
    </xf>
    <xf numFmtId="38" fontId="75" fillId="0" borderId="10" xfId="0" applyNumberFormat="1" applyFont="1" applyFill="1" applyBorder="1" applyAlignment="1" applyProtection="1">
      <protection hidden="1"/>
    </xf>
    <xf numFmtId="0" fontId="75" fillId="0" borderId="66" xfId="0" applyNumberFormat="1" applyFont="1" applyFill="1" applyBorder="1" applyAlignment="1" applyProtection="1">
      <protection hidden="1"/>
    </xf>
    <xf numFmtId="0" fontId="41" fillId="0" borderId="0" xfId="0" applyFont="1" applyFill="1" applyBorder="1" applyAlignment="1" applyProtection="1">
      <alignment vertical="center"/>
      <protection hidden="1"/>
    </xf>
    <xf numFmtId="0" fontId="154" fillId="0" borderId="0" xfId="0" applyFont="1" applyFill="1" applyBorder="1" applyAlignment="1" applyProtection="1">
      <alignment horizontal="center" vertical="top"/>
      <protection hidden="1"/>
    </xf>
    <xf numFmtId="0" fontId="153" fillId="0" borderId="0" xfId="0" applyFont="1" applyFill="1" applyBorder="1" applyAlignment="1" applyProtection="1">
      <alignment vertical="center"/>
      <protection hidden="1"/>
    </xf>
    <xf numFmtId="0" fontId="100" fillId="0" borderId="0" xfId="0" applyFont="1" applyFill="1" applyBorder="1">
      <alignment vertical="center"/>
    </xf>
    <xf numFmtId="0" fontId="112" fillId="0" borderId="0" xfId="0" applyFont="1" applyFill="1" applyBorder="1" applyProtection="1">
      <alignment vertical="center"/>
    </xf>
    <xf numFmtId="0" fontId="155" fillId="0" borderId="57" xfId="0" applyFont="1" applyFill="1" applyBorder="1" applyAlignment="1" applyProtection="1">
      <alignment horizontal="left"/>
      <protection hidden="1"/>
    </xf>
    <xf numFmtId="0" fontId="112" fillId="0" borderId="57" xfId="0" applyFont="1" applyFill="1" applyBorder="1" applyProtection="1">
      <alignment vertical="center"/>
    </xf>
    <xf numFmtId="38" fontId="6" fillId="0" borderId="65" xfId="0" applyNumberFormat="1" applyFont="1" applyFill="1" applyBorder="1" applyProtection="1">
      <alignment vertical="center"/>
      <protection hidden="1"/>
    </xf>
    <xf numFmtId="38" fontId="6" fillId="0" borderId="10" xfId="0" applyNumberFormat="1" applyFont="1" applyFill="1" applyBorder="1" applyProtection="1">
      <alignment vertical="center"/>
      <protection hidden="1"/>
    </xf>
    <xf numFmtId="0" fontId="0" fillId="0" borderId="49" xfId="0" applyBorder="1">
      <alignment vertical="center"/>
    </xf>
    <xf numFmtId="0" fontId="103" fillId="0" borderId="0" xfId="0" applyFont="1" applyFill="1" applyBorder="1" applyAlignment="1" applyProtection="1">
      <alignment horizontal="left" vertical="center"/>
    </xf>
    <xf numFmtId="0" fontId="155" fillId="0" borderId="0" xfId="0" applyFont="1" applyFill="1" applyBorder="1" applyAlignment="1" applyProtection="1">
      <alignment horizontal="left" vertical="top"/>
      <protection hidden="1"/>
    </xf>
    <xf numFmtId="0" fontId="104" fillId="0" borderId="0" xfId="0" applyFont="1" applyFill="1" applyBorder="1" applyAlignment="1" applyProtection="1">
      <alignment vertical="center"/>
    </xf>
    <xf numFmtId="0" fontId="6" fillId="0" borderId="190" xfId="0" applyNumberFormat="1" applyFont="1" applyFill="1" applyBorder="1" applyProtection="1">
      <alignment vertical="center"/>
      <protection hidden="1"/>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vertical="center"/>
    </xf>
    <xf numFmtId="0" fontId="70" fillId="0" borderId="0" xfId="0" applyFont="1" applyFill="1" applyBorder="1" applyAlignment="1" applyProtection="1">
      <alignment horizontal="center" vertical="center"/>
      <protection hidden="1"/>
    </xf>
    <xf numFmtId="0" fontId="82" fillId="0" borderId="0" xfId="0" applyFont="1" applyFill="1" applyBorder="1" applyAlignment="1">
      <alignment vertical="center"/>
    </xf>
    <xf numFmtId="0" fontId="75" fillId="0" borderId="0" xfId="0" applyFont="1" applyFill="1" applyBorder="1" applyAlignment="1" applyProtection="1">
      <alignment vertical="center"/>
    </xf>
    <xf numFmtId="176" fontId="82" fillId="0" borderId="0" xfId="0" applyNumberFormat="1" applyFont="1" applyFill="1" applyBorder="1" applyAlignment="1">
      <alignment horizontal="center" vertical="center"/>
    </xf>
    <xf numFmtId="0" fontId="50" fillId="0" borderId="0" xfId="0" applyNumberFormat="1" applyFont="1" applyFill="1" applyBorder="1" applyAlignment="1" applyProtection="1">
      <alignment horizontal="left" vertical="center"/>
      <protection hidden="1"/>
    </xf>
    <xf numFmtId="38" fontId="75" fillId="0" borderId="57" xfId="35" applyFont="1" applyFill="1" applyBorder="1" applyAlignment="1" applyProtection="1">
      <alignment horizontal="center"/>
      <protection hidden="1"/>
    </xf>
    <xf numFmtId="38" fontId="75" fillId="0" borderId="0" xfId="35" applyFont="1" applyFill="1" applyBorder="1" applyAlignment="1" applyProtection="1">
      <alignment horizontal="center" vertical="top"/>
      <protection hidden="1"/>
    </xf>
    <xf numFmtId="0" fontId="77" fillId="0" borderId="0" xfId="0" applyFont="1" applyFill="1" applyBorder="1" applyAlignment="1" applyProtection="1">
      <alignment horizontal="right" vertical="center" shrinkToFit="1"/>
      <protection hidden="1"/>
    </xf>
    <xf numFmtId="0" fontId="158" fillId="0" borderId="0" xfId="0" applyFont="1" applyFill="1" applyBorder="1" applyAlignment="1" applyProtection="1">
      <alignment horizontal="left" vertical="top"/>
      <protection hidden="1"/>
    </xf>
    <xf numFmtId="0" fontId="104" fillId="0" borderId="0" xfId="0" applyFont="1" applyFill="1" applyBorder="1" applyAlignment="1" applyProtection="1">
      <alignment vertical="top"/>
      <protection hidden="1"/>
    </xf>
    <xf numFmtId="38" fontId="32" fillId="0" borderId="0" xfId="35" applyFont="1" applyFill="1" applyBorder="1" applyAlignment="1" applyProtection="1">
      <alignment horizontal="center" vertical="center"/>
      <protection hidden="1"/>
    </xf>
    <xf numFmtId="0" fontId="70" fillId="0" borderId="0" xfId="0" applyNumberFormat="1" applyFont="1" applyFill="1" applyBorder="1" applyAlignment="1" applyProtection="1">
      <alignment horizontal="center" vertical="center"/>
      <protection hidden="1"/>
    </xf>
    <xf numFmtId="0" fontId="103" fillId="0" borderId="103" xfId="0" applyFont="1" applyFill="1" applyBorder="1" applyAlignment="1" applyProtection="1">
      <alignment horizontal="left" vertical="center"/>
      <protection hidden="1"/>
    </xf>
    <xf numFmtId="0" fontId="103" fillId="0" borderId="154" xfId="0" applyFont="1" applyFill="1" applyBorder="1" applyAlignment="1" applyProtection="1">
      <alignment horizontal="left" vertical="center"/>
      <protection hidden="1"/>
    </xf>
    <xf numFmtId="0" fontId="103" fillId="0" borderId="154" xfId="0" applyFont="1" applyFill="1" applyBorder="1" applyAlignment="1" applyProtection="1">
      <alignment horizontal="right" vertical="center"/>
      <protection hidden="1"/>
    </xf>
    <xf numFmtId="0" fontId="103" fillId="0" borderId="154" xfId="0" applyFont="1" applyFill="1" applyBorder="1" applyAlignment="1" applyProtection="1">
      <alignment vertical="center"/>
      <protection hidden="1"/>
    </xf>
    <xf numFmtId="38" fontId="75" fillId="0" borderId="154" xfId="35" applyFont="1" applyFill="1" applyBorder="1" applyAlignment="1" applyProtection="1">
      <alignment horizontal="center" vertical="top"/>
      <protection hidden="1"/>
    </xf>
    <xf numFmtId="0" fontId="0" fillId="0" borderId="110" xfId="0" applyFill="1" applyBorder="1">
      <alignment vertical="center"/>
    </xf>
    <xf numFmtId="0" fontId="70" fillId="0" borderId="57" xfId="0" applyFont="1" applyBorder="1">
      <alignment vertical="center"/>
    </xf>
    <xf numFmtId="0" fontId="25" fillId="0" borderId="0" xfId="0" applyFont="1" applyAlignment="1">
      <alignment horizontal="right" vertical="center"/>
    </xf>
    <xf numFmtId="0" fontId="27" fillId="24" borderId="10" xfId="0" applyFont="1" applyFill="1" applyBorder="1" applyAlignment="1">
      <alignment horizontal="center" vertical="center" wrapText="1"/>
    </xf>
    <xf numFmtId="0" fontId="27" fillId="24" borderId="10" xfId="0" applyFont="1" applyFill="1" applyBorder="1" applyAlignment="1">
      <alignment horizontal="center" vertical="center"/>
    </xf>
    <xf numFmtId="0" fontId="27" fillId="24" borderId="23" xfId="0" applyFont="1" applyFill="1" applyBorder="1" applyAlignment="1">
      <alignment horizontal="center" vertical="center" wrapText="1"/>
    </xf>
    <xf numFmtId="189" fontId="27" fillId="24" borderId="10" xfId="0" applyNumberFormat="1" applyFont="1" applyFill="1" applyBorder="1" applyAlignment="1">
      <alignment horizontal="center" vertical="center"/>
    </xf>
    <xf numFmtId="0" fontId="27" fillId="24" borderId="10" xfId="0" applyFont="1" applyFill="1" applyBorder="1" applyAlignment="1">
      <alignment vertical="center"/>
    </xf>
    <xf numFmtId="0" fontId="27" fillId="24" borderId="22" xfId="0" applyFont="1" applyFill="1" applyBorder="1" applyAlignment="1">
      <alignment horizontal="center" vertical="center"/>
    </xf>
    <xf numFmtId="0" fontId="27" fillId="24" borderId="50" xfId="0" applyFont="1" applyFill="1" applyBorder="1" applyAlignment="1">
      <alignment horizontal="center" vertical="center" wrapText="1"/>
    </xf>
    <xf numFmtId="195" fontId="27" fillId="24" borderId="10" xfId="0" applyNumberFormat="1" applyFont="1" applyFill="1" applyBorder="1" applyAlignment="1">
      <alignment horizontal="center" vertical="center"/>
    </xf>
    <xf numFmtId="0" fontId="27" fillId="24" borderId="10" xfId="0" applyFont="1" applyFill="1" applyBorder="1" applyAlignment="1">
      <alignment vertical="center" wrapText="1"/>
    </xf>
    <xf numFmtId="0" fontId="27" fillId="24" borderId="59" xfId="0" applyFont="1" applyFill="1" applyBorder="1" applyAlignment="1">
      <alignment horizontal="center" vertical="center" wrapText="1"/>
    </xf>
    <xf numFmtId="178" fontId="27" fillId="24" borderId="10" xfId="0" applyNumberFormat="1" applyFont="1" applyFill="1" applyBorder="1" applyAlignment="1">
      <alignment horizontal="center" vertical="center"/>
    </xf>
    <xf numFmtId="0" fontId="27" fillId="24" borderId="10" xfId="0" applyFont="1" applyFill="1" applyBorder="1" applyAlignment="1" applyProtection="1">
      <alignment vertical="center" wrapText="1"/>
    </xf>
    <xf numFmtId="0" fontId="27" fillId="24" borderId="10" xfId="0" applyFont="1" applyFill="1" applyBorder="1" applyAlignment="1">
      <alignment horizontal="left" vertical="center" wrapText="1"/>
    </xf>
    <xf numFmtId="0" fontId="27" fillId="24" borderId="10" xfId="0" applyFont="1" applyFill="1" applyBorder="1" applyAlignment="1">
      <alignment horizontal="left" vertical="center" wrapText="1" shrinkToFit="1"/>
    </xf>
    <xf numFmtId="0" fontId="27" fillId="24" borderId="10" xfId="0" applyFont="1" applyFill="1" applyBorder="1" applyAlignment="1">
      <alignment horizontal="center" vertical="center" wrapText="1" shrinkToFit="1"/>
    </xf>
    <xf numFmtId="0" fontId="27" fillId="24" borderId="23" xfId="0" applyFont="1" applyFill="1" applyBorder="1" applyAlignment="1">
      <alignment horizontal="left" vertical="center" wrapText="1"/>
    </xf>
    <xf numFmtId="0" fontId="27" fillId="24" borderId="23" xfId="0" applyFont="1" applyFill="1" applyBorder="1" applyAlignment="1">
      <alignment horizontal="center" vertical="center" wrapText="1" shrinkToFit="1"/>
    </xf>
    <xf numFmtId="0" fontId="27" fillId="24" borderId="23" xfId="0" applyFont="1" applyFill="1" applyBorder="1" applyAlignment="1">
      <alignment vertical="center" wrapText="1"/>
    </xf>
    <xf numFmtId="0" fontId="27" fillId="24" borderId="20" xfId="0" applyFont="1" applyFill="1" applyBorder="1" applyAlignment="1">
      <alignment horizontal="center" vertical="center" wrapText="1"/>
    </xf>
    <xf numFmtId="0" fontId="27" fillId="24" borderId="48" xfId="0" applyFont="1" applyFill="1" applyBorder="1" applyAlignment="1">
      <alignment horizontal="left" vertical="center"/>
    </xf>
    <xf numFmtId="0" fontId="27" fillId="24" borderId="49" xfId="0" applyFont="1" applyFill="1" applyBorder="1" applyAlignment="1">
      <alignment horizontal="left" vertical="center" wrapText="1"/>
    </xf>
    <xf numFmtId="0" fontId="27" fillId="24" borderId="49" xfId="0" applyFont="1" applyFill="1" applyBorder="1" applyAlignment="1">
      <alignment horizontal="left" vertical="center" wrapText="1" shrinkToFit="1"/>
    </xf>
    <xf numFmtId="0" fontId="27" fillId="24" borderId="50" xfId="0" applyFont="1" applyFill="1" applyBorder="1" applyAlignment="1">
      <alignment vertical="center" wrapText="1"/>
    </xf>
    <xf numFmtId="0" fontId="27" fillId="24" borderId="193" xfId="0" applyFont="1" applyFill="1" applyBorder="1" applyAlignment="1">
      <alignment horizontal="center" vertical="center" wrapText="1"/>
    </xf>
    <xf numFmtId="40" fontId="27" fillId="24" borderId="193" xfId="0" applyNumberFormat="1" applyFont="1" applyFill="1" applyBorder="1" applyAlignment="1">
      <alignment horizontal="center" vertical="center" wrapText="1"/>
    </xf>
    <xf numFmtId="177" fontId="27" fillId="24" borderId="193" xfId="0" applyNumberFormat="1" applyFont="1" applyFill="1" applyBorder="1" applyAlignment="1">
      <alignment horizontal="center" vertical="center" wrapText="1" shrinkToFit="1"/>
    </xf>
    <xf numFmtId="0" fontId="27" fillId="24" borderId="145" xfId="0" applyFont="1" applyFill="1" applyBorder="1" applyAlignment="1" applyProtection="1">
      <alignment vertical="center" wrapText="1"/>
    </xf>
    <xf numFmtId="0" fontId="27" fillId="24" borderId="54" xfId="0" applyFont="1" applyFill="1" applyBorder="1" applyAlignment="1">
      <alignment horizontal="center" vertical="center" wrapText="1"/>
    </xf>
    <xf numFmtId="40" fontId="27" fillId="24" borderId="54" xfId="0" applyNumberFormat="1" applyFont="1" applyFill="1" applyBorder="1" applyAlignment="1">
      <alignment horizontal="center" vertical="center" wrapText="1"/>
    </xf>
    <xf numFmtId="177" fontId="27" fillId="24" borderId="54" xfId="0" applyNumberFormat="1" applyFont="1" applyFill="1" applyBorder="1" applyAlignment="1">
      <alignment horizontal="center" vertical="center" wrapText="1" shrinkToFit="1"/>
    </xf>
    <xf numFmtId="0" fontId="27" fillId="24" borderId="193" xfId="0" applyFont="1" applyFill="1" applyBorder="1" applyAlignment="1" applyProtection="1">
      <alignment vertical="center" wrapText="1"/>
    </xf>
    <xf numFmtId="0" fontId="27" fillId="24" borderId="54" xfId="0" applyFont="1" applyFill="1" applyBorder="1" applyAlignment="1" applyProtection="1">
      <alignment vertical="center" wrapText="1"/>
    </xf>
    <xf numFmtId="0" fontId="27" fillId="24" borderId="194" xfId="0" applyFont="1" applyFill="1" applyBorder="1" applyAlignment="1">
      <alignment horizontal="center" vertical="center" wrapText="1"/>
    </xf>
    <xf numFmtId="0" fontId="27" fillId="24" borderId="194" xfId="0" applyFont="1" applyFill="1" applyBorder="1" applyAlignment="1">
      <alignment horizontal="center" vertical="center" wrapText="1" shrinkToFit="1"/>
    </xf>
    <xf numFmtId="0" fontId="27" fillId="24" borderId="194" xfId="0" applyFont="1" applyFill="1" applyBorder="1" applyAlignment="1" applyProtection="1">
      <alignment vertical="center" wrapText="1"/>
    </xf>
    <xf numFmtId="0" fontId="27" fillId="24" borderId="50" xfId="0" applyFont="1" applyFill="1" applyBorder="1" applyAlignment="1" applyProtection="1">
      <alignment vertical="center" wrapText="1"/>
    </xf>
    <xf numFmtId="0" fontId="27" fillId="24" borderId="52" xfId="0" applyFont="1" applyFill="1" applyBorder="1" applyAlignment="1">
      <alignment horizontal="left" vertical="center" wrapText="1" shrinkToFit="1"/>
    </xf>
    <xf numFmtId="0" fontId="27" fillId="24" borderId="53" xfId="0" applyFont="1" applyFill="1" applyBorder="1" applyAlignment="1">
      <alignment vertical="center"/>
    </xf>
    <xf numFmtId="9" fontId="27" fillId="24" borderId="149" xfId="0" applyNumberFormat="1" applyFont="1" applyFill="1" applyBorder="1" applyAlignment="1">
      <alignment horizontal="center" vertical="center" wrapText="1"/>
    </xf>
    <xf numFmtId="9" fontId="27" fillId="27" borderId="195" xfId="0" applyNumberFormat="1" applyFont="1" applyFill="1" applyBorder="1" applyAlignment="1" applyProtection="1">
      <alignment horizontal="center" vertical="center" wrapText="1"/>
      <protection locked="0"/>
    </xf>
    <xf numFmtId="0" fontId="27" fillId="27" borderId="196" xfId="0" applyFont="1" applyFill="1" applyBorder="1" applyAlignment="1" applyProtection="1">
      <alignment vertical="center"/>
      <protection locked="0"/>
    </xf>
    <xf numFmtId="9" fontId="27" fillId="27" borderId="69" xfId="0" applyNumberFormat="1" applyFont="1" applyFill="1" applyBorder="1" applyAlignment="1" applyProtection="1">
      <alignment horizontal="center" vertical="center" wrapText="1"/>
      <protection locked="0"/>
    </xf>
    <xf numFmtId="0" fontId="27" fillId="27" borderId="197" xfId="0" applyFont="1" applyFill="1" applyBorder="1" applyAlignment="1" applyProtection="1">
      <alignment vertical="center"/>
      <protection locked="0"/>
    </xf>
    <xf numFmtId="9" fontId="27" fillId="24" borderId="149" xfId="0" applyNumberFormat="1" applyFont="1" applyFill="1" applyBorder="1" applyAlignment="1" applyProtection="1">
      <alignment horizontal="center" vertical="center" wrapText="1"/>
    </xf>
    <xf numFmtId="0" fontId="27" fillId="24" borderId="148" xfId="0" applyFont="1" applyFill="1" applyBorder="1" applyAlignment="1">
      <alignment horizontal="center" vertical="center" wrapText="1"/>
    </xf>
    <xf numFmtId="9" fontId="27" fillId="24" borderId="152" xfId="0" applyNumberFormat="1" applyFont="1" applyFill="1" applyBorder="1" applyAlignment="1">
      <alignment horizontal="center" vertical="center" wrapText="1" shrinkToFit="1"/>
    </xf>
    <xf numFmtId="9" fontId="27" fillId="24" borderId="152" xfId="0" applyNumberFormat="1" applyFont="1" applyFill="1" applyBorder="1" applyAlignment="1" applyProtection="1">
      <alignment horizontal="center" vertical="center" wrapText="1" shrinkToFit="1"/>
    </xf>
    <xf numFmtId="0" fontId="27" fillId="24" borderId="59" xfId="0" applyFont="1" applyFill="1" applyBorder="1" applyAlignment="1" applyProtection="1">
      <alignment vertical="center" wrapText="1"/>
    </xf>
    <xf numFmtId="0" fontId="27" fillId="24" borderId="53" xfId="0" applyFont="1" applyFill="1" applyBorder="1" applyAlignment="1">
      <alignment horizontal="center" vertical="center" wrapText="1"/>
    </xf>
    <xf numFmtId="178" fontId="27" fillId="24" borderId="23" xfId="0" applyNumberFormat="1" applyFont="1" applyFill="1" applyBorder="1" applyAlignment="1">
      <alignment horizontal="center" vertical="center"/>
    </xf>
    <xf numFmtId="178" fontId="27" fillId="24" borderId="59" xfId="0" applyNumberFormat="1" applyFont="1" applyFill="1" applyBorder="1" applyAlignment="1">
      <alignment horizontal="center" vertical="center"/>
    </xf>
    <xf numFmtId="0" fontId="27" fillId="24" borderId="48" xfId="0" applyFont="1" applyFill="1" applyBorder="1" applyAlignment="1">
      <alignment horizontal="center" vertical="center" wrapText="1"/>
    </xf>
    <xf numFmtId="0" fontId="27" fillId="24" borderId="49" xfId="0" applyFont="1" applyFill="1" applyBorder="1" applyAlignment="1">
      <alignment horizontal="center" vertical="center"/>
    </xf>
    <xf numFmtId="0" fontId="27" fillId="24" borderId="145" xfId="0" applyFont="1" applyFill="1" applyBorder="1" applyAlignment="1">
      <alignment horizontal="center" vertical="center" wrapText="1"/>
    </xf>
    <xf numFmtId="195" fontId="27" fillId="24" borderId="59" xfId="0" applyNumberFormat="1" applyFont="1" applyFill="1" applyBorder="1" applyAlignment="1">
      <alignment horizontal="center" vertical="center"/>
    </xf>
    <xf numFmtId="0" fontId="27" fillId="24" borderId="59" xfId="0" applyFont="1" applyFill="1" applyBorder="1" applyAlignment="1">
      <alignment vertical="center" wrapText="1"/>
    </xf>
    <xf numFmtId="0" fontId="27" fillId="24" borderId="151" xfId="0" applyFont="1" applyFill="1" applyBorder="1" applyAlignment="1">
      <alignment horizontal="center" vertical="center" wrapText="1"/>
    </xf>
    <xf numFmtId="195" fontId="27" fillId="24" borderId="54" xfId="0" applyNumberFormat="1" applyFont="1" applyFill="1" applyBorder="1" applyAlignment="1">
      <alignment horizontal="center" vertical="center"/>
    </xf>
    <xf numFmtId="0" fontId="27" fillId="24" borderId="54" xfId="0" applyFont="1" applyFill="1" applyBorder="1" applyAlignment="1">
      <alignment vertical="center" wrapText="1"/>
    </xf>
    <xf numFmtId="9" fontId="27" fillId="24" borderId="59" xfId="0" applyNumberFormat="1" applyFont="1" applyFill="1" applyBorder="1" applyAlignment="1">
      <alignment horizontal="center" vertical="center"/>
    </xf>
    <xf numFmtId="0" fontId="27" fillId="24" borderId="59" xfId="0" applyFont="1" applyFill="1" applyBorder="1" applyAlignment="1">
      <alignment vertical="center"/>
    </xf>
    <xf numFmtId="9" fontId="27" fillId="24" borderId="54" xfId="0" applyNumberFormat="1" applyFont="1" applyFill="1" applyBorder="1" applyAlignment="1">
      <alignment horizontal="center" vertical="center"/>
    </xf>
    <xf numFmtId="0" fontId="27" fillId="24" borderId="54" xfId="0" applyFont="1" applyFill="1" applyBorder="1" applyAlignment="1">
      <alignment vertical="center"/>
    </xf>
    <xf numFmtId="0" fontId="27" fillId="24" borderId="58" xfId="0" applyFont="1" applyFill="1" applyBorder="1" applyAlignment="1">
      <alignment horizontal="center" vertical="center" wrapText="1"/>
    </xf>
    <xf numFmtId="9" fontId="27" fillId="24" borderId="22" xfId="0" applyNumberFormat="1" applyFont="1" applyFill="1" applyBorder="1" applyAlignment="1">
      <alignment horizontal="center" vertical="center"/>
    </xf>
    <xf numFmtId="0" fontId="27" fillId="24" borderId="22" xfId="0" applyFont="1" applyFill="1" applyBorder="1" applyAlignment="1">
      <alignment vertical="center"/>
    </xf>
    <xf numFmtId="0" fontId="27" fillId="24" borderId="22" xfId="0" applyFont="1" applyFill="1" applyBorder="1" applyAlignment="1">
      <alignment horizontal="center" vertical="center" wrapText="1"/>
    </xf>
    <xf numFmtId="38" fontId="27" fillId="24" borderId="23" xfId="35" applyFont="1" applyFill="1" applyBorder="1" applyAlignment="1">
      <alignment horizontal="center" vertical="center" wrapText="1"/>
    </xf>
    <xf numFmtId="0" fontId="27" fillId="24" borderId="23" xfId="0" applyFont="1" applyFill="1" applyBorder="1" applyAlignment="1">
      <alignment vertical="center"/>
    </xf>
    <xf numFmtId="0" fontId="27" fillId="24" borderId="48" xfId="0" applyFont="1" applyFill="1" applyBorder="1" applyAlignment="1">
      <alignment vertical="center"/>
    </xf>
    <xf numFmtId="0" fontId="27" fillId="24" borderId="50" xfId="0" applyFont="1" applyFill="1" applyBorder="1" applyAlignment="1">
      <alignment vertical="center"/>
    </xf>
    <xf numFmtId="0" fontId="27" fillId="24" borderId="150" xfId="0" applyFont="1" applyFill="1" applyBorder="1" applyAlignment="1">
      <alignment horizontal="center" vertical="center" shrinkToFit="1"/>
    </xf>
    <xf numFmtId="198" fontId="27" fillId="24" borderId="193" xfId="0" applyNumberFormat="1" applyFont="1" applyFill="1" applyBorder="1" applyAlignment="1">
      <alignment horizontal="center" vertical="center"/>
    </xf>
    <xf numFmtId="0" fontId="27" fillId="24" borderId="193" xfId="0" applyFont="1" applyFill="1" applyBorder="1" applyAlignment="1">
      <alignment horizontal="center" vertical="center"/>
    </xf>
    <xf numFmtId="0" fontId="27" fillId="24" borderId="56" xfId="0" applyFont="1" applyFill="1" applyBorder="1" applyAlignment="1">
      <alignment horizontal="center" vertical="center"/>
    </xf>
    <xf numFmtId="0" fontId="27" fillId="24" borderId="54" xfId="0" applyFont="1" applyFill="1" applyBorder="1" applyAlignment="1">
      <alignment horizontal="center" vertical="center"/>
    </xf>
    <xf numFmtId="0" fontId="27" fillId="24" borderId="153" xfId="0" applyFont="1" applyFill="1" applyBorder="1" applyAlignment="1">
      <alignment horizontal="center" vertical="center" wrapText="1"/>
    </xf>
    <xf numFmtId="0" fontId="27" fillId="24" borderId="148" xfId="0" applyFont="1" applyFill="1" applyBorder="1" applyAlignment="1">
      <alignment horizontal="center" vertical="center"/>
    </xf>
    <xf numFmtId="0" fontId="27" fillId="24" borderId="0" xfId="0" applyFont="1" applyFill="1" applyBorder="1" applyAlignment="1">
      <alignment horizontal="center" vertical="center" wrapText="1"/>
    </xf>
    <xf numFmtId="0" fontId="27" fillId="27" borderId="22" xfId="0" applyFont="1" applyFill="1" applyBorder="1" applyAlignment="1" applyProtection="1">
      <alignment horizontal="center" vertical="center"/>
      <protection locked="0"/>
    </xf>
    <xf numFmtId="0" fontId="27" fillId="27" borderId="22" xfId="0" applyFont="1" applyFill="1" applyBorder="1" applyAlignment="1" applyProtection="1">
      <alignment vertical="center"/>
      <protection locked="0"/>
    </xf>
    <xf numFmtId="0" fontId="27" fillId="27" borderId="10" xfId="0" applyFont="1" applyFill="1" applyBorder="1" applyAlignment="1" applyProtection="1">
      <alignment horizontal="center" vertical="center"/>
      <protection locked="0"/>
    </xf>
    <xf numFmtId="0" fontId="27" fillId="27" borderId="10" xfId="0" applyFont="1" applyFill="1" applyBorder="1" applyAlignment="1" applyProtection="1">
      <alignment vertical="center"/>
      <protection locked="0"/>
    </xf>
    <xf numFmtId="195" fontId="27" fillId="27" borderId="10" xfId="0" applyNumberFormat="1" applyFont="1" applyFill="1" applyBorder="1" applyAlignment="1" applyProtection="1">
      <alignment horizontal="center" vertical="center"/>
      <protection locked="0"/>
    </xf>
    <xf numFmtId="0" fontId="27" fillId="27" borderId="10" xfId="0" applyFont="1" applyFill="1" applyBorder="1" applyAlignment="1" applyProtection="1">
      <alignment vertical="center" wrapText="1"/>
      <protection locked="0"/>
    </xf>
    <xf numFmtId="178" fontId="27" fillId="27" borderId="10" xfId="0" applyNumberFormat="1" applyFont="1" applyFill="1" applyBorder="1" applyAlignment="1" applyProtection="1">
      <alignment horizontal="center" vertical="center"/>
      <protection locked="0"/>
    </xf>
    <xf numFmtId="0" fontId="27" fillId="27" borderId="10" xfId="0" applyFont="1" applyFill="1" applyBorder="1" applyAlignment="1" applyProtection="1">
      <alignment horizontal="left" vertical="center" wrapText="1"/>
      <protection locked="0"/>
    </xf>
    <xf numFmtId="0" fontId="27" fillId="27" borderId="10" xfId="0" applyFont="1" applyFill="1" applyBorder="1" applyAlignment="1" applyProtection="1">
      <alignment horizontal="left" vertical="center" wrapText="1" shrinkToFit="1"/>
      <protection locked="0"/>
    </xf>
    <xf numFmtId="0" fontId="27" fillId="27" borderId="10" xfId="0" applyFont="1" applyFill="1" applyBorder="1" applyAlignment="1" applyProtection="1">
      <alignment horizontal="center" vertical="center" wrapText="1" shrinkToFit="1"/>
      <protection locked="0"/>
    </xf>
    <xf numFmtId="0" fontId="27" fillId="27" borderId="145" xfId="0" applyFont="1" applyFill="1" applyBorder="1" applyAlignment="1" applyProtection="1">
      <alignment horizontal="center" vertical="center" wrapText="1"/>
      <protection locked="0"/>
    </xf>
    <xf numFmtId="0" fontId="27" fillId="27" borderId="145" xfId="0" applyFont="1" applyFill="1" applyBorder="1" applyAlignment="1" applyProtection="1">
      <alignment horizontal="center" vertical="center" wrapText="1" shrinkToFit="1"/>
      <protection locked="0"/>
    </xf>
    <xf numFmtId="0" fontId="27" fillId="27" borderId="145" xfId="0" applyFont="1" applyFill="1" applyBorder="1" applyAlignment="1" applyProtection="1">
      <alignment vertical="center" wrapText="1"/>
      <protection locked="0"/>
    </xf>
    <xf numFmtId="0" fontId="27" fillId="24" borderId="54" xfId="0" applyFont="1" applyFill="1" applyBorder="1" applyAlignment="1">
      <alignment horizontal="center" vertical="center" shrinkToFit="1"/>
    </xf>
    <xf numFmtId="0" fontId="27" fillId="27" borderId="54" xfId="0" applyFont="1" applyFill="1" applyBorder="1" applyAlignment="1" applyProtection="1">
      <alignment horizontal="center" vertical="center" wrapText="1"/>
      <protection locked="0"/>
    </xf>
    <xf numFmtId="0" fontId="27" fillId="27" borderId="54" xfId="0" applyFont="1" applyFill="1" applyBorder="1" applyAlignment="1" applyProtection="1">
      <alignment horizontal="center" vertical="center" wrapText="1" shrinkToFit="1"/>
      <protection locked="0"/>
    </xf>
    <xf numFmtId="0" fontId="27" fillId="27" borderId="193" xfId="0" applyFont="1" applyFill="1" applyBorder="1" applyAlignment="1" applyProtection="1">
      <alignment vertical="center" wrapText="1"/>
      <protection locked="0"/>
    </xf>
    <xf numFmtId="0" fontId="27" fillId="27" borderId="54" xfId="0" applyFont="1" applyFill="1" applyBorder="1" applyAlignment="1" applyProtection="1">
      <alignment vertical="center" wrapText="1"/>
      <protection locked="0"/>
    </xf>
    <xf numFmtId="0" fontId="27" fillId="27" borderId="194" xfId="0" applyFont="1" applyFill="1" applyBorder="1" applyAlignment="1" applyProtection="1">
      <alignment horizontal="center" vertical="center" wrapText="1"/>
      <protection locked="0"/>
    </xf>
    <xf numFmtId="0" fontId="27" fillId="27" borderId="194" xfId="0" applyFont="1" applyFill="1" applyBorder="1" applyAlignment="1" applyProtection="1">
      <alignment horizontal="center" vertical="center" wrapText="1" shrinkToFit="1"/>
      <protection locked="0"/>
    </xf>
    <xf numFmtId="0" fontId="27" fillId="27" borderId="194" xfId="0" applyFont="1" applyFill="1" applyBorder="1" applyAlignment="1" applyProtection="1">
      <alignment vertical="center" wrapText="1"/>
      <protection locked="0"/>
    </xf>
    <xf numFmtId="0" fontId="27" fillId="27" borderId="193" xfId="0" applyFont="1" applyFill="1" applyBorder="1" applyAlignment="1" applyProtection="1">
      <alignment horizontal="center" vertical="center" wrapText="1"/>
      <protection locked="0"/>
    </xf>
    <xf numFmtId="0" fontId="27" fillId="27" borderId="193" xfId="0" applyFont="1" applyFill="1" applyBorder="1" applyAlignment="1" applyProtection="1">
      <alignment horizontal="center" vertical="center" wrapText="1" shrinkToFit="1"/>
      <protection locked="0"/>
    </xf>
    <xf numFmtId="0" fontId="27" fillId="24" borderId="54" xfId="0" applyFont="1" applyFill="1" applyBorder="1" applyAlignment="1" applyProtection="1">
      <alignment horizontal="center" vertical="center" wrapText="1"/>
      <protection locked="0"/>
    </xf>
    <xf numFmtId="9" fontId="27" fillId="27" borderId="193" xfId="0" applyNumberFormat="1" applyFont="1" applyFill="1" applyBorder="1" applyAlignment="1" applyProtection="1">
      <alignment horizontal="center" vertical="center" wrapText="1"/>
      <protection locked="0"/>
    </xf>
    <xf numFmtId="0" fontId="27" fillId="27" borderId="193" xfId="0" applyFont="1" applyFill="1" applyBorder="1" applyAlignment="1" applyProtection="1">
      <alignment vertical="center"/>
      <protection locked="0"/>
    </xf>
    <xf numFmtId="0" fontId="27" fillId="27" borderId="54" xfId="0" applyFont="1" applyFill="1" applyBorder="1" applyAlignment="1" applyProtection="1">
      <alignment vertical="center"/>
      <protection locked="0"/>
    </xf>
    <xf numFmtId="9" fontId="27" fillId="27" borderId="148" xfId="0" applyNumberFormat="1" applyFont="1" applyFill="1" applyBorder="1" applyAlignment="1" applyProtection="1">
      <alignment horizontal="center" vertical="center" wrapText="1" shrinkToFit="1"/>
      <protection locked="0"/>
    </xf>
    <xf numFmtId="0" fontId="27" fillId="27" borderId="148" xfId="0" applyFont="1" applyFill="1" applyBorder="1" applyAlignment="1" applyProtection="1">
      <alignment vertical="center"/>
      <protection locked="0"/>
    </xf>
    <xf numFmtId="178" fontId="27" fillId="27" borderId="23" xfId="0" applyNumberFormat="1" applyFont="1" applyFill="1" applyBorder="1" applyAlignment="1" applyProtection="1">
      <alignment horizontal="center" vertical="center"/>
      <protection locked="0"/>
    </xf>
    <xf numFmtId="195" fontId="27" fillId="27" borderId="22" xfId="0" applyNumberFormat="1" applyFont="1" applyFill="1" applyBorder="1" applyAlignment="1" applyProtection="1">
      <alignment horizontal="center" vertical="center"/>
      <protection locked="0"/>
    </xf>
    <xf numFmtId="0" fontId="27" fillId="27" borderId="22" xfId="0" applyFont="1" applyFill="1" applyBorder="1" applyAlignment="1" applyProtection="1">
      <alignment vertical="center" wrapText="1"/>
      <protection locked="0"/>
    </xf>
    <xf numFmtId="195" fontId="27" fillId="27" borderId="23" xfId="0" applyNumberFormat="1" applyFont="1" applyFill="1" applyBorder="1" applyAlignment="1" applyProtection="1">
      <alignment horizontal="center" vertical="center"/>
      <protection locked="0"/>
    </xf>
    <xf numFmtId="0" fontId="27" fillId="27" borderId="23" xfId="0" applyFont="1" applyFill="1" applyBorder="1" applyAlignment="1" applyProtection="1">
      <alignment vertical="center" wrapText="1"/>
      <protection locked="0"/>
    </xf>
    <xf numFmtId="9" fontId="27" fillId="27" borderId="22" xfId="0" applyNumberFormat="1" applyFont="1" applyFill="1" applyBorder="1" applyAlignment="1" applyProtection="1">
      <alignment horizontal="center" vertical="center"/>
      <protection locked="0"/>
    </xf>
    <xf numFmtId="9" fontId="27" fillId="27" borderId="10" xfId="0" applyNumberFormat="1" applyFont="1" applyFill="1" applyBorder="1" applyAlignment="1" applyProtection="1">
      <alignment horizontal="center" vertical="center"/>
      <protection locked="0"/>
    </xf>
    <xf numFmtId="0" fontId="27" fillId="27" borderId="10" xfId="0" applyFont="1" applyFill="1" applyBorder="1" applyAlignment="1" applyProtection="1">
      <alignment horizontal="center" vertical="center" wrapText="1"/>
      <protection locked="0"/>
    </xf>
    <xf numFmtId="38" fontId="27" fillId="27" borderId="23" xfId="35" applyFont="1" applyFill="1" applyBorder="1" applyAlignment="1" applyProtection="1">
      <alignment horizontal="center" vertical="center" wrapText="1"/>
      <protection locked="0"/>
    </xf>
    <xf numFmtId="0" fontId="27" fillId="27" borderId="23" xfId="0" applyFont="1" applyFill="1" applyBorder="1" applyAlignment="1" applyProtection="1">
      <alignment vertical="center"/>
      <protection locked="0"/>
    </xf>
    <xf numFmtId="0" fontId="27" fillId="27" borderId="193" xfId="0" applyFont="1" applyFill="1" applyBorder="1" applyAlignment="1" applyProtection="1">
      <alignment horizontal="center" vertical="center"/>
      <protection locked="0"/>
    </xf>
    <xf numFmtId="0" fontId="27" fillId="27" borderId="54" xfId="0" applyFont="1" applyFill="1" applyBorder="1" applyAlignment="1" applyProtection="1">
      <alignment horizontal="center" vertical="center"/>
      <protection locked="0"/>
    </xf>
    <xf numFmtId="0" fontId="27" fillId="27" borderId="148" xfId="0" applyFont="1" applyFill="1" applyBorder="1" applyAlignment="1" applyProtection="1">
      <alignment horizontal="center" vertical="center"/>
      <protection locked="0"/>
    </xf>
    <xf numFmtId="0" fontId="60" fillId="28" borderId="73" xfId="0" applyNumberFormat="1" applyFont="1" applyFill="1" applyBorder="1" applyAlignment="1" applyProtection="1">
      <alignment vertical="center"/>
    </xf>
    <xf numFmtId="0" fontId="49" fillId="28" borderId="79" xfId="0" applyFont="1" applyFill="1" applyBorder="1" applyAlignment="1" applyProtection="1">
      <alignment horizontal="left" vertical="center"/>
    </xf>
    <xf numFmtId="0" fontId="49" fillId="28" borderId="79" xfId="0" applyFont="1" applyFill="1" applyBorder="1" applyAlignment="1" applyProtection="1">
      <alignment vertical="center"/>
    </xf>
    <xf numFmtId="0" fontId="85" fillId="28" borderId="108" xfId="0" applyFont="1" applyFill="1" applyBorder="1" applyAlignment="1" applyProtection="1">
      <alignment vertical="center"/>
    </xf>
    <xf numFmtId="0" fontId="60" fillId="35" borderId="73" xfId="0" applyFont="1" applyFill="1" applyBorder="1" applyAlignment="1" applyProtection="1">
      <alignment vertical="center"/>
    </xf>
    <xf numFmtId="0" fontId="31" fillId="35" borderId="79" xfId="44" applyFont="1" applyFill="1" applyBorder="1" applyAlignment="1" applyProtection="1">
      <alignment vertical="center"/>
    </xf>
    <xf numFmtId="0" fontId="31" fillId="35" borderId="79" xfId="44" applyFont="1" applyFill="1" applyBorder="1" applyAlignment="1" applyProtection="1">
      <alignment horizontal="left" vertical="center"/>
    </xf>
    <xf numFmtId="0" fontId="31" fillId="35" borderId="79" xfId="44" applyNumberFormat="1" applyFont="1" applyFill="1" applyBorder="1" applyAlignment="1" applyProtection="1">
      <alignment vertical="center"/>
    </xf>
    <xf numFmtId="0" fontId="2" fillId="35" borderId="79" xfId="44" applyNumberFormat="1" applyFont="1" applyFill="1" applyBorder="1" applyAlignment="1" applyProtection="1">
      <alignment vertical="center"/>
    </xf>
    <xf numFmtId="0" fontId="2" fillId="35" borderId="79" xfId="0" applyFont="1" applyFill="1" applyBorder="1" applyAlignment="1" applyProtection="1">
      <alignment horizontal="center" vertical="center"/>
    </xf>
    <xf numFmtId="0" fontId="2" fillId="35" borderId="79" xfId="0" applyFont="1" applyFill="1" applyBorder="1" applyAlignment="1" applyProtection="1">
      <alignment vertical="center"/>
    </xf>
    <xf numFmtId="0" fontId="49" fillId="35" borderId="79" xfId="0" applyFont="1" applyFill="1" applyBorder="1" applyAlignment="1" applyProtection="1">
      <alignment vertical="center"/>
    </xf>
    <xf numFmtId="0" fontId="31" fillId="35" borderId="108" xfId="44" applyFont="1" applyFill="1" applyBorder="1" applyAlignment="1" applyProtection="1">
      <alignment vertical="center"/>
    </xf>
    <xf numFmtId="0" fontId="27" fillId="0" borderId="0" xfId="0" applyFont="1" applyBorder="1">
      <alignment vertical="center"/>
    </xf>
    <xf numFmtId="0" fontId="60" fillId="24" borderId="88" xfId="0" applyFont="1" applyFill="1" applyBorder="1" applyAlignment="1" applyProtection="1">
      <alignment vertical="center"/>
    </xf>
    <xf numFmtId="0" fontId="31" fillId="24" borderId="0" xfId="44" applyFont="1" applyFill="1" applyBorder="1" applyAlignment="1" applyProtection="1">
      <alignment vertical="center"/>
    </xf>
    <xf numFmtId="0" fontId="31" fillId="24" borderId="0" xfId="44" applyFont="1" applyFill="1" applyBorder="1" applyAlignment="1" applyProtection="1">
      <alignment horizontal="left" vertical="center"/>
    </xf>
    <xf numFmtId="0" fontId="31" fillId="24" borderId="0" xfId="44" applyNumberFormat="1" applyFont="1" applyFill="1" applyBorder="1" applyAlignment="1" applyProtection="1">
      <alignment vertical="center"/>
    </xf>
    <xf numFmtId="0" fontId="2" fillId="24" borderId="0" xfId="44" applyNumberFormat="1" applyFont="1" applyFill="1" applyBorder="1" applyAlignment="1" applyProtection="1">
      <alignment vertical="center"/>
    </xf>
    <xf numFmtId="0" fontId="27" fillId="24" borderId="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49" fillId="24" borderId="0" xfId="0" applyFont="1" applyFill="1" applyBorder="1" applyAlignment="1" applyProtection="1">
      <alignment vertical="center"/>
    </xf>
    <xf numFmtId="0" fontId="32" fillId="24" borderId="88" xfId="44" applyFont="1" applyFill="1" applyBorder="1" applyAlignment="1" applyProtection="1">
      <alignment vertical="center"/>
    </xf>
    <xf numFmtId="0" fontId="27" fillId="24" borderId="0" xfId="44" applyFont="1" applyFill="1" applyBorder="1" applyAlignment="1" applyProtection="1">
      <alignment horizontal="right" vertical="center"/>
    </xf>
    <xf numFmtId="0" fontId="6" fillId="24" borderId="0" xfId="44" applyFont="1" applyFill="1" applyBorder="1" applyAlignment="1" applyProtection="1">
      <alignment vertical="center"/>
    </xf>
    <xf numFmtId="0" fontId="27" fillId="24" borderId="86" xfId="44" applyFont="1" applyFill="1" applyBorder="1" applyAlignment="1" applyProtection="1">
      <alignment horizontal="right" vertical="center"/>
    </xf>
    <xf numFmtId="0" fontId="41" fillId="24" borderId="0" xfId="44" applyFont="1" applyFill="1" applyBorder="1" applyAlignment="1" applyProtection="1">
      <alignment vertical="center"/>
    </xf>
    <xf numFmtId="0" fontId="110" fillId="24" borderId="0" xfId="44" applyFont="1" applyFill="1" applyBorder="1" applyAlignment="1" applyProtection="1">
      <alignment horizontal="left" vertical="center"/>
    </xf>
    <xf numFmtId="0" fontId="27" fillId="24" borderId="0" xfId="44" applyFont="1" applyFill="1" applyBorder="1" applyAlignment="1" applyProtection="1">
      <alignment vertical="center"/>
      <protection hidden="1"/>
    </xf>
    <xf numFmtId="0" fontId="27" fillId="26" borderId="10" xfId="44" applyFont="1" applyFill="1" applyBorder="1" applyAlignment="1" applyProtection="1">
      <alignment horizontal="center" vertical="center"/>
    </xf>
    <xf numFmtId="179" fontId="27" fillId="26" borderId="10" xfId="44" applyNumberFormat="1" applyFont="1" applyFill="1" applyBorder="1" applyAlignment="1" applyProtection="1">
      <alignment horizontal="center" vertical="center"/>
    </xf>
    <xf numFmtId="0" fontId="27" fillId="26" borderId="10" xfId="44" applyFont="1" applyFill="1" applyBorder="1" applyAlignment="1" applyProtection="1">
      <alignment vertical="center"/>
    </xf>
    <xf numFmtId="0" fontId="27" fillId="24" borderId="0" xfId="44" applyFont="1" applyFill="1" applyBorder="1" applyAlignment="1" applyProtection="1">
      <alignment vertical="center"/>
    </xf>
    <xf numFmtId="0" fontId="27" fillId="26" borderId="66" xfId="44" applyFont="1" applyFill="1" applyBorder="1" applyAlignment="1" applyProtection="1">
      <alignment vertical="center"/>
    </xf>
    <xf numFmtId="0" fontId="27" fillId="24" borderId="0" xfId="0" applyFont="1" applyFill="1" applyBorder="1">
      <alignment vertical="center"/>
    </xf>
    <xf numFmtId="0" fontId="27" fillId="24" borderId="0" xfId="44" applyFont="1" applyFill="1" applyBorder="1" applyAlignment="1" applyProtection="1">
      <alignment horizontal="left" vertical="center"/>
    </xf>
    <xf numFmtId="38" fontId="27" fillId="0" borderId="0" xfId="35" applyFont="1" applyBorder="1" applyAlignment="1"/>
    <xf numFmtId="0" fontId="27" fillId="0" borderId="0" xfId="44" applyFont="1" applyBorder="1" applyAlignment="1"/>
    <xf numFmtId="0" fontId="6" fillId="24" borderId="86" xfId="44" applyFont="1" applyFill="1" applyBorder="1" applyAlignment="1" applyProtection="1">
      <alignment vertical="center"/>
    </xf>
    <xf numFmtId="179" fontId="27" fillId="24" borderId="151" xfId="44" applyNumberFormat="1" applyFont="1" applyFill="1" applyBorder="1" applyAlignment="1" applyProtection="1">
      <alignment horizontal="center" vertical="center"/>
    </xf>
    <xf numFmtId="0" fontId="6" fillId="24" borderId="48" xfId="44" applyFont="1" applyFill="1" applyBorder="1" applyAlignment="1" applyProtection="1">
      <alignment horizontal="left" vertical="center"/>
    </xf>
    <xf numFmtId="0" fontId="27" fillId="24" borderId="49" xfId="44" applyFont="1" applyFill="1" applyBorder="1" applyAlignment="1" applyProtection="1">
      <alignment vertical="center"/>
    </xf>
    <xf numFmtId="0" fontId="6" fillId="24" borderId="50" xfId="44" applyFont="1" applyFill="1" applyBorder="1" applyAlignment="1" applyProtection="1">
      <alignment vertical="center"/>
    </xf>
    <xf numFmtId="178" fontId="6" fillId="24" borderId="10" xfId="44" applyNumberFormat="1" applyFont="1" applyFill="1" applyBorder="1" applyAlignment="1" applyProtection="1">
      <alignment vertical="center"/>
    </xf>
    <xf numFmtId="178" fontId="6" fillId="24" borderId="66" xfId="44" applyNumberFormat="1" applyFont="1" applyFill="1" applyBorder="1" applyAlignment="1" applyProtection="1">
      <alignment vertical="center"/>
    </xf>
    <xf numFmtId="178" fontId="6" fillId="24" borderId="23" xfId="44" applyNumberFormat="1" applyFont="1" applyFill="1" applyBorder="1" applyAlignment="1" applyProtection="1">
      <alignment vertical="center"/>
    </xf>
    <xf numFmtId="0" fontId="4" fillId="30" borderId="48" xfId="44" applyFont="1" applyFill="1" applyBorder="1" applyAlignment="1" applyProtection="1">
      <alignment vertical="center"/>
    </xf>
    <xf numFmtId="0" fontId="31" fillId="30" borderId="49" xfId="44" applyFont="1" applyFill="1" applyBorder="1" applyAlignment="1" applyProtection="1">
      <alignment horizontal="left" vertical="center"/>
    </xf>
    <xf numFmtId="0" fontId="31" fillId="30" borderId="49" xfId="44" applyFont="1" applyFill="1" applyBorder="1" applyAlignment="1" applyProtection="1">
      <alignment vertical="center"/>
    </xf>
    <xf numFmtId="178" fontId="4" fillId="30" borderId="10" xfId="44" applyNumberFormat="1" applyFont="1" applyFill="1" applyBorder="1" applyAlignment="1" applyProtection="1">
      <alignment horizontal="right" vertical="center"/>
    </xf>
    <xf numFmtId="178" fontId="4" fillId="30" borderId="66" xfId="44" applyNumberFormat="1" applyFont="1" applyFill="1" applyBorder="1" applyAlignment="1" applyProtection="1">
      <alignment horizontal="right" vertical="center"/>
    </xf>
    <xf numFmtId="9" fontId="32" fillId="24" borderId="22" xfId="28" applyFont="1" applyFill="1" applyBorder="1" applyAlignment="1" applyProtection="1">
      <alignment vertical="center"/>
      <protection hidden="1"/>
    </xf>
    <xf numFmtId="9" fontId="32" fillId="24" borderId="64" xfId="44" applyNumberFormat="1" applyFont="1" applyFill="1" applyBorder="1" applyAlignment="1" applyProtection="1">
      <alignment vertical="center"/>
      <protection hidden="1"/>
    </xf>
    <xf numFmtId="0" fontId="27" fillId="24" borderId="86" xfId="44" applyFont="1" applyFill="1" applyBorder="1" applyAlignment="1" applyProtection="1">
      <alignment vertical="center"/>
      <protection hidden="1"/>
    </xf>
    <xf numFmtId="0" fontId="41" fillId="24" borderId="0" xfId="44" applyFont="1" applyFill="1" applyBorder="1" applyAlignment="1" applyProtection="1">
      <alignment horizontal="right" vertical="center"/>
      <protection hidden="1"/>
    </xf>
    <xf numFmtId="0" fontId="27" fillId="24" borderId="103" xfId="44" applyFont="1" applyFill="1" applyBorder="1" applyAlignment="1">
      <alignment vertical="center"/>
    </xf>
    <xf numFmtId="0" fontId="27" fillId="24" borderId="154" xfId="44" applyFont="1" applyFill="1" applyBorder="1" applyAlignment="1" applyProtection="1">
      <alignment vertical="center"/>
      <protection hidden="1"/>
    </xf>
    <xf numFmtId="0" fontId="27" fillId="24" borderId="110" xfId="44" applyFont="1" applyFill="1" applyBorder="1" applyAlignment="1" applyProtection="1">
      <alignment vertical="center"/>
      <protection hidden="1"/>
    </xf>
    <xf numFmtId="0" fontId="70" fillId="0" borderId="0" xfId="44" applyFont="1" applyBorder="1" applyAlignment="1"/>
    <xf numFmtId="0" fontId="32" fillId="0" borderId="0" xfId="44" applyFont="1" applyFill="1" applyBorder="1" applyAlignment="1">
      <alignment vertical="center"/>
    </xf>
    <xf numFmtId="0" fontId="41" fillId="0" borderId="0" xfId="44" applyFont="1" applyFill="1" applyBorder="1" applyAlignment="1">
      <alignment vertical="center"/>
    </xf>
    <xf numFmtId="0" fontId="27" fillId="27" borderId="48" xfId="44" applyFont="1" applyFill="1" applyBorder="1" applyAlignment="1">
      <alignment horizontal="left"/>
    </xf>
    <xf numFmtId="0" fontId="27" fillId="27" borderId="49" xfId="44" applyFont="1" applyFill="1" applyBorder="1" applyAlignment="1">
      <alignment horizontal="center"/>
    </xf>
    <xf numFmtId="0" fontId="27" fillId="27" borderId="49" xfId="44" applyFont="1" applyFill="1" applyBorder="1" applyAlignment="1">
      <alignment horizontal="left"/>
    </xf>
    <xf numFmtId="0" fontId="27" fillId="27" borderId="50" xfId="44" applyFont="1" applyFill="1" applyBorder="1" applyAlignment="1"/>
    <xf numFmtId="0" fontId="27" fillId="0" borderId="0" xfId="44" applyFont="1" applyBorder="1" applyAlignment="1">
      <alignment horizontal="left"/>
    </xf>
    <xf numFmtId="0" fontId="27" fillId="0" borderId="0" xfId="44" applyFont="1" applyFill="1" applyBorder="1" applyAlignment="1">
      <alignment vertical="center"/>
    </xf>
    <xf numFmtId="0" fontId="27" fillId="27" borderId="48" xfId="44" applyFont="1" applyFill="1" applyBorder="1" applyAlignment="1" applyProtection="1">
      <alignment horizontal="left" vertical="center"/>
      <protection hidden="1"/>
    </xf>
    <xf numFmtId="0" fontId="27" fillId="27" borderId="50" xfId="44" applyFont="1" applyFill="1" applyBorder="1" applyAlignment="1">
      <alignment horizontal="left"/>
    </xf>
    <xf numFmtId="0" fontId="27" fillId="24" borderId="48" xfId="44" applyFont="1" applyFill="1" applyBorder="1" applyAlignment="1"/>
    <xf numFmtId="0" fontId="27" fillId="24" borderId="49" xfId="44" applyFont="1" applyFill="1" applyBorder="1" applyAlignment="1">
      <alignment horizontal="left"/>
    </xf>
    <xf numFmtId="0" fontId="27" fillId="24" borderId="49" xfId="44" applyFont="1" applyFill="1" applyBorder="1" applyAlignment="1"/>
    <xf numFmtId="0" fontId="27" fillId="24" borderId="50" xfId="44" applyFont="1" applyFill="1" applyBorder="1" applyAlignment="1"/>
    <xf numFmtId="0" fontId="27" fillId="26" borderId="10" xfId="44" applyFont="1" applyFill="1" applyBorder="1" applyAlignment="1">
      <alignment horizontal="center"/>
    </xf>
    <xf numFmtId="0" fontId="27" fillId="27" borderId="10" xfId="44" applyFont="1" applyFill="1" applyBorder="1" applyAlignment="1">
      <alignment horizontal="center"/>
    </xf>
    <xf numFmtId="0" fontId="27" fillId="26" borderId="0" xfId="44" applyFont="1" applyFill="1" applyBorder="1" applyAlignment="1">
      <alignment horizontal="left"/>
    </xf>
    <xf numFmtId="0" fontId="27" fillId="26" borderId="0" xfId="44" applyFont="1" applyFill="1" applyBorder="1" applyAlignment="1">
      <alignment vertical="center"/>
    </xf>
    <xf numFmtId="0" fontId="27" fillId="26" borderId="48" xfId="44" applyFont="1" applyFill="1" applyBorder="1" applyAlignment="1">
      <alignment horizontal="center"/>
    </xf>
    <xf numFmtId="0" fontId="27" fillId="24" borderId="51" xfId="44" applyFont="1" applyFill="1" applyBorder="1" applyAlignment="1"/>
    <xf numFmtId="0" fontId="27" fillId="24" borderId="52" xfId="44" applyFont="1" applyFill="1" applyBorder="1" applyAlignment="1">
      <alignment horizontal="left"/>
    </xf>
    <xf numFmtId="0" fontId="27" fillId="24" borderId="20" xfId="44" applyFont="1" applyFill="1" applyBorder="1" applyAlignment="1"/>
    <xf numFmtId="9" fontId="27" fillId="24" borderId="50" xfId="44" applyNumberFormat="1" applyFont="1" applyFill="1" applyBorder="1" applyAlignment="1"/>
    <xf numFmtId="0" fontId="27" fillId="26" borderId="51" xfId="44" applyFont="1" applyFill="1" applyBorder="1" applyAlignment="1">
      <alignment horizontal="center"/>
    </xf>
    <xf numFmtId="0" fontId="27" fillId="26" borderId="20" xfId="44" applyFont="1" applyFill="1" applyBorder="1" applyAlignment="1"/>
    <xf numFmtId="0" fontId="27" fillId="26" borderId="151" xfId="44" applyFont="1" applyFill="1" applyBorder="1" applyAlignment="1">
      <alignment horizontal="left"/>
    </xf>
    <xf numFmtId="0" fontId="27" fillId="26" borderId="48" xfId="0" applyFont="1" applyFill="1" applyBorder="1">
      <alignment vertical="center"/>
    </xf>
    <xf numFmtId="9" fontId="27" fillId="26" borderId="50" xfId="44" applyNumberFormat="1" applyFont="1" applyFill="1" applyBorder="1" applyAlignment="1"/>
    <xf numFmtId="0" fontId="27" fillId="26" borderId="59" xfId="44" applyFont="1" applyFill="1" applyBorder="1" applyAlignment="1">
      <alignment horizontal="center"/>
    </xf>
    <xf numFmtId="9" fontId="27" fillId="26" borderId="59" xfId="44" applyNumberFormat="1" applyFont="1" applyFill="1" applyBorder="1" applyAlignment="1">
      <alignment horizontal="center"/>
    </xf>
    <xf numFmtId="0" fontId="27" fillId="26" borderId="22" xfId="44" applyFont="1" applyFill="1" applyBorder="1" applyAlignment="1">
      <alignment horizontal="center"/>
    </xf>
    <xf numFmtId="0" fontId="27" fillId="26" borderId="24" xfId="44" applyFont="1" applyFill="1" applyBorder="1" applyAlignment="1"/>
    <xf numFmtId="0" fontId="27" fillId="26" borderId="57" xfId="44" applyFont="1" applyFill="1" applyBorder="1" applyAlignment="1">
      <alignment horizontal="left"/>
    </xf>
    <xf numFmtId="0" fontId="27" fillId="26" borderId="0" xfId="44" applyFont="1" applyFill="1" applyBorder="1" applyAlignment="1">
      <alignment horizontal="center"/>
    </xf>
    <xf numFmtId="177" fontId="162" fillId="0" borderId="10" xfId="44" applyNumberFormat="1" applyFont="1" applyFill="1" applyBorder="1" applyAlignment="1"/>
    <xf numFmtId="177" fontId="27" fillId="0" borderId="10" xfId="44" applyNumberFormat="1" applyFont="1" applyFill="1" applyBorder="1" applyAlignment="1"/>
    <xf numFmtId="0" fontId="27" fillId="0" borderId="52" xfId="44" applyFont="1" applyBorder="1" applyAlignment="1"/>
    <xf numFmtId="0" fontId="27" fillId="24" borderId="10" xfId="44" applyFont="1" applyFill="1" applyBorder="1" applyAlignment="1">
      <alignment horizontal="center"/>
    </xf>
    <xf numFmtId="0" fontId="27" fillId="24" borderId="52" xfId="44" applyFont="1" applyFill="1" applyBorder="1" applyAlignment="1"/>
    <xf numFmtId="188" fontId="27" fillId="24" borderId="53" xfId="44" applyNumberFormat="1" applyFont="1" applyFill="1" applyBorder="1" applyAlignment="1">
      <alignment horizontal="left"/>
    </xf>
    <xf numFmtId="0" fontId="27" fillId="24" borderId="0" xfId="44" applyFont="1" applyFill="1" applyBorder="1" applyAlignment="1">
      <alignment horizontal="center"/>
    </xf>
    <xf numFmtId="9" fontId="27" fillId="26" borderId="49" xfId="0" applyNumberFormat="1" applyFont="1" applyFill="1" applyBorder="1">
      <alignment vertical="center"/>
    </xf>
    <xf numFmtId="40" fontId="27" fillId="0" borderId="10" xfId="35" applyNumberFormat="1" applyFont="1" applyFill="1" applyBorder="1" applyAlignment="1"/>
    <xf numFmtId="0" fontId="27" fillId="24" borderId="24" xfId="44" applyFont="1" applyFill="1" applyBorder="1" applyAlignment="1"/>
    <xf numFmtId="40" fontId="27" fillId="0" borderId="23" xfId="35" applyNumberFormat="1" applyFont="1" applyFill="1" applyBorder="1" applyAlignment="1"/>
    <xf numFmtId="0" fontId="27" fillId="24" borderId="49" xfId="44" applyFont="1" applyFill="1" applyBorder="1" applyAlignment="1">
      <alignment horizontal="center"/>
    </xf>
    <xf numFmtId="9" fontId="27" fillId="26" borderId="52" xfId="0" applyNumberFormat="1" applyFont="1" applyFill="1" applyBorder="1">
      <alignment vertical="center"/>
    </xf>
    <xf numFmtId="40" fontId="27" fillId="33" borderId="23" xfId="35" applyNumberFormat="1" applyFont="1" applyFill="1" applyBorder="1" applyAlignment="1"/>
    <xf numFmtId="0" fontId="27" fillId="0" borderId="52" xfId="44" applyFont="1" applyBorder="1" applyAlignment="1">
      <alignment horizontal="left"/>
    </xf>
    <xf numFmtId="198" fontId="27" fillId="0" borderId="10" xfId="44" applyNumberFormat="1" applyFont="1" applyBorder="1" applyAlignment="1"/>
    <xf numFmtId="0" fontId="27" fillId="0" borderId="51" xfId="44" applyFont="1" applyBorder="1" applyAlignment="1"/>
    <xf numFmtId="0" fontId="27" fillId="0" borderId="53" xfId="44" applyFont="1" applyBorder="1" applyAlignment="1"/>
    <xf numFmtId="0" fontId="28" fillId="0" borderId="0" xfId="44" applyFont="1" applyBorder="1" applyAlignment="1"/>
    <xf numFmtId="0" fontId="27" fillId="0" borderId="151" xfId="44" applyFont="1" applyBorder="1" applyAlignment="1"/>
    <xf numFmtId="0" fontId="27" fillId="0" borderId="20" xfId="44" applyFont="1" applyBorder="1" applyAlignment="1"/>
    <xf numFmtId="0" fontId="28" fillId="0" borderId="24" xfId="44" applyFont="1" applyBorder="1" applyAlignment="1"/>
    <xf numFmtId="0" fontId="27" fillId="0" borderId="57" xfId="44" applyFont="1" applyBorder="1" applyAlignment="1"/>
    <xf numFmtId="0" fontId="27" fillId="0" borderId="58" xfId="44" applyFont="1" applyBorder="1" applyAlignment="1"/>
    <xf numFmtId="188" fontId="27" fillId="24" borderId="50" xfId="44" applyNumberFormat="1" applyFont="1" applyFill="1" applyBorder="1" applyAlignment="1">
      <alignment horizontal="left"/>
    </xf>
    <xf numFmtId="0" fontId="27" fillId="0" borderId="10" xfId="44" applyFont="1" applyBorder="1" applyAlignment="1"/>
    <xf numFmtId="9" fontId="27" fillId="0" borderId="10" xfId="28" applyFont="1" applyFill="1" applyBorder="1" applyAlignment="1"/>
    <xf numFmtId="0" fontId="27" fillId="0" borderId="10" xfId="44" applyFont="1" applyFill="1" applyBorder="1" applyAlignment="1"/>
    <xf numFmtId="0" fontId="32" fillId="0" borderId="0" xfId="44" applyFont="1" applyBorder="1" applyAlignment="1"/>
    <xf numFmtId="0" fontId="27" fillId="0" borderId="0" xfId="44" applyFont="1" applyFill="1" applyBorder="1" applyAlignment="1" applyProtection="1">
      <alignment horizontal="left" vertical="center"/>
      <protection hidden="1"/>
    </xf>
    <xf numFmtId="0" fontId="27" fillId="0" borderId="0" xfId="44" applyFont="1" applyFill="1" applyBorder="1" applyAlignment="1">
      <alignment horizontal="left"/>
    </xf>
    <xf numFmtId="38" fontId="27" fillId="0" borderId="10" xfId="35" applyFont="1" applyBorder="1" applyAlignment="1"/>
    <xf numFmtId="187" fontId="27" fillId="0" borderId="10" xfId="44" applyNumberFormat="1" applyFont="1" applyFill="1" applyBorder="1" applyAlignment="1"/>
    <xf numFmtId="0" fontId="27" fillId="0" borderId="0" xfId="44" applyFont="1" applyFill="1" applyBorder="1" applyAlignment="1"/>
    <xf numFmtId="187" fontId="27" fillId="0" borderId="10" xfId="44" applyNumberFormat="1" applyFont="1" applyFill="1" applyBorder="1" applyAlignment="1"/>
    <xf numFmtId="0" fontId="67" fillId="0" borderId="0" xfId="0" applyFont="1" applyFill="1" applyAlignment="1">
      <alignment horizontal="left"/>
    </xf>
    <xf numFmtId="0" fontId="27" fillId="0" borderId="0" xfId="0" applyFont="1" applyFill="1" applyAlignment="1"/>
    <xf numFmtId="177" fontId="67" fillId="0" borderId="0" xfId="35" applyNumberFormat="1" applyFont="1" applyFill="1" applyBorder="1" applyAlignment="1"/>
    <xf numFmtId="0" fontId="67" fillId="0" borderId="0" xfId="0" applyFont="1" applyFill="1" applyBorder="1">
      <alignment vertical="center"/>
    </xf>
    <xf numFmtId="49" fontId="67" fillId="0" borderId="0" xfId="35" applyNumberFormat="1" applyFont="1" applyFill="1" applyBorder="1" applyAlignment="1">
      <alignment horizontal="center"/>
    </xf>
    <xf numFmtId="2" fontId="67" fillId="0" borderId="0" xfId="0" applyNumberFormat="1" applyFont="1" applyFill="1" applyBorder="1" applyAlignment="1">
      <alignment horizontal="left"/>
    </xf>
    <xf numFmtId="2" fontId="67" fillId="0" borderId="0" xfId="0" applyNumberFormat="1" applyFont="1" applyFill="1" applyBorder="1" applyAlignment="1">
      <alignment horizontal="center"/>
    </xf>
    <xf numFmtId="0" fontId="67" fillId="0" borderId="0" xfId="0" applyNumberFormat="1" applyFont="1" applyFill="1" applyBorder="1">
      <alignment vertical="center"/>
    </xf>
    <xf numFmtId="0" fontId="6" fillId="0" borderId="0" xfId="0" applyFont="1" applyFill="1">
      <alignment vertical="center"/>
    </xf>
    <xf numFmtId="0" fontId="27" fillId="0" borderId="0" xfId="0" applyFont="1" applyFill="1" applyAlignment="1" applyProtection="1">
      <protection hidden="1"/>
    </xf>
    <xf numFmtId="177" fontId="164" fillId="0" borderId="0" xfId="35" applyNumberFormat="1" applyFont="1" applyFill="1" applyBorder="1" applyAlignment="1" applyProtection="1">
      <protection hidden="1"/>
    </xf>
    <xf numFmtId="0" fontId="164" fillId="0" borderId="0" xfId="0" applyFont="1" applyFill="1" applyBorder="1" applyProtection="1">
      <alignment vertical="center"/>
      <protection hidden="1"/>
    </xf>
    <xf numFmtId="2" fontId="163" fillId="0" borderId="0" xfId="0" applyNumberFormat="1" applyFont="1" applyFill="1" applyBorder="1" applyAlignment="1" applyProtection="1">
      <alignment horizontal="left"/>
      <protection hidden="1"/>
    </xf>
    <xf numFmtId="49" fontId="163" fillId="0" borderId="0" xfId="0" applyNumberFormat="1" applyFont="1" applyFill="1" applyBorder="1" applyProtection="1">
      <alignment vertical="center"/>
      <protection hidden="1"/>
    </xf>
    <xf numFmtId="0" fontId="83" fillId="0" borderId="0" xfId="0" applyFont="1">
      <alignment vertical="center"/>
    </xf>
    <xf numFmtId="2" fontId="164" fillId="0" borderId="0" xfId="0" applyNumberFormat="1" applyFont="1" applyFill="1" applyBorder="1" applyAlignment="1" applyProtection="1">
      <alignment horizontal="center"/>
      <protection hidden="1"/>
    </xf>
    <xf numFmtId="0" fontId="164" fillId="0" borderId="0" xfId="0" applyNumberFormat="1" applyFont="1" applyFill="1" applyBorder="1">
      <alignment vertical="center"/>
    </xf>
    <xf numFmtId="0" fontId="83" fillId="0" borderId="0" xfId="0" applyFont="1" applyFill="1">
      <alignment vertical="center"/>
    </xf>
    <xf numFmtId="2" fontId="164" fillId="0" borderId="0" xfId="0" applyNumberFormat="1" applyFont="1" applyFill="1" applyBorder="1" applyAlignment="1" applyProtection="1">
      <alignment horizontal="left"/>
      <protection hidden="1"/>
    </xf>
    <xf numFmtId="0" fontId="67" fillId="38" borderId="48" xfId="0" applyFont="1" applyFill="1" applyBorder="1" applyAlignment="1" applyProtection="1">
      <alignment horizontal="centerContinuous" vertical="center"/>
      <protection hidden="1"/>
    </xf>
    <xf numFmtId="0" fontId="67" fillId="38" borderId="50" xfId="0" applyFont="1" applyFill="1" applyBorder="1" applyAlignment="1" applyProtection="1">
      <alignment horizontal="centerContinuous" vertical="center"/>
      <protection hidden="1"/>
    </xf>
    <xf numFmtId="0" fontId="67" fillId="0" borderId="0" xfId="0" applyFont="1" applyFill="1" applyBorder="1" applyProtection="1">
      <alignment vertical="center"/>
      <protection hidden="1"/>
    </xf>
    <xf numFmtId="0" fontId="6" fillId="38" borderId="10" xfId="0" applyFont="1" applyFill="1" applyBorder="1" applyAlignment="1" applyProtection="1">
      <alignment horizontal="center" vertical="center"/>
      <protection hidden="1"/>
    </xf>
    <xf numFmtId="2" fontId="67" fillId="38" borderId="48" xfId="0" applyNumberFormat="1" applyFont="1" applyFill="1" applyBorder="1" applyAlignment="1" applyProtection="1">
      <alignment horizontal="centerContinuous"/>
      <protection hidden="1"/>
    </xf>
    <xf numFmtId="2" fontId="67" fillId="38" borderId="49" xfId="0" applyNumberFormat="1" applyFont="1" applyFill="1" applyBorder="1" applyAlignment="1" applyProtection="1">
      <alignment horizontal="centerContinuous"/>
      <protection hidden="1"/>
    </xf>
    <xf numFmtId="2" fontId="67" fillId="38" borderId="50" xfId="0" applyNumberFormat="1" applyFont="1" applyFill="1" applyBorder="1" applyAlignment="1" applyProtection="1">
      <alignment horizontal="centerContinuous"/>
      <protection hidden="1"/>
    </xf>
    <xf numFmtId="0" fontId="154" fillId="0" borderId="0" xfId="0" applyNumberFormat="1" applyFont="1" applyFill="1" applyBorder="1" applyAlignment="1">
      <alignment horizontal="left" vertical="top"/>
    </xf>
    <xf numFmtId="0" fontId="6" fillId="38" borderId="24" xfId="0" applyFont="1" applyFill="1" applyBorder="1" applyAlignment="1" applyProtection="1">
      <alignment horizontal="center" vertical="center"/>
      <protection hidden="1"/>
    </xf>
    <xf numFmtId="177" fontId="67" fillId="38" borderId="10" xfId="35" applyNumberFormat="1" applyFont="1" applyFill="1" applyBorder="1" applyAlignment="1" applyProtection="1">
      <alignment horizontal="center"/>
      <protection hidden="1"/>
    </xf>
    <xf numFmtId="0" fontId="67" fillId="0" borderId="0" xfId="0" applyFont="1" applyFill="1" applyBorder="1" applyAlignment="1" applyProtection="1">
      <alignment horizontal="center"/>
      <protection hidden="1"/>
    </xf>
    <xf numFmtId="2" fontId="67" fillId="38" borderId="10" xfId="0" applyNumberFormat="1" applyFont="1" applyFill="1" applyBorder="1" applyAlignment="1" applyProtection="1">
      <alignment horizontal="center" vertical="top"/>
      <protection hidden="1"/>
    </xf>
    <xf numFmtId="2" fontId="67" fillId="38" borderId="48" xfId="0" applyNumberFormat="1" applyFont="1" applyFill="1" applyBorder="1" applyAlignment="1" applyProtection="1">
      <alignment horizontal="center" vertical="top"/>
      <protection hidden="1"/>
    </xf>
    <xf numFmtId="2" fontId="67" fillId="38" borderId="50" xfId="0" applyNumberFormat="1" applyFont="1" applyFill="1" applyBorder="1" applyAlignment="1" applyProtection="1">
      <alignment horizontal="center" vertical="top"/>
      <protection hidden="1"/>
    </xf>
    <xf numFmtId="0" fontId="67" fillId="0" borderId="0" xfId="0" applyNumberFormat="1" applyFont="1" applyFill="1" applyBorder="1" applyAlignment="1">
      <alignment horizontal="center" vertical="top"/>
    </xf>
    <xf numFmtId="0" fontId="27" fillId="38" borderId="58" xfId="0" applyFont="1" applyFill="1" applyBorder="1" applyAlignment="1" applyProtection="1">
      <alignment horizontal="center" vertical="center"/>
      <protection hidden="1"/>
    </xf>
    <xf numFmtId="190" fontId="67" fillId="38" borderId="10" xfId="35" applyNumberFormat="1" applyFont="1" applyFill="1" applyBorder="1" applyAlignment="1" applyProtection="1">
      <alignment horizontal="center" vertical="top"/>
      <protection hidden="1"/>
    </xf>
    <xf numFmtId="0" fontId="4" fillId="38" borderId="10" xfId="0" applyFont="1" applyFill="1" applyBorder="1" applyAlignment="1" applyProtection="1">
      <alignment horizontal="left" vertical="center"/>
      <protection hidden="1"/>
    </xf>
    <xf numFmtId="0" fontId="60" fillId="38" borderId="58" xfId="0" applyFont="1" applyFill="1" applyBorder="1" applyAlignment="1" applyProtection="1">
      <alignment horizontal="left" vertical="center"/>
      <protection hidden="1"/>
    </xf>
    <xf numFmtId="0" fontId="60" fillId="38" borderId="58" xfId="0" applyFont="1" applyFill="1" applyBorder="1" applyAlignment="1" applyProtection="1">
      <alignment horizontal="center" vertical="center"/>
      <protection hidden="1"/>
    </xf>
    <xf numFmtId="177" fontId="29" fillId="38" borderId="10" xfId="35" applyNumberFormat="1" applyFont="1" applyFill="1" applyBorder="1" applyAlignment="1" applyProtection="1">
      <alignment horizontal="center"/>
      <protection hidden="1"/>
    </xf>
    <xf numFmtId="0" fontId="29" fillId="0" borderId="0" xfId="0" applyFont="1" applyFill="1" applyBorder="1" applyAlignment="1" applyProtection="1">
      <alignment horizontal="center"/>
      <protection hidden="1"/>
    </xf>
    <xf numFmtId="0" fontId="4" fillId="38" borderId="10" xfId="0" applyFont="1" applyFill="1" applyBorder="1" applyAlignment="1" applyProtection="1">
      <alignment horizontal="center" vertical="center"/>
      <protection hidden="1"/>
    </xf>
    <xf numFmtId="190" fontId="29" fillId="38" borderId="10" xfId="35" applyNumberFormat="1" applyFont="1" applyFill="1" applyBorder="1" applyAlignment="1" applyProtection="1">
      <alignment horizontal="center" vertical="top"/>
      <protection hidden="1"/>
    </xf>
    <xf numFmtId="190" fontId="29" fillId="38" borderId="48" xfId="35" applyNumberFormat="1" applyFont="1" applyFill="1" applyBorder="1" applyAlignment="1" applyProtection="1">
      <alignment horizontal="center" vertical="top"/>
      <protection hidden="1"/>
    </xf>
    <xf numFmtId="190" fontId="29" fillId="38" borderId="50" xfId="0" applyNumberFormat="1" applyFont="1" applyFill="1" applyBorder="1" applyAlignment="1" applyProtection="1">
      <alignment horizontal="center" vertical="top"/>
      <protection hidden="1"/>
    </xf>
    <xf numFmtId="0" fontId="29" fillId="0" borderId="0" xfId="0" applyNumberFormat="1" applyFont="1" applyFill="1" applyBorder="1" applyAlignment="1">
      <alignment horizontal="center" vertical="top"/>
    </xf>
    <xf numFmtId="0" fontId="4" fillId="0" borderId="0" xfId="0" applyFont="1" applyFill="1">
      <alignment vertical="center"/>
    </xf>
    <xf numFmtId="0" fontId="41" fillId="26" borderId="10" xfId="0" applyNumberFormat="1" applyFont="1" applyFill="1" applyBorder="1" applyAlignment="1" applyProtection="1">
      <alignment horizontal="left" vertical="center"/>
      <protection hidden="1"/>
    </xf>
    <xf numFmtId="0" fontId="41" fillId="26" borderId="10" xfId="0" applyNumberFormat="1" applyFont="1" applyFill="1" applyBorder="1" applyAlignment="1" applyProtection="1">
      <alignment vertical="center"/>
      <protection hidden="1"/>
    </xf>
    <xf numFmtId="197" fontId="41" fillId="26" borderId="10" xfId="35" applyNumberFormat="1" applyFont="1" applyFill="1" applyBorder="1" applyAlignment="1" applyProtection="1">
      <alignment vertical="center"/>
      <protection hidden="1"/>
    </xf>
    <xf numFmtId="187" fontId="154" fillId="26" borderId="10" xfId="35" applyNumberFormat="1" applyFont="1" applyFill="1" applyBorder="1" applyAlignment="1" applyProtection="1">
      <protection hidden="1"/>
    </xf>
    <xf numFmtId="0" fontId="154" fillId="0" borderId="0" xfId="0" applyFont="1" applyFill="1" applyBorder="1" applyProtection="1">
      <alignment vertical="center"/>
      <protection hidden="1"/>
    </xf>
    <xf numFmtId="0" fontId="154" fillId="26" borderId="10" xfId="0" applyNumberFormat="1" applyFont="1" applyFill="1" applyBorder="1" applyAlignment="1" applyProtection="1">
      <alignment horizontal="left" vertical="center"/>
      <protection hidden="1"/>
    </xf>
    <xf numFmtId="190" fontId="41" fillId="26" borderId="10" xfId="35" applyNumberFormat="1" applyFont="1" applyFill="1" applyBorder="1" applyAlignment="1" applyProtection="1">
      <alignment horizontal="center" vertical="center"/>
      <protection hidden="1"/>
    </xf>
    <xf numFmtId="0" fontId="154" fillId="0" borderId="0" xfId="35" applyNumberFormat="1" applyFont="1" applyFill="1" applyBorder="1" applyAlignment="1">
      <alignment horizontal="right" vertical="center"/>
    </xf>
    <xf numFmtId="0" fontId="32" fillId="0" borderId="0" xfId="0" applyFont="1" applyFill="1">
      <alignment vertical="center"/>
    </xf>
    <xf numFmtId="0" fontId="154" fillId="24" borderId="10" xfId="0" applyNumberFormat="1" applyFont="1" applyFill="1" applyBorder="1" applyAlignment="1" applyProtection="1">
      <alignment horizontal="left" vertical="center"/>
      <protection hidden="1"/>
    </xf>
    <xf numFmtId="0" fontId="41" fillId="24" borderId="10" xfId="0" applyNumberFormat="1" applyFont="1" applyFill="1" applyBorder="1" applyAlignment="1" applyProtection="1">
      <alignment vertical="center"/>
      <protection hidden="1"/>
    </xf>
    <xf numFmtId="197" fontId="41" fillId="24" borderId="10" xfId="35" applyNumberFormat="1" applyFont="1" applyFill="1" applyBorder="1" applyAlignment="1" applyProtection="1">
      <alignment vertical="center"/>
      <protection hidden="1"/>
    </xf>
    <xf numFmtId="187" fontId="154" fillId="24" borderId="10" xfId="35" applyNumberFormat="1" applyFont="1" applyFill="1" applyBorder="1" applyAlignment="1" applyProtection="1">
      <protection hidden="1"/>
    </xf>
    <xf numFmtId="190" fontId="41" fillId="24" borderId="10" xfId="35" applyNumberFormat="1" applyFont="1" applyFill="1" applyBorder="1" applyAlignment="1" applyProtection="1">
      <alignment horizontal="center"/>
      <protection hidden="1"/>
    </xf>
    <xf numFmtId="190" fontId="41" fillId="24" borderId="48" xfId="35" applyNumberFormat="1" applyFont="1" applyFill="1" applyBorder="1" applyAlignment="1" applyProtection="1">
      <alignment horizontal="center" vertical="center"/>
      <protection hidden="1"/>
    </xf>
    <xf numFmtId="0" fontId="154" fillId="0" borderId="0" xfId="35" applyNumberFormat="1" applyFont="1" applyFill="1" applyBorder="1" applyAlignment="1"/>
    <xf numFmtId="0" fontId="67" fillId="24" borderId="10" xfId="0" applyNumberFormat="1" applyFont="1" applyFill="1" applyBorder="1" applyAlignment="1" applyProtection="1">
      <alignment horizontal="left" vertical="center"/>
      <protection hidden="1"/>
    </xf>
    <xf numFmtId="0" fontId="27" fillId="24" borderId="10" xfId="0" applyFont="1" applyFill="1" applyBorder="1" applyAlignment="1" applyProtection="1">
      <alignment vertical="center"/>
      <protection hidden="1"/>
    </xf>
    <xf numFmtId="197" fontId="27" fillId="24" borderId="10" xfId="35" applyNumberFormat="1" applyFont="1" applyFill="1" applyBorder="1" applyAlignment="1" applyProtection="1">
      <alignment vertical="center"/>
      <protection hidden="1"/>
    </xf>
    <xf numFmtId="187" fontId="67" fillId="24" borderId="10" xfId="35" applyNumberFormat="1" applyFont="1" applyFill="1" applyBorder="1" applyAlignment="1" applyProtection="1">
      <protection hidden="1"/>
    </xf>
    <xf numFmtId="49" fontId="67" fillId="24" borderId="10" xfId="0" applyNumberFormat="1" applyFont="1" applyFill="1" applyBorder="1" applyAlignment="1" applyProtection="1">
      <alignment horizontal="left" vertical="center"/>
      <protection hidden="1"/>
    </xf>
    <xf numFmtId="190" fontId="27" fillId="24" borderId="10" xfId="35" applyNumberFormat="1" applyFont="1" applyFill="1" applyBorder="1" applyAlignment="1" applyProtection="1">
      <alignment horizontal="center" vertical="center"/>
      <protection hidden="1"/>
    </xf>
    <xf numFmtId="190" fontId="27" fillId="24" borderId="50" xfId="35" applyNumberFormat="1" applyFont="1" applyFill="1" applyBorder="1" applyAlignment="1" applyProtection="1">
      <alignment horizontal="center" vertical="center"/>
      <protection hidden="1"/>
    </xf>
    <xf numFmtId="0" fontId="67" fillId="0" borderId="0" xfId="35" applyNumberFormat="1" applyFont="1" applyFill="1" applyBorder="1" applyAlignment="1">
      <alignment vertical="center"/>
    </xf>
    <xf numFmtId="0" fontId="67" fillId="24" borderId="10" xfId="0" applyFont="1" applyFill="1" applyBorder="1" applyAlignment="1" applyProtection="1">
      <alignment horizontal="left" vertical="center"/>
      <protection hidden="1"/>
    </xf>
    <xf numFmtId="197" fontId="27" fillId="24" borderId="10" xfId="35" applyNumberFormat="1" applyFont="1" applyFill="1" applyBorder="1">
      <alignment vertical="center"/>
    </xf>
    <xf numFmtId="2" fontId="27" fillId="24" borderId="10" xfId="35" applyNumberFormat="1" applyFont="1" applyFill="1" applyBorder="1" applyAlignment="1" applyProtection="1">
      <alignment horizontal="center" vertical="center"/>
      <protection hidden="1"/>
    </xf>
    <xf numFmtId="2" fontId="27" fillId="24" borderId="48" xfId="35" applyNumberFormat="1" applyFont="1" applyFill="1" applyBorder="1" applyAlignment="1" applyProtection="1">
      <alignment horizontal="center" vertical="center"/>
      <protection hidden="1"/>
    </xf>
    <xf numFmtId="2" fontId="27" fillId="24" borderId="50" xfId="35" applyNumberFormat="1" applyFont="1" applyFill="1" applyBorder="1" applyAlignment="1" applyProtection="1">
      <alignment horizontal="center" vertical="center"/>
      <protection hidden="1"/>
    </xf>
    <xf numFmtId="190" fontId="27" fillId="24" borderId="48" xfId="35" applyNumberFormat="1" applyFont="1" applyFill="1" applyBorder="1" applyAlignment="1" applyProtection="1">
      <alignment horizontal="center" vertical="center"/>
      <protection hidden="1"/>
    </xf>
    <xf numFmtId="0" fontId="154" fillId="24" borderId="10" xfId="0" applyFont="1" applyFill="1" applyBorder="1" applyAlignment="1" applyProtection="1">
      <alignment horizontal="left" vertical="center"/>
      <protection hidden="1"/>
    </xf>
    <xf numFmtId="0" fontId="41" fillId="24" borderId="10" xfId="0" applyFont="1" applyFill="1" applyBorder="1" applyAlignment="1" applyProtection="1">
      <alignment vertical="center"/>
      <protection hidden="1"/>
    </xf>
    <xf numFmtId="190" fontId="41" fillId="24" borderId="48" xfId="0" applyNumberFormat="1" applyFont="1" applyFill="1" applyBorder="1" applyAlignment="1" applyProtection="1">
      <alignment horizontal="center" vertical="center"/>
      <protection hidden="1"/>
    </xf>
    <xf numFmtId="0" fontId="27" fillId="24" borderId="10" xfId="0" applyNumberFormat="1" applyFont="1" applyFill="1" applyBorder="1" applyAlignment="1" applyProtection="1">
      <alignment vertical="center"/>
      <protection hidden="1"/>
    </xf>
    <xf numFmtId="190" fontId="27" fillId="24" borderId="48" xfId="0" applyNumberFormat="1" applyFont="1" applyFill="1" applyBorder="1" applyAlignment="1" applyProtection="1">
      <alignment horizontal="center" vertical="center"/>
      <protection hidden="1"/>
    </xf>
    <xf numFmtId="0" fontId="67" fillId="0" borderId="0" xfId="35" applyNumberFormat="1" applyFont="1" applyFill="1" applyBorder="1" applyAlignment="1">
      <alignment horizontal="right" vertical="center"/>
    </xf>
    <xf numFmtId="190" fontId="27" fillId="24" borderId="10" xfId="0" applyNumberFormat="1" applyFont="1" applyFill="1" applyBorder="1" applyAlignment="1" applyProtection="1">
      <alignment horizontal="center"/>
      <protection hidden="1"/>
    </xf>
    <xf numFmtId="177" fontId="41" fillId="24" borderId="10" xfId="35" applyNumberFormat="1" applyFont="1" applyFill="1" applyBorder="1" applyAlignment="1" applyProtection="1">
      <alignment horizontal="center"/>
      <protection hidden="1"/>
    </xf>
    <xf numFmtId="177" fontId="41" fillId="24" borderId="48" xfId="0" applyNumberFormat="1" applyFont="1" applyFill="1" applyBorder="1" applyAlignment="1" applyProtection="1">
      <alignment horizontal="center" vertical="center"/>
      <protection hidden="1"/>
    </xf>
    <xf numFmtId="177" fontId="27" fillId="24" borderId="10" xfId="35" applyNumberFormat="1" applyFont="1" applyFill="1" applyBorder="1" applyAlignment="1" applyProtection="1">
      <alignment horizontal="center" vertical="center"/>
      <protection hidden="1"/>
    </xf>
    <xf numFmtId="177" fontId="27" fillId="24" borderId="48" xfId="35" applyNumberFormat="1" applyFont="1" applyFill="1" applyBorder="1" applyAlignment="1" applyProtection="1">
      <alignment horizontal="center" vertical="center"/>
      <protection hidden="1"/>
    </xf>
    <xf numFmtId="177" fontId="27" fillId="24" borderId="50" xfId="35" applyNumberFormat="1" applyFont="1" applyFill="1" applyBorder="1" applyAlignment="1" applyProtection="1">
      <alignment horizontal="center" vertical="center"/>
      <protection hidden="1"/>
    </xf>
    <xf numFmtId="177" fontId="67" fillId="24" borderId="10" xfId="35" applyNumberFormat="1" applyFont="1" applyFill="1" applyBorder="1" applyAlignment="1" applyProtection="1">
      <alignment horizontal="center" vertical="center"/>
      <protection hidden="1"/>
    </xf>
    <xf numFmtId="40" fontId="154" fillId="0" borderId="0" xfId="35" applyNumberFormat="1" applyFont="1" applyFill="1" applyBorder="1" applyAlignment="1" applyProtection="1">
      <alignment horizontal="right" vertical="center"/>
      <protection hidden="1"/>
    </xf>
    <xf numFmtId="0" fontId="41" fillId="24" borderId="10" xfId="0" applyNumberFormat="1" applyFont="1" applyFill="1" applyBorder="1" applyAlignment="1" applyProtection="1">
      <alignment horizontal="left" vertical="center"/>
      <protection hidden="1"/>
    </xf>
    <xf numFmtId="40" fontId="154" fillId="0" borderId="0" xfId="35" applyNumberFormat="1" applyFont="1" applyFill="1" applyBorder="1" applyAlignment="1" applyProtection="1">
      <protection hidden="1"/>
    </xf>
    <xf numFmtId="190" fontId="41" fillId="24" borderId="10" xfId="35" applyNumberFormat="1" applyFont="1" applyFill="1" applyBorder="1" applyAlignment="1" applyProtection="1">
      <alignment horizontal="center" vertical="center"/>
      <protection hidden="1"/>
    </xf>
    <xf numFmtId="40" fontId="67" fillId="0" borderId="0" xfId="35" applyNumberFormat="1" applyFont="1" applyFill="1" applyBorder="1" applyAlignment="1" applyProtection="1">
      <alignment vertical="center"/>
      <protection hidden="1"/>
    </xf>
    <xf numFmtId="40" fontId="67" fillId="0" borderId="0" xfId="35" applyNumberFormat="1" applyFont="1" applyFill="1" applyBorder="1" applyAlignment="1" applyProtection="1">
      <alignment horizontal="right" vertical="center"/>
      <protection hidden="1"/>
    </xf>
    <xf numFmtId="190" fontId="41" fillId="24" borderId="48" xfId="35" applyNumberFormat="1" applyFont="1" applyFill="1" applyBorder="1" applyAlignment="1" applyProtection="1">
      <alignment horizontal="center"/>
      <protection hidden="1"/>
    </xf>
    <xf numFmtId="0" fontId="27" fillId="24" borderId="10" xfId="0" applyNumberFormat="1" applyFont="1" applyFill="1" applyBorder="1" applyAlignment="1" applyProtection="1">
      <alignment horizontal="left" vertical="center"/>
      <protection hidden="1"/>
    </xf>
    <xf numFmtId="197" fontId="27" fillId="24" borderId="10" xfId="35" applyNumberFormat="1" applyFont="1" applyFill="1" applyBorder="1" applyAlignment="1" applyProtection="1">
      <alignment horizontal="left" vertical="center"/>
      <protection hidden="1"/>
    </xf>
    <xf numFmtId="0" fontId="67" fillId="31" borderId="10" xfId="0" applyFont="1" applyFill="1" applyBorder="1" applyAlignment="1" applyProtection="1">
      <alignment horizontal="left" vertical="center"/>
      <protection hidden="1"/>
    </xf>
    <xf numFmtId="0" fontId="27" fillId="31" borderId="10" xfId="0" applyFont="1" applyFill="1" applyBorder="1" applyAlignment="1" applyProtection="1">
      <alignment vertical="center"/>
      <protection hidden="1"/>
    </xf>
    <xf numFmtId="197" fontId="27" fillId="31" borderId="10" xfId="35" applyNumberFormat="1" applyFont="1" applyFill="1" applyBorder="1" applyAlignment="1" applyProtection="1">
      <alignment vertical="center"/>
      <protection hidden="1"/>
    </xf>
    <xf numFmtId="187" fontId="67" fillId="31" borderId="10" xfId="35" applyNumberFormat="1" applyFont="1" applyFill="1" applyBorder="1" applyAlignment="1" applyProtection="1">
      <protection hidden="1"/>
    </xf>
    <xf numFmtId="0" fontId="67" fillId="31" borderId="10" xfId="0" applyNumberFormat="1" applyFont="1" applyFill="1" applyBorder="1" applyAlignment="1" applyProtection="1">
      <alignment horizontal="left" vertical="center"/>
      <protection hidden="1"/>
    </xf>
    <xf numFmtId="190" fontId="27" fillId="31" borderId="10" xfId="35" applyNumberFormat="1" applyFont="1" applyFill="1" applyBorder="1" applyAlignment="1" applyProtection="1">
      <alignment horizontal="center" vertical="center"/>
      <protection hidden="1"/>
    </xf>
    <xf numFmtId="190" fontId="27" fillId="31" borderId="48" xfId="35" applyNumberFormat="1" applyFont="1" applyFill="1" applyBorder="1" applyAlignment="1" applyProtection="1">
      <alignment horizontal="center" vertical="center"/>
      <protection hidden="1"/>
    </xf>
    <xf numFmtId="190" fontId="27" fillId="31" borderId="50" xfId="35" applyNumberFormat="1" applyFont="1" applyFill="1" applyBorder="1" applyAlignment="1" applyProtection="1">
      <alignment horizontal="center" vertical="center"/>
      <protection hidden="1"/>
    </xf>
    <xf numFmtId="0" fontId="41" fillId="24" borderId="10" xfId="0" applyFont="1" applyFill="1" applyBorder="1" applyProtection="1">
      <alignment vertical="center"/>
      <protection hidden="1"/>
    </xf>
    <xf numFmtId="190" fontId="41" fillId="26" borderId="50" xfId="35" applyNumberFormat="1" applyFont="1" applyFill="1" applyBorder="1" applyAlignment="1" applyProtection="1">
      <alignment horizontal="center" vertical="center"/>
      <protection hidden="1"/>
    </xf>
    <xf numFmtId="190" fontId="41" fillId="24" borderId="50" xfId="35" applyNumberFormat="1" applyFont="1" applyFill="1" applyBorder="1" applyAlignment="1" applyProtection="1">
      <alignment horizontal="center"/>
      <protection hidden="1"/>
    </xf>
    <xf numFmtId="2" fontId="67" fillId="24" borderId="10" xfId="0" applyNumberFormat="1" applyFont="1" applyFill="1" applyBorder="1" applyAlignment="1" applyProtection="1">
      <alignment horizontal="left" vertical="center"/>
      <protection hidden="1"/>
    </xf>
    <xf numFmtId="190" fontId="27" fillId="24" borderId="10" xfId="35" applyNumberFormat="1" applyFont="1" applyFill="1" applyBorder="1" applyAlignment="1" applyProtection="1">
      <alignment horizontal="center"/>
      <protection hidden="1"/>
    </xf>
    <xf numFmtId="190" fontId="27" fillId="24" borderId="50" xfId="35" applyNumberFormat="1" applyFont="1" applyFill="1" applyBorder="1" applyAlignment="1" applyProtection="1">
      <alignment horizontal="center"/>
      <protection hidden="1"/>
    </xf>
    <xf numFmtId="0" fontId="154" fillId="31" borderId="10" xfId="0" applyFont="1" applyFill="1" applyBorder="1" applyAlignment="1" applyProtection="1">
      <alignment horizontal="left" vertical="center"/>
      <protection hidden="1"/>
    </xf>
    <xf numFmtId="0" fontId="41" fillId="31" borderId="10" xfId="0" applyFont="1" applyFill="1" applyBorder="1" applyAlignment="1" applyProtection="1">
      <alignment vertical="center"/>
      <protection hidden="1"/>
    </xf>
    <xf numFmtId="187" fontId="154" fillId="31" borderId="10" xfId="35" applyNumberFormat="1" applyFont="1" applyFill="1" applyBorder="1" applyAlignment="1" applyProtection="1">
      <protection hidden="1"/>
    </xf>
    <xf numFmtId="0" fontId="154" fillId="31" borderId="10" xfId="0" applyNumberFormat="1" applyFont="1" applyFill="1" applyBorder="1" applyAlignment="1" applyProtection="1">
      <alignment horizontal="left" vertical="center"/>
      <protection hidden="1"/>
    </xf>
    <xf numFmtId="197" fontId="60" fillId="38" borderId="58" xfId="35" applyNumberFormat="1" applyFont="1" applyFill="1" applyBorder="1" applyAlignment="1" applyProtection="1">
      <alignment horizontal="center" vertical="center"/>
      <protection hidden="1"/>
    </xf>
    <xf numFmtId="0" fontId="4" fillId="38" borderId="10" xfId="0" applyNumberFormat="1" applyFont="1" applyFill="1" applyBorder="1" applyAlignment="1" applyProtection="1">
      <alignment horizontal="center" vertical="center"/>
      <protection hidden="1"/>
    </xf>
    <xf numFmtId="190" fontId="41" fillId="38" borderId="10" xfId="35" applyNumberFormat="1" applyFont="1" applyFill="1" applyBorder="1" applyAlignment="1" applyProtection="1">
      <alignment horizontal="center" vertical="top"/>
      <protection hidden="1"/>
    </xf>
    <xf numFmtId="190" fontId="41" fillId="38" borderId="48" xfId="35" applyNumberFormat="1" applyFont="1" applyFill="1" applyBorder="1" applyAlignment="1" applyProtection="1">
      <alignment horizontal="center" vertical="top"/>
      <protection hidden="1"/>
    </xf>
    <xf numFmtId="190" fontId="41" fillId="38" borderId="50" xfId="0" applyNumberFormat="1" applyFont="1" applyFill="1" applyBorder="1" applyAlignment="1" applyProtection="1">
      <alignment horizontal="center" vertical="top"/>
      <protection hidden="1"/>
    </xf>
    <xf numFmtId="190" fontId="41" fillId="38" borderId="10" xfId="0" applyNumberFormat="1" applyFont="1" applyFill="1" applyBorder="1" applyAlignment="1" applyProtection="1">
      <alignment horizontal="center" vertical="top"/>
      <protection hidden="1"/>
    </xf>
    <xf numFmtId="0" fontId="41" fillId="24" borderId="10" xfId="0" quotePrefix="1" applyNumberFormat="1" applyFont="1" applyFill="1" applyBorder="1" applyAlignment="1" applyProtection="1">
      <alignment horizontal="left" vertical="center"/>
      <protection hidden="1"/>
    </xf>
    <xf numFmtId="0" fontId="154" fillId="24" borderId="10" xfId="0" quotePrefix="1" applyNumberFormat="1" applyFont="1" applyFill="1" applyBorder="1" applyAlignment="1" applyProtection="1">
      <alignment horizontal="left" vertical="center"/>
      <protection hidden="1"/>
    </xf>
    <xf numFmtId="2" fontId="154" fillId="24" borderId="10" xfId="35" applyNumberFormat="1" applyFont="1" applyFill="1" applyBorder="1" applyAlignment="1" applyProtection="1">
      <alignment horizontal="center" vertical="center"/>
      <protection hidden="1"/>
    </xf>
    <xf numFmtId="0" fontId="67" fillId="24" borderId="10" xfId="0" quotePrefix="1" applyNumberFormat="1" applyFont="1" applyFill="1" applyBorder="1" applyAlignment="1" applyProtection="1">
      <alignment horizontal="left" vertical="center"/>
      <protection hidden="1"/>
    </xf>
    <xf numFmtId="40" fontId="67" fillId="0" borderId="0" xfId="35" applyNumberFormat="1" applyFont="1" applyFill="1" applyBorder="1" applyAlignment="1" applyProtection="1">
      <protection hidden="1"/>
    </xf>
    <xf numFmtId="0" fontId="67" fillId="0" borderId="0" xfId="35" applyNumberFormat="1" applyFont="1" applyFill="1" applyBorder="1" applyAlignment="1"/>
    <xf numFmtId="0" fontId="27" fillId="24" borderId="10" xfId="0" applyFont="1" applyFill="1" applyBorder="1" applyAlignment="1" applyProtection="1">
      <alignment horizontal="left" vertical="center"/>
      <protection hidden="1"/>
    </xf>
    <xf numFmtId="0" fontId="6" fillId="0" borderId="0" xfId="0" applyFont="1" applyFill="1" applyBorder="1">
      <alignment vertical="center"/>
    </xf>
    <xf numFmtId="0" fontId="154" fillId="26" borderId="10" xfId="0" applyNumberFormat="1" applyFont="1" applyFill="1" applyBorder="1" applyAlignment="1" applyProtection="1">
      <alignment vertical="center"/>
      <protection hidden="1"/>
    </xf>
    <xf numFmtId="190" fontId="41" fillId="26" borderId="48" xfId="35" applyNumberFormat="1" applyFont="1" applyFill="1" applyBorder="1" applyAlignment="1" applyProtection="1">
      <alignment horizontal="center" vertical="center"/>
      <protection hidden="1"/>
    </xf>
    <xf numFmtId="190" fontId="41" fillId="26" borderId="50" xfId="0" applyNumberFormat="1" applyFont="1" applyFill="1" applyBorder="1" applyAlignment="1" applyProtection="1">
      <alignment horizontal="center"/>
      <protection hidden="1"/>
    </xf>
    <xf numFmtId="190" fontId="41" fillId="26" borderId="10" xfId="0" applyNumberFormat="1" applyFont="1" applyFill="1" applyBorder="1" applyAlignment="1" applyProtection="1">
      <alignment horizontal="center"/>
      <protection hidden="1"/>
    </xf>
    <xf numFmtId="0" fontId="154" fillId="0" borderId="0" xfId="0" applyNumberFormat="1" applyFont="1" applyFill="1" applyBorder="1">
      <alignment vertical="center"/>
    </xf>
    <xf numFmtId="190" fontId="41" fillId="24" borderId="50" xfId="0" applyNumberFormat="1" applyFont="1" applyFill="1" applyBorder="1" applyAlignment="1" applyProtection="1">
      <alignment horizontal="center"/>
      <protection hidden="1"/>
    </xf>
    <xf numFmtId="190" fontId="41" fillId="24" borderId="10" xfId="0" applyNumberFormat="1" applyFont="1" applyFill="1" applyBorder="1" applyAlignment="1" applyProtection="1">
      <alignment horizontal="center"/>
      <protection hidden="1"/>
    </xf>
    <xf numFmtId="190" fontId="27" fillId="24" borderId="50" xfId="0" applyNumberFormat="1" applyFont="1" applyFill="1" applyBorder="1" applyAlignment="1" applyProtection="1">
      <alignment horizontal="center"/>
      <protection hidden="1"/>
    </xf>
    <xf numFmtId="0" fontId="41" fillId="24" borderId="10" xfId="0" applyFont="1" applyFill="1" applyBorder="1" applyAlignment="1" applyProtection="1">
      <alignment horizontal="left" vertical="center"/>
      <protection hidden="1"/>
    </xf>
    <xf numFmtId="190" fontId="41" fillId="24" borderId="50" xfId="35" applyNumberFormat="1" applyFont="1" applyFill="1" applyBorder="1" applyAlignment="1" applyProtection="1">
      <alignment horizontal="center" vertical="center"/>
      <protection hidden="1"/>
    </xf>
    <xf numFmtId="187" fontId="27" fillId="24" borderId="10" xfId="35" applyNumberFormat="1" applyFont="1" applyFill="1" applyBorder="1" applyAlignment="1" applyProtection="1">
      <protection hidden="1"/>
    </xf>
    <xf numFmtId="0" fontId="41" fillId="0" borderId="0" xfId="0" applyFont="1" applyFill="1" applyBorder="1" applyProtection="1">
      <alignment vertical="center"/>
      <protection hidden="1"/>
    </xf>
    <xf numFmtId="49" fontId="27" fillId="24" borderId="10" xfId="0" applyNumberFormat="1" applyFont="1" applyFill="1" applyBorder="1" applyAlignment="1" applyProtection="1">
      <alignment horizontal="left" vertical="center"/>
      <protection hidden="1"/>
    </xf>
    <xf numFmtId="0" fontId="27" fillId="24" borderId="49" xfId="0" applyNumberFormat="1" applyFont="1" applyFill="1" applyBorder="1" applyAlignment="1" applyProtection="1">
      <alignment horizontal="left" vertical="center" shrinkToFit="1"/>
      <protection hidden="1"/>
    </xf>
    <xf numFmtId="0" fontId="27" fillId="24" borderId="48" xfId="0" applyNumberFormat="1" applyFont="1" applyFill="1" applyBorder="1" applyAlignment="1" applyProtection="1">
      <alignment horizontal="left" vertical="center" shrinkToFit="1"/>
      <protection hidden="1"/>
    </xf>
    <xf numFmtId="186" fontId="67" fillId="0" borderId="0" xfId="35" applyNumberFormat="1" applyFont="1" applyFill="1" applyBorder="1" applyAlignment="1"/>
    <xf numFmtId="177" fontId="163" fillId="0" borderId="0" xfId="35" applyNumberFormat="1" applyFont="1" applyFill="1" applyBorder="1" applyAlignment="1" applyProtection="1">
      <alignment horizontal="left"/>
      <protection hidden="1"/>
    </xf>
    <xf numFmtId="0" fontId="165" fillId="0" borderId="0" xfId="0" applyNumberFormat="1" applyFont="1" applyFill="1" applyBorder="1" applyAlignment="1" applyProtection="1">
      <alignment horizontal="left" vertical="center"/>
      <protection hidden="1"/>
    </xf>
    <xf numFmtId="177" fontId="67" fillId="0" borderId="0" xfId="35" applyNumberFormat="1" applyFont="1" applyFill="1" applyBorder="1" applyAlignment="1" applyProtection="1">
      <protection hidden="1"/>
    </xf>
    <xf numFmtId="0" fontId="6" fillId="38" borderId="48" xfId="0" applyFont="1" applyFill="1" applyBorder="1" applyAlignment="1" applyProtection="1">
      <alignment horizontal="centerContinuous" vertical="center"/>
      <protection hidden="1"/>
    </xf>
    <xf numFmtId="177" fontId="67" fillId="38" borderId="10" xfId="35" applyNumberFormat="1" applyFont="1" applyFill="1" applyBorder="1" applyAlignment="1" applyProtection="1">
      <alignment horizontal="centerContinuous" vertical="center"/>
      <protection hidden="1"/>
    </xf>
    <xf numFmtId="0" fontId="67" fillId="38" borderId="49" xfId="0" applyFont="1" applyFill="1" applyBorder="1" applyAlignment="1" applyProtection="1">
      <alignment horizontal="centerContinuous" vertical="center"/>
      <protection hidden="1"/>
    </xf>
    <xf numFmtId="0" fontId="6" fillId="38" borderId="24" xfId="0" applyFont="1" applyFill="1" applyBorder="1" applyAlignment="1" applyProtection="1">
      <alignment horizontal="left" vertical="center"/>
      <protection hidden="1"/>
    </xf>
    <xf numFmtId="186" fontId="67" fillId="38" borderId="50" xfId="35" applyNumberFormat="1" applyFont="1" applyFill="1" applyBorder="1" applyAlignment="1" applyProtection="1">
      <protection hidden="1"/>
    </xf>
    <xf numFmtId="186" fontId="29" fillId="38" borderId="50" xfId="35" applyNumberFormat="1" applyFont="1" applyFill="1" applyBorder="1" applyAlignment="1" applyProtection="1">
      <protection hidden="1"/>
    </xf>
    <xf numFmtId="186" fontId="154" fillId="26" borderId="10" xfId="35" applyNumberFormat="1" applyFont="1" applyFill="1" applyBorder="1" applyAlignment="1" applyProtection="1">
      <alignment horizontal="right"/>
      <protection hidden="1"/>
    </xf>
    <xf numFmtId="186" fontId="154" fillId="24" borderId="10" xfId="35" applyNumberFormat="1" applyFont="1" applyFill="1" applyBorder="1" applyAlignment="1" applyProtection="1">
      <alignment horizontal="right"/>
      <protection hidden="1"/>
    </xf>
    <xf numFmtId="186" fontId="67" fillId="24" borderId="10" xfId="0" applyNumberFormat="1" applyFont="1" applyFill="1" applyBorder="1" applyProtection="1">
      <alignment vertical="center"/>
      <protection hidden="1"/>
    </xf>
    <xf numFmtId="186" fontId="41" fillId="24" borderId="10" xfId="0" applyNumberFormat="1" applyFont="1" applyFill="1" applyBorder="1" applyAlignment="1" applyProtection="1">
      <alignment vertical="center"/>
      <protection hidden="1"/>
    </xf>
    <xf numFmtId="187" fontId="41" fillId="24" borderId="10" xfId="0" applyNumberFormat="1" applyFont="1" applyFill="1" applyBorder="1" applyAlignment="1" applyProtection="1">
      <alignment vertical="center"/>
      <protection hidden="1"/>
    </xf>
    <xf numFmtId="2" fontId="41" fillId="24" borderId="10" xfId="35" applyNumberFormat="1" applyFont="1" applyFill="1" applyBorder="1" applyAlignment="1" applyProtection="1">
      <alignment horizontal="center"/>
      <protection hidden="1"/>
    </xf>
    <xf numFmtId="2" fontId="41" fillId="24" borderId="48" xfId="35" applyNumberFormat="1" applyFont="1" applyFill="1" applyBorder="1" applyAlignment="1" applyProtection="1">
      <alignment horizontal="center" vertical="center"/>
      <protection hidden="1"/>
    </xf>
    <xf numFmtId="186" fontId="67" fillId="24" borderId="10" xfId="35" applyNumberFormat="1" applyFont="1" applyFill="1" applyBorder="1" applyAlignment="1" applyProtection="1">
      <alignment horizontal="right"/>
      <protection hidden="1"/>
    </xf>
    <xf numFmtId="177" fontId="27" fillId="24" borderId="48" xfId="0" applyNumberFormat="1" applyFont="1" applyFill="1" applyBorder="1" applyAlignment="1" applyProtection="1">
      <alignment horizontal="center" vertical="center"/>
      <protection hidden="1"/>
    </xf>
    <xf numFmtId="2" fontId="27" fillId="24" borderId="10" xfId="0" applyNumberFormat="1" applyFont="1" applyFill="1" applyBorder="1" applyAlignment="1" applyProtection="1">
      <alignment horizontal="center"/>
      <protection hidden="1"/>
    </xf>
    <xf numFmtId="186" fontId="27" fillId="24" borderId="10" xfId="35" applyNumberFormat="1" applyFont="1" applyFill="1" applyBorder="1" applyAlignment="1" applyProtection="1">
      <alignment horizontal="right"/>
      <protection hidden="1"/>
    </xf>
    <xf numFmtId="40" fontId="27" fillId="0" borderId="0" xfId="35" applyNumberFormat="1" applyFont="1" applyFill="1" applyBorder="1" applyAlignment="1" applyProtection="1">
      <alignment vertical="center"/>
      <protection hidden="1"/>
    </xf>
    <xf numFmtId="0" fontId="27" fillId="24" borderId="10" xfId="0" applyNumberFormat="1" applyFont="1" applyFill="1" applyBorder="1" applyAlignment="1" applyProtection="1">
      <alignment horizontal="center" vertical="center"/>
      <protection hidden="1"/>
    </xf>
    <xf numFmtId="0" fontId="27" fillId="0" borderId="0" xfId="35" applyNumberFormat="1" applyFont="1" applyFill="1" applyBorder="1" applyAlignment="1">
      <alignment vertical="center"/>
    </xf>
    <xf numFmtId="2" fontId="27" fillId="24" borderId="10" xfId="0" applyNumberFormat="1" applyFont="1" applyFill="1" applyBorder="1" applyAlignment="1" applyProtection="1">
      <alignment horizontal="left" vertical="center"/>
      <protection hidden="1"/>
    </xf>
    <xf numFmtId="186" fontId="27" fillId="24" borderId="10" xfId="0" applyNumberFormat="1" applyFont="1" applyFill="1" applyBorder="1" applyProtection="1">
      <alignment vertical="center"/>
      <protection hidden="1"/>
    </xf>
    <xf numFmtId="0" fontId="27" fillId="24" borderId="10" xfId="0" applyFont="1" applyFill="1" applyBorder="1" applyAlignment="1" applyProtection="1">
      <alignment horizontal="right" vertical="center"/>
      <protection hidden="1"/>
    </xf>
    <xf numFmtId="186" fontId="67" fillId="31" borderId="10" xfId="0" applyNumberFormat="1" applyFont="1" applyFill="1" applyBorder="1" applyProtection="1">
      <alignment vertical="center"/>
      <protection hidden="1"/>
    </xf>
    <xf numFmtId="187" fontId="27" fillId="24" borderId="10" xfId="0" applyNumberFormat="1" applyFont="1" applyFill="1" applyBorder="1">
      <alignment vertical="center"/>
    </xf>
    <xf numFmtId="187" fontId="41" fillId="24" borderId="10" xfId="0" applyNumberFormat="1" applyFont="1" applyFill="1" applyBorder="1">
      <alignment vertical="center"/>
    </xf>
    <xf numFmtId="186" fontId="154" fillId="31" borderId="10" xfId="35" applyNumberFormat="1" applyFont="1" applyFill="1" applyBorder="1" applyAlignment="1" applyProtection="1">
      <alignment horizontal="right"/>
      <protection hidden="1"/>
    </xf>
    <xf numFmtId="40" fontId="29" fillId="38" borderId="10" xfId="35" applyNumberFormat="1" applyFont="1" applyFill="1" applyBorder="1" applyAlignment="1" applyProtection="1">
      <alignment horizontal="center" vertical="top"/>
      <protection hidden="1"/>
    </xf>
    <xf numFmtId="40" fontId="29" fillId="38" borderId="48" xfId="35" applyNumberFormat="1" applyFont="1" applyFill="1" applyBorder="1" applyAlignment="1" applyProtection="1">
      <alignment horizontal="center" vertical="top"/>
      <protection hidden="1"/>
    </xf>
    <xf numFmtId="2" fontId="29" fillId="38" borderId="50" xfId="0" applyNumberFormat="1" applyFont="1" applyFill="1" applyBorder="1" applyAlignment="1" applyProtection="1">
      <alignment horizontal="center" vertical="top"/>
      <protection hidden="1"/>
    </xf>
    <xf numFmtId="2" fontId="29" fillId="38" borderId="10" xfId="0" applyNumberFormat="1" applyFont="1" applyFill="1" applyBorder="1" applyAlignment="1" applyProtection="1">
      <alignment horizontal="center" vertical="top"/>
      <protection hidden="1"/>
    </xf>
    <xf numFmtId="186" fontId="154" fillId="26" borderId="10" xfId="35" applyNumberFormat="1" applyFont="1" applyFill="1" applyBorder="1" applyAlignment="1" applyProtection="1">
      <alignment horizontal="right" vertical="center"/>
      <protection hidden="1"/>
    </xf>
    <xf numFmtId="49" fontId="154" fillId="24" borderId="10" xfId="0" quotePrefix="1" applyNumberFormat="1" applyFont="1" applyFill="1" applyBorder="1" applyAlignment="1" applyProtection="1">
      <alignment horizontal="left" vertical="center"/>
      <protection hidden="1"/>
    </xf>
    <xf numFmtId="0" fontId="41" fillId="24" borderId="50" xfId="0" applyNumberFormat="1" applyFont="1" applyFill="1" applyBorder="1" applyAlignment="1" applyProtection="1">
      <alignment horizontal="left" vertical="center"/>
      <protection hidden="1"/>
    </xf>
    <xf numFmtId="0" fontId="27" fillId="24" borderId="50" xfId="0" applyNumberFormat="1" applyFont="1" applyFill="1" applyBorder="1" applyAlignment="1" applyProtection="1">
      <alignment horizontal="left" vertical="center"/>
      <protection hidden="1"/>
    </xf>
    <xf numFmtId="0" fontId="37" fillId="24" borderId="50" xfId="0" applyNumberFormat="1" applyFont="1" applyFill="1" applyBorder="1" applyAlignment="1" applyProtection="1">
      <alignment horizontal="left" vertical="center"/>
      <protection hidden="1"/>
    </xf>
    <xf numFmtId="2" fontId="154" fillId="24" borderId="50" xfId="35" applyNumberFormat="1" applyFont="1" applyFill="1" applyBorder="1" applyAlignment="1" applyProtection="1">
      <alignment horizontal="center" vertical="center"/>
      <protection hidden="1"/>
    </xf>
    <xf numFmtId="0" fontId="27" fillId="24" borderId="10" xfId="0" applyNumberFormat="1" applyFont="1" applyFill="1" applyBorder="1" applyAlignment="1" applyProtection="1">
      <alignment horizontal="left" vertical="center" shrinkToFit="1"/>
      <protection hidden="1"/>
    </xf>
    <xf numFmtId="49" fontId="67" fillId="0" borderId="0" xfId="35" applyNumberFormat="1" applyFont="1" applyFill="1" applyBorder="1" applyAlignment="1">
      <alignment horizontal="left"/>
    </xf>
    <xf numFmtId="49" fontId="163" fillId="0" borderId="0" xfId="0" applyNumberFormat="1" applyFont="1" applyFill="1" applyBorder="1" applyAlignment="1" applyProtection="1">
      <alignment horizontal="left" vertical="center"/>
      <protection hidden="1"/>
    </xf>
    <xf numFmtId="0" fontId="6" fillId="38" borderId="10" xfId="0" applyFont="1" applyFill="1" applyBorder="1" applyAlignment="1" applyProtection="1">
      <alignment horizontal="left" vertical="center"/>
      <protection hidden="1"/>
    </xf>
    <xf numFmtId="0" fontId="27" fillId="24" borderId="53" xfId="0" applyNumberFormat="1" applyFont="1" applyFill="1" applyBorder="1" applyAlignment="1" applyProtection="1">
      <alignment horizontal="left" vertical="center"/>
      <protection hidden="1"/>
    </xf>
    <xf numFmtId="0" fontId="27" fillId="24" borderId="50" xfId="0" applyFont="1" applyFill="1" applyBorder="1" applyAlignment="1" applyProtection="1">
      <alignment vertical="center"/>
      <protection hidden="1"/>
    </xf>
    <xf numFmtId="187" fontId="41" fillId="24" borderId="10" xfId="35" applyNumberFormat="1" applyFont="1" applyFill="1" applyBorder="1" applyAlignment="1" applyProtection="1">
      <protection hidden="1"/>
    </xf>
    <xf numFmtId="49" fontId="41" fillId="24" borderId="10" xfId="0" applyNumberFormat="1" applyFont="1" applyFill="1" applyBorder="1" applyAlignment="1" applyProtection="1">
      <alignment horizontal="left" vertical="center"/>
      <protection hidden="1"/>
    </xf>
    <xf numFmtId="0" fontId="27" fillId="24" borderId="50" xfId="0" applyNumberFormat="1" applyFont="1" applyFill="1" applyBorder="1" applyAlignment="1" applyProtection="1">
      <alignment horizontal="left" vertical="center" shrinkToFit="1"/>
      <protection hidden="1"/>
    </xf>
    <xf numFmtId="0" fontId="0" fillId="0" borderId="0" xfId="0" applyAlignment="1">
      <alignment horizontal="left" vertical="center"/>
    </xf>
    <xf numFmtId="0" fontId="6" fillId="0" borderId="0" xfId="0" applyFont="1">
      <alignment vertical="center"/>
    </xf>
    <xf numFmtId="38" fontId="163" fillId="0" borderId="0" xfId="35" applyFont="1" applyFill="1" applyBorder="1" applyAlignment="1" applyProtection="1">
      <protection hidden="1"/>
    </xf>
    <xf numFmtId="0" fontId="27" fillId="38" borderId="58" xfId="0" applyFont="1" applyFill="1" applyBorder="1" applyAlignment="1" applyProtection="1">
      <alignment vertical="center"/>
      <protection hidden="1"/>
    </xf>
    <xf numFmtId="40" fontId="67" fillId="38" borderId="10" xfId="35" applyNumberFormat="1" applyFont="1" applyFill="1" applyBorder="1" applyAlignment="1" applyProtection="1">
      <alignment horizontal="center" vertical="top"/>
      <protection hidden="1"/>
    </xf>
    <xf numFmtId="40" fontId="67" fillId="38" borderId="48" xfId="35" applyNumberFormat="1" applyFont="1" applyFill="1" applyBorder="1" applyAlignment="1" applyProtection="1">
      <alignment horizontal="center" vertical="top"/>
      <protection hidden="1"/>
    </xf>
    <xf numFmtId="0" fontId="60" fillId="38" borderId="58" xfId="0" applyFont="1" applyFill="1" applyBorder="1" applyAlignment="1" applyProtection="1">
      <alignment vertical="center"/>
      <protection hidden="1"/>
    </xf>
    <xf numFmtId="187" fontId="41" fillId="26" borderId="10" xfId="0" applyNumberFormat="1" applyFont="1" applyFill="1" applyBorder="1" applyAlignment="1" applyProtection="1">
      <alignment vertical="center"/>
      <protection hidden="1"/>
    </xf>
    <xf numFmtId="190" fontId="154" fillId="26" borderId="10" xfId="35" applyNumberFormat="1" applyFont="1" applyFill="1" applyBorder="1" applyAlignment="1" applyProtection="1">
      <alignment horizontal="center" vertical="center"/>
      <protection hidden="1"/>
    </xf>
    <xf numFmtId="190" fontId="154" fillId="26" borderId="50" xfId="35" applyNumberFormat="1" applyFont="1" applyFill="1" applyBorder="1" applyAlignment="1" applyProtection="1">
      <alignment horizontal="center" vertical="center"/>
      <protection hidden="1"/>
    </xf>
    <xf numFmtId="190" fontId="154" fillId="24" borderId="10" xfId="35" applyNumberFormat="1" applyFont="1" applyFill="1" applyBorder="1" applyAlignment="1" applyProtection="1">
      <alignment horizontal="center"/>
      <protection hidden="1"/>
    </xf>
    <xf numFmtId="190" fontId="154" fillId="24" borderId="48" xfId="35" applyNumberFormat="1" applyFont="1" applyFill="1" applyBorder="1" applyAlignment="1" applyProtection="1">
      <alignment horizontal="center" vertical="center"/>
      <protection hidden="1"/>
    </xf>
    <xf numFmtId="190" fontId="154" fillId="24" borderId="50" xfId="35" applyNumberFormat="1" applyFont="1" applyFill="1" applyBorder="1" applyAlignment="1" applyProtection="1">
      <alignment horizontal="center"/>
      <protection hidden="1"/>
    </xf>
    <xf numFmtId="190" fontId="67" fillId="24" borderId="10" xfId="35" applyNumberFormat="1" applyFont="1" applyFill="1" applyBorder="1" applyAlignment="1" applyProtection="1">
      <alignment horizontal="center" vertical="center"/>
      <protection hidden="1"/>
    </xf>
    <xf numFmtId="190" fontId="67" fillId="24" borderId="50" xfId="35" applyNumberFormat="1" applyFont="1" applyFill="1" applyBorder="1" applyAlignment="1" applyProtection="1">
      <alignment horizontal="center" vertical="center"/>
      <protection hidden="1"/>
    </xf>
    <xf numFmtId="190" fontId="67" fillId="24" borderId="48" xfId="35" applyNumberFormat="1" applyFont="1" applyFill="1" applyBorder="1" applyAlignment="1" applyProtection="1">
      <alignment horizontal="center" vertical="center"/>
      <protection hidden="1"/>
    </xf>
    <xf numFmtId="190" fontId="154" fillId="24" borderId="48" xfId="0" applyNumberFormat="1" applyFont="1" applyFill="1" applyBorder="1" applyAlignment="1" applyProtection="1">
      <alignment horizontal="center" vertical="center"/>
      <protection hidden="1"/>
    </xf>
    <xf numFmtId="190" fontId="67" fillId="24" borderId="48" xfId="0" applyNumberFormat="1" applyFont="1" applyFill="1" applyBorder="1" applyAlignment="1" applyProtection="1">
      <alignment horizontal="center" vertical="center"/>
      <protection hidden="1"/>
    </xf>
    <xf numFmtId="190" fontId="67" fillId="24" borderId="10" xfId="0" applyNumberFormat="1" applyFont="1" applyFill="1" applyBorder="1" applyAlignment="1" applyProtection="1">
      <alignment horizontal="center"/>
      <protection hidden="1"/>
    </xf>
    <xf numFmtId="190" fontId="154" fillId="24" borderId="10" xfId="35" applyNumberFormat="1" applyFont="1" applyFill="1" applyBorder="1" applyAlignment="1" applyProtection="1">
      <alignment horizontal="center" vertical="center"/>
      <protection hidden="1"/>
    </xf>
    <xf numFmtId="190" fontId="154" fillId="24" borderId="50" xfId="35" applyNumberFormat="1" applyFont="1" applyFill="1" applyBorder="1" applyAlignment="1" applyProtection="1">
      <alignment horizontal="center" vertical="center"/>
      <protection hidden="1"/>
    </xf>
    <xf numFmtId="0" fontId="6" fillId="40" borderId="0" xfId="0" applyFont="1" applyFill="1">
      <alignment vertical="center"/>
    </xf>
    <xf numFmtId="190" fontId="154" fillId="24" borderId="48" xfId="35" applyNumberFormat="1" applyFont="1" applyFill="1" applyBorder="1" applyAlignment="1" applyProtection="1">
      <alignment horizontal="center"/>
      <protection hidden="1"/>
    </xf>
    <xf numFmtId="190" fontId="67" fillId="31" borderId="10" xfId="35" applyNumberFormat="1" applyFont="1" applyFill="1" applyBorder="1" applyAlignment="1" applyProtection="1">
      <alignment horizontal="center" vertical="center"/>
      <protection hidden="1"/>
    </xf>
    <xf numFmtId="190" fontId="67" fillId="31" borderId="48" xfId="35" applyNumberFormat="1" applyFont="1" applyFill="1" applyBorder="1" applyAlignment="1" applyProtection="1">
      <alignment horizontal="center" vertical="center"/>
      <protection hidden="1"/>
    </xf>
    <xf numFmtId="190" fontId="67" fillId="31" borderId="50" xfId="35" applyNumberFormat="1" applyFont="1" applyFill="1" applyBorder="1" applyAlignment="1" applyProtection="1">
      <alignment horizontal="center" vertical="center"/>
      <protection hidden="1"/>
    </xf>
    <xf numFmtId="190" fontId="67" fillId="24" borderId="10" xfId="35" applyNumberFormat="1" applyFont="1" applyFill="1" applyBorder="1" applyAlignment="1" applyProtection="1">
      <alignment horizontal="center"/>
      <protection hidden="1"/>
    </xf>
    <xf numFmtId="190" fontId="67" fillId="24" borderId="50" xfId="35" applyNumberFormat="1" applyFont="1" applyFill="1" applyBorder="1" applyAlignment="1" applyProtection="1">
      <alignment horizontal="center"/>
      <protection hidden="1"/>
    </xf>
    <xf numFmtId="2" fontId="67" fillId="24" borderId="10" xfId="0" applyNumberFormat="1" applyFont="1" applyFill="1" applyBorder="1" applyAlignment="1" applyProtection="1">
      <alignment horizontal="left" vertical="center" shrinkToFit="1"/>
      <protection hidden="1"/>
    </xf>
    <xf numFmtId="190" fontId="154" fillId="31" borderId="10" xfId="35" applyNumberFormat="1" applyFont="1" applyFill="1" applyBorder="1" applyAlignment="1" applyProtection="1">
      <alignment horizontal="center"/>
      <protection hidden="1"/>
    </xf>
    <xf numFmtId="190" fontId="154" fillId="31" borderId="48" xfId="35" applyNumberFormat="1" applyFont="1" applyFill="1" applyBorder="1" applyAlignment="1" applyProtection="1">
      <alignment horizontal="center"/>
      <protection hidden="1"/>
    </xf>
    <xf numFmtId="190" fontId="154" fillId="31" borderId="50" xfId="35" applyNumberFormat="1" applyFont="1" applyFill="1" applyBorder="1" applyAlignment="1" applyProtection="1">
      <alignment horizontal="center"/>
      <protection hidden="1"/>
    </xf>
    <xf numFmtId="190" fontId="29" fillId="38" borderId="10" xfId="0" applyNumberFormat="1" applyFont="1" applyFill="1" applyBorder="1" applyAlignment="1" applyProtection="1">
      <alignment horizontal="center" vertical="top"/>
      <protection hidden="1"/>
    </xf>
    <xf numFmtId="187" fontId="154" fillId="24" borderId="22" xfId="35" applyNumberFormat="1" applyFont="1" applyFill="1" applyBorder="1" applyAlignment="1" applyProtection="1">
      <protection hidden="1"/>
    </xf>
    <xf numFmtId="0" fontId="41" fillId="24" borderId="10" xfId="0" applyNumberFormat="1" applyFont="1" applyFill="1" applyBorder="1" applyAlignment="1" applyProtection="1">
      <alignment horizontal="left" vertical="center" shrinkToFit="1"/>
      <protection hidden="1"/>
    </xf>
    <xf numFmtId="190" fontId="154" fillId="26" borderId="48" xfId="35" applyNumberFormat="1" applyFont="1" applyFill="1" applyBorder="1" applyAlignment="1" applyProtection="1">
      <alignment horizontal="center" vertical="center"/>
      <protection hidden="1"/>
    </xf>
    <xf numFmtId="190" fontId="154" fillId="26" borderId="50" xfId="0" applyNumberFormat="1" applyFont="1" applyFill="1" applyBorder="1" applyAlignment="1" applyProtection="1">
      <alignment horizontal="center"/>
      <protection hidden="1"/>
    </xf>
    <xf numFmtId="190" fontId="154" fillId="26" borderId="10" xfId="0" applyNumberFormat="1" applyFont="1" applyFill="1" applyBorder="1" applyAlignment="1" applyProtection="1">
      <alignment horizontal="center"/>
      <protection hidden="1"/>
    </xf>
    <xf numFmtId="190" fontId="154" fillId="24" borderId="50" xfId="0" applyNumberFormat="1" applyFont="1" applyFill="1" applyBorder="1" applyAlignment="1" applyProtection="1">
      <alignment horizontal="center"/>
      <protection hidden="1"/>
    </xf>
    <xf numFmtId="190" fontId="154" fillId="24" borderId="10" xfId="0" applyNumberFormat="1" applyFont="1" applyFill="1" applyBorder="1" applyAlignment="1" applyProtection="1">
      <alignment horizontal="center"/>
      <protection hidden="1"/>
    </xf>
    <xf numFmtId="190" fontId="67" fillId="24" borderId="50" xfId="0" applyNumberFormat="1" applyFont="1" applyFill="1" applyBorder="1" applyAlignment="1" applyProtection="1">
      <alignment horizontal="center"/>
      <protection hidden="1"/>
    </xf>
    <xf numFmtId="0" fontId="41" fillId="24" borderId="10" xfId="0" applyFont="1" applyFill="1" applyBorder="1" applyAlignment="1" applyProtection="1">
      <alignment horizontal="left" vertical="center" shrinkToFit="1"/>
      <protection hidden="1"/>
    </xf>
    <xf numFmtId="0" fontId="67" fillId="24" borderId="1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44" fillId="0" borderId="0" xfId="0" applyFont="1" applyFill="1" applyProtection="1">
      <alignment vertical="center"/>
      <protection hidden="1"/>
    </xf>
    <xf numFmtId="0" fontId="33" fillId="42" borderId="10" xfId="0" applyFont="1" applyFill="1" applyBorder="1" applyAlignment="1" applyProtection="1">
      <alignment horizontal="center" vertical="center"/>
      <protection locked="0"/>
    </xf>
    <xf numFmtId="0" fontId="169" fillId="31" borderId="88" xfId="0" applyFont="1" applyFill="1" applyBorder="1" applyAlignment="1" applyProtection="1">
      <alignment horizontal="center"/>
      <protection hidden="1"/>
    </xf>
    <xf numFmtId="0" fontId="170" fillId="31" borderId="0" xfId="0" applyNumberFormat="1" applyFont="1" applyFill="1" applyBorder="1" applyAlignment="1" applyProtection="1">
      <alignment horizontal="center" vertical="center"/>
      <protection hidden="1"/>
    </xf>
    <xf numFmtId="0" fontId="171" fillId="31" borderId="0" xfId="0" applyNumberFormat="1" applyFont="1" applyFill="1" applyBorder="1" applyAlignment="1" applyProtection="1">
      <alignment horizontal="left" vertical="center"/>
      <protection hidden="1"/>
    </xf>
    <xf numFmtId="0" fontId="171" fillId="31" borderId="0" xfId="0" applyFont="1" applyFill="1" applyBorder="1" applyAlignment="1" applyProtection="1">
      <alignment horizontal="center" vertical="center"/>
      <protection hidden="1"/>
    </xf>
    <xf numFmtId="0" fontId="169" fillId="31" borderId="88" xfId="0" quotePrefix="1" applyNumberFormat="1" applyFont="1" applyFill="1" applyBorder="1" applyAlignment="1" applyProtection="1">
      <alignment horizontal="left" vertical="center"/>
      <protection hidden="1"/>
    </xf>
    <xf numFmtId="0" fontId="172" fillId="31" borderId="0" xfId="0" applyFont="1" applyFill="1" applyBorder="1" applyAlignment="1" applyProtection="1">
      <alignment horizontal="left"/>
      <protection hidden="1"/>
    </xf>
    <xf numFmtId="0" fontId="173" fillId="31" borderId="0" xfId="0" applyFont="1" applyFill="1" applyBorder="1" applyAlignment="1" applyProtection="1">
      <alignment vertical="center"/>
      <protection hidden="1"/>
    </xf>
    <xf numFmtId="0" fontId="21" fillId="31" borderId="0" xfId="0" applyFont="1" applyFill="1" applyBorder="1" applyAlignment="1" applyProtection="1">
      <alignment vertical="center"/>
      <protection hidden="1"/>
    </xf>
    <xf numFmtId="0" fontId="169" fillId="31" borderId="102" xfId="0" applyFont="1" applyFill="1" applyBorder="1" applyAlignment="1" applyProtection="1">
      <alignment horizontal="center"/>
      <protection hidden="1"/>
    </xf>
    <xf numFmtId="0" fontId="170" fillId="31" borderId="52" xfId="0" applyNumberFormat="1" applyFont="1" applyFill="1" applyBorder="1" applyAlignment="1" applyProtection="1">
      <alignment horizontal="center" vertical="center"/>
      <protection hidden="1"/>
    </xf>
    <xf numFmtId="0" fontId="171" fillId="31" borderId="52" xfId="0" applyNumberFormat="1" applyFont="1" applyFill="1" applyBorder="1" applyAlignment="1" applyProtection="1">
      <alignment horizontal="left" vertical="center"/>
      <protection hidden="1"/>
    </xf>
    <xf numFmtId="0" fontId="171" fillId="31" borderId="52" xfId="0" applyFont="1" applyFill="1" applyBorder="1" applyAlignment="1" applyProtection="1">
      <alignment horizontal="center" vertical="center"/>
      <protection hidden="1"/>
    </xf>
    <xf numFmtId="0" fontId="173" fillId="31" borderId="23" xfId="0" applyFont="1" applyFill="1" applyBorder="1" applyAlignment="1" applyProtection="1">
      <alignment horizontal="center" vertical="center"/>
    </xf>
    <xf numFmtId="0" fontId="173" fillId="31" borderId="52" xfId="0" applyFont="1" applyFill="1" applyBorder="1" applyAlignment="1" applyProtection="1">
      <alignment horizontal="center" vertical="center"/>
    </xf>
    <xf numFmtId="0" fontId="169" fillId="0" borderId="88" xfId="0" quotePrefix="1" applyNumberFormat="1" applyFont="1" applyFill="1" applyBorder="1" applyAlignment="1" applyProtection="1">
      <alignment horizontal="left" vertical="center"/>
      <protection hidden="1"/>
    </xf>
    <xf numFmtId="0" fontId="172" fillId="0" borderId="0" xfId="0" applyFont="1" applyFill="1" applyBorder="1" applyAlignment="1" applyProtection="1">
      <alignment horizontal="left"/>
      <protection hidden="1"/>
    </xf>
    <xf numFmtId="0" fontId="173" fillId="0" borderId="0" xfId="0" applyFont="1" applyFill="1" applyBorder="1" applyAlignment="1" applyProtection="1">
      <alignment vertical="center"/>
      <protection hidden="1"/>
    </xf>
    <xf numFmtId="0" fontId="21" fillId="0" borderId="0" xfId="0" applyFont="1" applyFill="1" applyBorder="1" applyAlignment="1" applyProtection="1">
      <alignment vertical="center"/>
      <protection hidden="1"/>
    </xf>
    <xf numFmtId="179" fontId="174" fillId="0" borderId="59" xfId="0" applyNumberFormat="1" applyFont="1" applyFill="1" applyBorder="1" applyAlignment="1" applyProtection="1">
      <alignment horizontal="left"/>
    </xf>
    <xf numFmtId="179" fontId="174" fillId="0" borderId="0" xfId="0" applyNumberFormat="1" applyFont="1" applyFill="1" applyBorder="1" applyAlignment="1" applyProtection="1">
      <alignment horizontal="left"/>
    </xf>
    <xf numFmtId="38" fontId="11" fillId="36" borderId="10" xfId="0" applyNumberFormat="1" applyFont="1" applyFill="1" applyBorder="1" applyProtection="1">
      <alignment vertical="center"/>
      <protection hidden="1"/>
    </xf>
    <xf numFmtId="0" fontId="100" fillId="36" borderId="10" xfId="35" applyNumberFormat="1" applyFont="1" applyFill="1" applyBorder="1" applyProtection="1">
      <alignment vertical="center"/>
      <protection hidden="1"/>
    </xf>
    <xf numFmtId="0" fontId="28" fillId="0" borderId="86" xfId="0" applyFont="1" applyFill="1" applyBorder="1" applyAlignment="1" applyProtection="1">
      <alignment horizontal="right" vertical="center"/>
      <protection hidden="1"/>
    </xf>
    <xf numFmtId="0" fontId="28" fillId="0" borderId="198" xfId="0" applyFont="1" applyFill="1" applyBorder="1" applyAlignment="1" applyProtection="1">
      <alignment horizontal="right" vertical="center"/>
      <protection hidden="1"/>
    </xf>
    <xf numFmtId="0" fontId="100" fillId="0" borderId="199" xfId="0" applyFont="1" applyFill="1" applyBorder="1" applyProtection="1">
      <alignment vertical="center"/>
      <protection hidden="1"/>
    </xf>
    <xf numFmtId="0" fontId="28" fillId="0" borderId="86" xfId="0" applyFont="1" applyFill="1" applyBorder="1" applyAlignment="1" applyProtection="1">
      <alignment vertical="center"/>
      <protection hidden="1"/>
    </xf>
    <xf numFmtId="0" fontId="6" fillId="0" borderId="0" xfId="35" applyNumberFormat="1" applyFont="1" applyFill="1" applyBorder="1" applyAlignment="1" applyProtection="1">
      <protection hidden="1"/>
    </xf>
    <xf numFmtId="185" fontId="75" fillId="0" borderId="10" xfId="0" applyNumberFormat="1" applyFont="1" applyFill="1" applyBorder="1" applyProtection="1">
      <alignment vertical="center"/>
      <protection hidden="1"/>
    </xf>
    <xf numFmtId="0" fontId="11" fillId="0" borderId="0" xfId="0" applyFont="1" applyFill="1" applyProtection="1">
      <alignment vertical="center"/>
      <protection hidden="1"/>
    </xf>
    <xf numFmtId="178" fontId="27" fillId="24" borderId="48" xfId="0" applyNumberFormat="1" applyFont="1" applyFill="1" applyBorder="1" applyAlignment="1" applyProtection="1">
      <alignment horizontal="center" vertical="center"/>
      <protection hidden="1"/>
    </xf>
    <xf numFmtId="0" fontId="6" fillId="0" borderId="0" xfId="35" applyNumberFormat="1" applyFont="1" applyFill="1" applyBorder="1" applyAlignment="1" applyProtection="1">
      <alignment wrapText="1"/>
      <protection hidden="1"/>
    </xf>
    <xf numFmtId="0" fontId="50" fillId="0" borderId="198" xfId="0" applyFont="1" applyFill="1" applyBorder="1" applyAlignment="1" applyProtection="1">
      <alignment horizontal="right" vertical="center"/>
      <protection hidden="1"/>
    </xf>
    <xf numFmtId="0" fontId="11" fillId="0" borderId="23" xfId="0" applyFont="1" applyFill="1" applyBorder="1" applyProtection="1">
      <alignment vertical="center"/>
      <protection hidden="1"/>
    </xf>
    <xf numFmtId="0" fontId="100" fillId="0" borderId="23" xfId="0" applyFont="1" applyFill="1" applyBorder="1" applyProtection="1">
      <alignment vertical="center"/>
      <protection hidden="1"/>
    </xf>
    <xf numFmtId="0" fontId="100" fillId="36" borderId="161" xfId="0" applyFont="1" applyFill="1" applyBorder="1" applyProtection="1">
      <alignment vertical="center"/>
      <protection hidden="1"/>
    </xf>
    <xf numFmtId="9" fontId="100" fillId="0" borderId="161" xfId="0" applyNumberFormat="1" applyFont="1" applyFill="1" applyBorder="1" applyProtection="1">
      <alignment vertical="center"/>
      <protection hidden="1"/>
    </xf>
    <xf numFmtId="0" fontId="100" fillId="0" borderId="76" xfId="0" applyFont="1" applyFill="1" applyBorder="1" applyProtection="1">
      <alignment vertical="center"/>
      <protection hidden="1"/>
    </xf>
    <xf numFmtId="0" fontId="100" fillId="36" borderId="119" xfId="0" applyFont="1" applyFill="1" applyBorder="1" applyProtection="1">
      <alignment vertical="center"/>
      <protection hidden="1"/>
    </xf>
    <xf numFmtId="9" fontId="100" fillId="0" borderId="119" xfId="0" applyNumberFormat="1" applyFont="1" applyFill="1" applyBorder="1" applyProtection="1">
      <alignment vertical="center"/>
      <protection hidden="1"/>
    </xf>
    <xf numFmtId="0" fontId="100" fillId="0" borderId="191" xfId="0" applyFont="1" applyFill="1" applyBorder="1" applyProtection="1">
      <alignment vertical="center"/>
      <protection hidden="1"/>
    </xf>
    <xf numFmtId="0" fontId="6" fillId="0" borderId="107" xfId="0" applyFont="1" applyFill="1" applyBorder="1" applyAlignment="1" applyProtection="1">
      <alignment horizontal="center" vertical="center"/>
      <protection hidden="1"/>
    </xf>
    <xf numFmtId="0" fontId="75" fillId="0" borderId="116" xfId="0" applyFont="1" applyFill="1" applyBorder="1" applyProtection="1">
      <alignment vertical="center"/>
      <protection hidden="1"/>
    </xf>
    <xf numFmtId="0" fontId="75" fillId="0" borderId="143" xfId="0" applyFont="1" applyFill="1" applyBorder="1" applyProtection="1">
      <alignment vertical="center"/>
      <protection hidden="1"/>
    </xf>
    <xf numFmtId="0" fontId="75" fillId="0" borderId="0" xfId="0" applyFont="1" applyFill="1" applyBorder="1" applyAlignment="1" applyProtection="1">
      <alignment vertical="center" wrapText="1"/>
      <protection hidden="1"/>
    </xf>
    <xf numFmtId="38" fontId="100" fillId="36" borderId="161" xfId="0" applyNumberFormat="1" applyFont="1" applyFill="1" applyBorder="1" applyProtection="1">
      <alignment vertical="center"/>
      <protection hidden="1"/>
    </xf>
    <xf numFmtId="38" fontId="100" fillId="36" borderId="119" xfId="0" applyNumberFormat="1" applyFont="1" applyFill="1" applyBorder="1" applyProtection="1">
      <alignment vertical="center"/>
      <protection hidden="1"/>
    </xf>
    <xf numFmtId="0" fontId="27" fillId="24" borderId="49" xfId="0" applyFont="1" applyFill="1" applyBorder="1" applyAlignment="1">
      <alignment horizontal="center" vertical="center" wrapText="1"/>
    </xf>
    <xf numFmtId="178" fontId="27" fillId="24" borderId="193" xfId="0" quotePrefix="1" applyNumberFormat="1" applyFont="1" applyFill="1" applyBorder="1" applyAlignment="1">
      <alignment horizontal="center" vertical="center"/>
    </xf>
    <xf numFmtId="177" fontId="27" fillId="24" borderId="193" xfId="0" applyNumberFormat="1" applyFont="1" applyFill="1" applyBorder="1" applyAlignment="1">
      <alignment horizontal="center" vertical="center"/>
    </xf>
    <xf numFmtId="178" fontId="27" fillId="24" borderId="54" xfId="0" applyNumberFormat="1" applyFont="1" applyFill="1" applyBorder="1" applyAlignment="1">
      <alignment horizontal="center" vertical="center" wrapText="1"/>
    </xf>
    <xf numFmtId="178" fontId="27" fillId="24" borderId="54" xfId="0" applyNumberFormat="1" applyFont="1" applyFill="1" applyBorder="1" applyAlignment="1">
      <alignment horizontal="center" vertical="center"/>
    </xf>
    <xf numFmtId="0" fontId="27" fillId="24" borderId="54" xfId="0" applyFont="1" applyFill="1" applyBorder="1" applyAlignment="1" applyProtection="1">
      <alignment vertical="center" wrapText="1"/>
      <protection locked="0"/>
    </xf>
    <xf numFmtId="178" fontId="27" fillId="24" borderId="59" xfId="0" applyNumberFormat="1" applyFont="1" applyFill="1" applyBorder="1" applyAlignment="1">
      <alignment horizontal="right" vertical="center" wrapText="1"/>
    </xf>
    <xf numFmtId="178" fontId="27" fillId="24" borderId="193" xfId="0" applyNumberFormat="1" applyFont="1" applyFill="1" applyBorder="1" applyAlignment="1">
      <alignment horizontal="right" vertical="center" wrapText="1"/>
    </xf>
    <xf numFmtId="0" fontId="27" fillId="24" borderId="193" xfId="0" applyFont="1" applyFill="1" applyBorder="1" applyAlignment="1" applyProtection="1">
      <alignment vertical="center" wrapText="1"/>
      <protection locked="0"/>
    </xf>
    <xf numFmtId="178" fontId="27" fillId="24" borderId="22" xfId="0" applyNumberFormat="1" applyFont="1" applyFill="1" applyBorder="1" applyAlignment="1">
      <alignment horizontal="center" vertical="center"/>
    </xf>
    <xf numFmtId="178" fontId="27" fillId="24" borderId="22" xfId="0" quotePrefix="1" applyNumberFormat="1" applyFont="1" applyFill="1" applyBorder="1" applyAlignment="1">
      <alignment horizontal="center" vertical="center"/>
    </xf>
    <xf numFmtId="0" fontId="27" fillId="24" borderId="22" xfId="0" applyFont="1" applyFill="1" applyBorder="1" applyAlignment="1" applyProtection="1">
      <alignment vertical="center" wrapText="1"/>
    </xf>
    <xf numFmtId="178" fontId="27" fillId="24" borderId="59" xfId="0" quotePrefix="1" applyNumberFormat="1" applyFont="1" applyFill="1" applyBorder="1" applyAlignment="1">
      <alignment horizontal="center" vertical="center"/>
    </xf>
    <xf numFmtId="0" fontId="27" fillId="24" borderId="54" xfId="0" applyFont="1" applyFill="1" applyBorder="1" applyAlignment="1">
      <alignment horizontal="left" vertical="center" wrapText="1"/>
    </xf>
    <xf numFmtId="178" fontId="27" fillId="24" borderId="54" xfId="0" quotePrefix="1" applyNumberFormat="1" applyFont="1" applyFill="1" applyBorder="1" applyAlignment="1">
      <alignment horizontal="center" vertical="center"/>
    </xf>
    <xf numFmtId="178" fontId="27" fillId="24" borderId="22" xfId="0" applyNumberFormat="1" applyFont="1" applyFill="1" applyBorder="1" applyAlignment="1">
      <alignment horizontal="left" vertical="center" wrapText="1"/>
    </xf>
    <xf numFmtId="177" fontId="27" fillId="27" borderId="193" xfId="0" applyNumberFormat="1" applyFont="1" applyFill="1" applyBorder="1" applyAlignment="1" applyProtection="1">
      <alignment horizontal="center" vertical="center"/>
      <protection locked="0"/>
    </xf>
    <xf numFmtId="177" fontId="27" fillId="27" borderId="54" xfId="0" applyNumberFormat="1" applyFont="1" applyFill="1" applyBorder="1" applyAlignment="1" applyProtection="1">
      <alignment horizontal="center" vertical="center"/>
      <protection locked="0"/>
    </xf>
    <xf numFmtId="177" fontId="27" fillId="27" borderId="59" xfId="0" applyNumberFormat="1" applyFont="1" applyFill="1" applyBorder="1" applyAlignment="1" applyProtection="1">
      <alignment horizontal="center" vertical="center"/>
      <protection locked="0"/>
    </xf>
    <xf numFmtId="178" fontId="27" fillId="27" borderId="22" xfId="0" applyNumberFormat="1" applyFont="1" applyFill="1" applyBorder="1" applyAlignment="1" applyProtection="1">
      <alignment horizontal="center" vertical="center"/>
      <protection locked="0"/>
    </xf>
    <xf numFmtId="0" fontId="27" fillId="27" borderId="148" xfId="0" applyFont="1" applyFill="1" applyBorder="1" applyAlignment="1" applyProtection="1">
      <alignment vertical="center" wrapText="1"/>
      <protection locked="0"/>
    </xf>
    <xf numFmtId="38" fontId="27" fillId="24" borderId="54" xfId="35" applyFont="1" applyFill="1" applyBorder="1" applyAlignment="1">
      <alignment horizontal="center" vertical="center" wrapText="1" shrinkToFit="1"/>
    </xf>
    <xf numFmtId="0" fontId="27" fillId="24" borderId="194" xfId="0" applyFont="1" applyFill="1" applyBorder="1" applyAlignment="1" applyProtection="1">
      <alignment vertical="center" wrapText="1"/>
      <protection locked="0"/>
    </xf>
    <xf numFmtId="186" fontId="27" fillId="24" borderId="54" xfId="0" applyNumberFormat="1" applyFont="1" applyFill="1" applyBorder="1" applyAlignment="1">
      <alignment horizontal="center" vertical="center" wrapText="1" shrinkToFit="1"/>
    </xf>
    <xf numFmtId="0" fontId="27" fillId="24" borderId="193" xfId="0" applyFont="1" applyFill="1" applyBorder="1" applyAlignment="1">
      <alignment horizontal="left" vertical="center"/>
    </xf>
    <xf numFmtId="38" fontId="27" fillId="24" borderId="193" xfId="35" applyFont="1" applyFill="1" applyBorder="1" applyAlignment="1">
      <alignment horizontal="center" vertical="center" wrapText="1" shrinkToFit="1"/>
    </xf>
    <xf numFmtId="40" fontId="27" fillId="24" borderId="194" xfId="0" applyNumberFormat="1" applyFont="1" applyFill="1" applyBorder="1" applyAlignment="1">
      <alignment horizontal="center" vertical="center" wrapText="1"/>
    </xf>
    <xf numFmtId="38" fontId="27" fillId="24" borderId="194" xfId="35" applyFont="1" applyFill="1" applyBorder="1" applyAlignment="1">
      <alignment horizontal="center" vertical="center" wrapText="1" shrinkToFit="1"/>
    </xf>
    <xf numFmtId="40" fontId="27" fillId="24" borderId="148" xfId="0" applyNumberFormat="1" applyFont="1" applyFill="1" applyBorder="1" applyAlignment="1">
      <alignment horizontal="center" vertical="center" wrapText="1"/>
    </xf>
    <xf numFmtId="177" fontId="27" fillId="24" borderId="148" xfId="0" applyNumberFormat="1" applyFont="1" applyFill="1" applyBorder="1" applyAlignment="1">
      <alignment horizontal="center" vertical="center" wrapText="1" shrinkToFit="1"/>
    </xf>
    <xf numFmtId="0" fontId="27" fillId="24" borderId="148" xfId="0" applyFont="1" applyFill="1" applyBorder="1" applyAlignment="1" applyProtection="1">
      <alignment vertical="center" wrapText="1"/>
      <protection locked="0"/>
    </xf>
    <xf numFmtId="190" fontId="29" fillId="38" borderId="50" xfId="35" applyNumberFormat="1" applyFont="1" applyFill="1" applyBorder="1" applyAlignment="1" applyProtection="1">
      <alignment horizontal="center" vertical="top"/>
      <protection hidden="1"/>
    </xf>
    <xf numFmtId="2" fontId="27" fillId="24" borderId="50" xfId="0" applyNumberFormat="1" applyFont="1" applyFill="1" applyBorder="1" applyAlignment="1" applyProtection="1">
      <alignment horizontal="center"/>
      <protection hidden="1"/>
    </xf>
    <xf numFmtId="40" fontId="29" fillId="38" borderId="50" xfId="35" applyNumberFormat="1" applyFont="1" applyFill="1" applyBorder="1" applyAlignment="1" applyProtection="1">
      <alignment horizontal="center" vertical="top"/>
      <protection hidden="1"/>
    </xf>
    <xf numFmtId="0" fontId="27" fillId="24" borderId="0" xfId="0" applyFont="1" applyFill="1" applyBorder="1" applyProtection="1">
      <alignment vertical="center"/>
      <protection hidden="1"/>
    </xf>
    <xf numFmtId="0" fontId="27" fillId="24" borderId="25" xfId="0" applyFont="1" applyFill="1" applyBorder="1" applyProtection="1">
      <alignment vertical="center"/>
      <protection hidden="1"/>
    </xf>
    <xf numFmtId="0" fontId="27" fillId="24" borderId="200" xfId="0" applyFont="1" applyFill="1" applyBorder="1" applyProtection="1">
      <alignment vertical="center"/>
      <protection hidden="1"/>
    </xf>
    <xf numFmtId="0" fontId="27" fillId="24" borderId="201" xfId="0" applyFont="1" applyFill="1" applyBorder="1" applyProtection="1">
      <alignment vertical="center"/>
      <protection hidden="1"/>
    </xf>
    <xf numFmtId="0" fontId="175" fillId="35" borderId="73" xfId="0" applyFont="1" applyFill="1" applyBorder="1" applyAlignment="1" applyProtection="1">
      <alignment vertical="center"/>
    </xf>
    <xf numFmtId="0" fontId="31" fillId="35" borderId="79" xfId="45" applyFont="1" applyFill="1" applyBorder="1" applyAlignment="1" applyProtection="1">
      <alignment vertical="center"/>
      <protection hidden="1"/>
    </xf>
    <xf numFmtId="0" fontId="31" fillId="35" borderId="79" xfId="45" applyFont="1" applyFill="1" applyBorder="1" applyAlignment="1" applyProtection="1">
      <alignment horizontal="left" vertical="center"/>
      <protection hidden="1"/>
    </xf>
    <xf numFmtId="0" fontId="31" fillId="35" borderId="108" xfId="45" applyFont="1" applyFill="1" applyBorder="1" applyAlignment="1" applyProtection="1">
      <alignment vertical="center"/>
      <protection hidden="1"/>
    </xf>
    <xf numFmtId="0" fontId="70" fillId="0" borderId="0" xfId="0" applyFont="1" applyProtection="1">
      <alignment vertical="center"/>
    </xf>
    <xf numFmtId="0" fontId="6" fillId="24" borderId="88" xfId="45" applyFont="1" applyFill="1" applyBorder="1" applyAlignment="1" applyProtection="1"/>
    <xf numFmtId="0" fontId="6" fillId="24" borderId="0" xfId="45" applyNumberFormat="1" applyFont="1" applyFill="1" applyBorder="1" applyAlignment="1" applyProtection="1">
      <alignment vertical="center"/>
      <protection hidden="1"/>
    </xf>
    <xf numFmtId="0" fontId="6" fillId="24" borderId="0" xfId="45" applyFont="1" applyFill="1" applyBorder="1" applyAlignment="1" applyProtection="1">
      <alignment horizontal="left" vertical="center"/>
      <protection hidden="1"/>
    </xf>
    <xf numFmtId="0" fontId="6" fillId="24" borderId="0" xfId="45" applyFont="1" applyFill="1" applyBorder="1" applyAlignment="1" applyProtection="1">
      <alignment vertical="center"/>
      <protection hidden="1"/>
    </xf>
    <xf numFmtId="0" fontId="6" fillId="24" borderId="86" xfId="0" applyFont="1" applyFill="1" applyBorder="1" applyProtection="1">
      <alignment vertical="center"/>
    </xf>
    <xf numFmtId="0" fontId="6" fillId="24" borderId="51" xfId="0" applyFont="1" applyFill="1" applyBorder="1" applyProtection="1">
      <alignment vertical="center"/>
    </xf>
    <xf numFmtId="0" fontId="6" fillId="24" borderId="52" xfId="0" applyFont="1" applyFill="1" applyBorder="1" applyProtection="1">
      <alignment vertical="center"/>
    </xf>
    <xf numFmtId="0" fontId="0" fillId="24" borderId="53" xfId="0" applyFill="1" applyBorder="1" applyProtection="1">
      <alignment vertical="center"/>
    </xf>
    <xf numFmtId="0" fontId="0" fillId="0" borderId="10" xfId="0" applyBorder="1" applyProtection="1">
      <alignment vertical="center"/>
      <protection locked="0"/>
    </xf>
    <xf numFmtId="0" fontId="6" fillId="24" borderId="88" xfId="45" applyFont="1" applyFill="1" applyBorder="1" applyAlignment="1" applyProtection="1">
      <alignment vertical="center"/>
    </xf>
    <xf numFmtId="0" fontId="1" fillId="26" borderId="23" xfId="0" applyFont="1" applyFill="1" applyBorder="1" applyAlignment="1">
      <alignment horizontal="center" vertical="center" wrapText="1"/>
    </xf>
    <xf numFmtId="0" fontId="6" fillId="24" borderId="0" xfId="0" applyFont="1" applyFill="1" applyBorder="1">
      <alignment vertical="center"/>
    </xf>
    <xf numFmtId="0" fontId="6" fillId="24" borderId="86" xfId="0" applyFont="1" applyFill="1" applyBorder="1">
      <alignment vertical="center"/>
    </xf>
    <xf numFmtId="0" fontId="6" fillId="24" borderId="20" xfId="0" applyFont="1" applyFill="1" applyBorder="1">
      <alignment vertical="center"/>
    </xf>
    <xf numFmtId="0" fontId="0" fillId="24" borderId="151" xfId="0" applyFill="1" applyBorder="1">
      <alignment vertical="center"/>
    </xf>
    <xf numFmtId="205" fontId="6" fillId="24" borderId="48" xfId="45" applyNumberFormat="1" applyFont="1" applyFill="1" applyBorder="1" applyAlignment="1" applyProtection="1">
      <alignment vertical="center" shrinkToFit="1"/>
      <protection hidden="1"/>
    </xf>
    <xf numFmtId="0" fontId="6" fillId="24" borderId="10" xfId="35" applyNumberFormat="1" applyFont="1" applyFill="1" applyBorder="1" applyAlignment="1" applyProtection="1">
      <alignment horizontal="right" vertical="center" shrinkToFit="1"/>
    </xf>
    <xf numFmtId="0" fontId="6" fillId="24" borderId="10" xfId="45" applyFont="1" applyFill="1" applyBorder="1" applyAlignment="1" applyProtection="1">
      <alignment vertical="center"/>
      <protection hidden="1"/>
    </xf>
    <xf numFmtId="204" fontId="6" fillId="24" borderId="10" xfId="45" applyNumberFormat="1" applyFont="1" applyFill="1" applyBorder="1" applyAlignment="1" applyProtection="1">
      <alignment vertical="center"/>
      <protection hidden="1"/>
    </xf>
    <xf numFmtId="0" fontId="6" fillId="24" borderId="151" xfId="0" applyFont="1" applyFill="1" applyBorder="1">
      <alignment vertical="center"/>
    </xf>
    <xf numFmtId="0" fontId="6" fillId="24" borderId="0" xfId="0" applyFont="1" applyFill="1" applyBorder="1" applyAlignment="1">
      <alignment vertical="center"/>
    </xf>
    <xf numFmtId="0" fontId="1" fillId="26" borderId="10" xfId="0" applyFont="1" applyFill="1" applyBorder="1" applyAlignment="1">
      <alignment horizontal="center" vertical="center" wrapText="1"/>
    </xf>
    <xf numFmtId="0" fontId="6" fillId="24" borderId="48" xfId="45" applyFont="1" applyFill="1" applyBorder="1" applyAlignment="1" applyProtection="1">
      <alignment vertical="center"/>
      <protection locked="0"/>
    </xf>
    <xf numFmtId="0" fontId="6" fillId="24" borderId="10" xfId="45" applyFont="1" applyFill="1" applyBorder="1" applyAlignment="1" applyProtection="1">
      <alignment vertical="center"/>
      <protection locked="0"/>
    </xf>
    <xf numFmtId="0" fontId="6" fillId="24" borderId="88" xfId="45" applyFont="1" applyFill="1" applyBorder="1" applyAlignment="1" applyProtection="1">
      <alignment horizontal="right" vertical="top"/>
    </xf>
    <xf numFmtId="0" fontId="6" fillId="24" borderId="10" xfId="45" applyFont="1" applyFill="1" applyBorder="1" applyAlignment="1" applyProtection="1">
      <alignment vertical="center"/>
    </xf>
    <xf numFmtId="0" fontId="6" fillId="24" borderId="88" xfId="0" applyFont="1" applyFill="1" applyBorder="1">
      <alignment vertical="center"/>
    </xf>
    <xf numFmtId="0" fontId="6" fillId="24" borderId="10" xfId="45" applyFont="1" applyFill="1" applyBorder="1" applyAlignment="1" applyProtection="1">
      <alignment horizontal="center" vertical="center"/>
      <protection hidden="1"/>
    </xf>
    <xf numFmtId="0" fontId="6" fillId="24" borderId="103" xfId="0" applyFont="1" applyFill="1" applyBorder="1">
      <alignment vertical="center"/>
    </xf>
    <xf numFmtId="0" fontId="6" fillId="24" borderId="154" xfId="0" applyFont="1" applyFill="1" applyBorder="1">
      <alignment vertical="center"/>
    </xf>
    <xf numFmtId="0" fontId="6" fillId="24" borderId="110" xfId="0" applyFont="1" applyFill="1" applyBorder="1">
      <alignment vertical="center"/>
    </xf>
    <xf numFmtId="0" fontId="6" fillId="24" borderId="24" xfId="0" applyFont="1" applyFill="1" applyBorder="1">
      <alignment vertical="center"/>
    </xf>
    <xf numFmtId="0" fontId="6" fillId="24" borderId="57" xfId="0" applyFont="1" applyFill="1" applyBorder="1">
      <alignment vertical="center"/>
    </xf>
    <xf numFmtId="0" fontId="6" fillId="24" borderId="58" xfId="0" applyFont="1" applyFill="1" applyBorder="1">
      <alignment vertical="center"/>
    </xf>
    <xf numFmtId="0" fontId="0" fillId="0" borderId="0" xfId="0" applyAlignment="1">
      <alignment horizontal="right" vertical="center"/>
    </xf>
    <xf numFmtId="0" fontId="27" fillId="0" borderId="57" xfId="0" applyFont="1" applyFill="1" applyBorder="1" applyAlignment="1" applyProtection="1">
      <alignment horizontal="center" vertical="center"/>
    </xf>
    <xf numFmtId="0" fontId="32" fillId="42" borderId="57" xfId="0" applyFont="1" applyFill="1" applyBorder="1" applyAlignment="1" applyProtection="1">
      <alignment horizontal="left" vertical="center"/>
    </xf>
    <xf numFmtId="0" fontId="0" fillId="0" borderId="57" xfId="0" applyBorder="1" applyProtection="1">
      <alignment vertical="center"/>
    </xf>
    <xf numFmtId="0" fontId="32" fillId="42" borderId="0" xfId="0" applyFont="1" applyFill="1" applyBorder="1" applyAlignment="1" applyProtection="1">
      <alignment horizontal="left" vertical="center"/>
    </xf>
    <xf numFmtId="0" fontId="0" fillId="0" borderId="0" xfId="0" applyBorder="1" applyProtection="1">
      <alignment vertical="center"/>
    </xf>
    <xf numFmtId="0" fontId="82" fillId="42" borderId="0" xfId="0" applyFont="1" applyFill="1" applyAlignment="1" applyProtection="1">
      <alignment horizontal="left" vertical="center"/>
    </xf>
    <xf numFmtId="0" fontId="27" fillId="27" borderId="131" xfId="0" applyFont="1" applyFill="1" applyBorder="1" applyAlignment="1" applyProtection="1">
      <alignment horizontal="right" vertical="center"/>
    </xf>
    <xf numFmtId="0" fontId="26" fillId="42" borderId="0" xfId="0" applyFont="1" applyFill="1" applyAlignment="1" applyProtection="1">
      <alignment horizontal="left" vertical="center"/>
    </xf>
    <xf numFmtId="0" fontId="25" fillId="42" borderId="0" xfId="0" applyFont="1" applyFill="1" applyAlignment="1" applyProtection="1">
      <alignment horizontal="left" vertical="center"/>
    </xf>
    <xf numFmtId="0" fontId="41" fillId="0" borderId="0" xfId="0" applyFont="1" applyAlignment="1" applyProtection="1">
      <alignment horizontal="right" vertical="center"/>
    </xf>
    <xf numFmtId="38" fontId="6" fillId="27" borderId="131" xfId="35" applyFill="1" applyBorder="1" applyProtection="1">
      <alignment vertical="center"/>
      <protection locked="0"/>
    </xf>
    <xf numFmtId="0" fontId="27" fillId="0" borderId="0" xfId="0" applyFont="1" applyProtection="1">
      <alignment vertical="center"/>
    </xf>
    <xf numFmtId="0" fontId="41" fillId="42" borderId="0" xfId="0" applyFont="1" applyFill="1" applyAlignment="1" applyProtection="1">
      <alignment horizontal="left" vertical="center"/>
    </xf>
    <xf numFmtId="0" fontId="0" fillId="0" borderId="202" xfId="0" applyBorder="1" applyAlignment="1" applyProtection="1">
      <alignment horizontal="center" vertical="center"/>
    </xf>
    <xf numFmtId="0" fontId="28" fillId="0" borderId="203" xfId="0" applyFont="1" applyBorder="1" applyAlignment="1" applyProtection="1">
      <alignment horizontal="centerContinuous" vertical="center"/>
    </xf>
    <xf numFmtId="0" fontId="0" fillId="0" borderId="203" xfId="0" applyBorder="1" applyAlignment="1" applyProtection="1">
      <alignment horizontal="centerContinuous" vertical="center"/>
    </xf>
    <xf numFmtId="0" fontId="28" fillId="0" borderId="62" xfId="0" applyFont="1" applyBorder="1" applyAlignment="1" applyProtection="1">
      <alignment horizontal="center" vertical="center" shrinkToFit="1"/>
    </xf>
    <xf numFmtId="0" fontId="28" fillId="0" borderId="0" xfId="0" applyFont="1" applyProtection="1">
      <alignment vertical="center"/>
    </xf>
    <xf numFmtId="9" fontId="6" fillId="24" borderId="204" xfId="28" applyFill="1" applyBorder="1" applyProtection="1">
      <alignment vertical="center"/>
    </xf>
    <xf numFmtId="38" fontId="6" fillId="27" borderId="64" xfId="35" applyFont="1" applyFill="1" applyBorder="1" applyProtection="1">
      <alignment vertical="center"/>
      <protection locked="0"/>
    </xf>
    <xf numFmtId="0" fontId="0" fillId="27" borderId="65" xfId="0" applyFill="1" applyBorder="1" applyProtection="1">
      <alignment vertical="center"/>
      <protection locked="0"/>
    </xf>
    <xf numFmtId="9" fontId="6" fillId="24" borderId="205" xfId="28" applyFill="1" applyBorder="1" applyProtection="1">
      <alignment vertical="center"/>
    </xf>
    <xf numFmtId="38" fontId="6" fillId="27" borderId="66" xfId="35" applyFont="1" applyFill="1" applyBorder="1" applyProtection="1">
      <alignment vertical="center"/>
      <protection locked="0"/>
    </xf>
    <xf numFmtId="0" fontId="28" fillId="42" borderId="0" xfId="0" applyFont="1" applyFill="1" applyBorder="1" applyAlignment="1" applyProtection="1">
      <alignment horizontal="center" vertical="center"/>
    </xf>
    <xf numFmtId="0" fontId="0" fillId="27" borderId="190" xfId="0" applyFill="1" applyBorder="1" applyProtection="1">
      <alignment vertical="center"/>
      <protection locked="0"/>
    </xf>
    <xf numFmtId="9" fontId="6" fillId="24" borderId="207" xfId="28" applyFill="1" applyBorder="1" applyProtection="1">
      <alignment vertical="center"/>
    </xf>
    <xf numFmtId="38" fontId="6" fillId="27" borderId="191" xfId="35" applyFont="1" applyFill="1" applyBorder="1" applyProtection="1">
      <alignment vertical="center"/>
      <protection locked="0"/>
    </xf>
    <xf numFmtId="38" fontId="6" fillId="24" borderId="131" xfId="35" applyFill="1" applyBorder="1" applyProtection="1">
      <alignment vertical="center"/>
    </xf>
    <xf numFmtId="0" fontId="41" fillId="0" borderId="0" xfId="0" applyFont="1" applyProtection="1">
      <alignment vertical="center"/>
    </xf>
    <xf numFmtId="0" fontId="176" fillId="43" borderId="131" xfId="0" applyFont="1" applyFill="1" applyBorder="1" applyAlignment="1" applyProtection="1">
      <alignment vertical="center"/>
      <protection locked="0"/>
    </xf>
    <xf numFmtId="0" fontId="6" fillId="0" borderId="0" xfId="0" applyFont="1" applyProtection="1">
      <alignment vertical="center"/>
    </xf>
    <xf numFmtId="0" fontId="28" fillId="0" borderId="0" xfId="0" applyFont="1" applyFill="1" applyBorder="1" applyProtection="1">
      <alignment vertical="center"/>
    </xf>
    <xf numFmtId="0" fontId="32" fillId="0" borderId="0" xfId="0" applyFont="1" applyBorder="1" applyProtection="1">
      <alignment vertical="center"/>
    </xf>
    <xf numFmtId="0" fontId="25" fillId="0" borderId="0" xfId="0" applyFont="1" applyBorder="1" applyProtection="1">
      <alignment vertical="center"/>
    </xf>
    <xf numFmtId="0" fontId="41" fillId="0" borderId="0" xfId="0" applyFont="1" applyAlignment="1" applyProtection="1"/>
    <xf numFmtId="0" fontId="28" fillId="24" borderId="22" xfId="0" applyFont="1" applyFill="1" applyBorder="1" applyProtection="1">
      <alignment vertical="center"/>
    </xf>
    <xf numFmtId="0" fontId="28" fillId="26" borderId="22" xfId="0" applyFont="1" applyFill="1" applyBorder="1" applyProtection="1">
      <alignment vertical="center"/>
    </xf>
    <xf numFmtId="0" fontId="28" fillId="0" borderId="59" xfId="0" applyFont="1" applyBorder="1" applyProtection="1">
      <alignment vertical="center"/>
    </xf>
    <xf numFmtId="0" fontId="25" fillId="0" borderId="10" xfId="0" applyFont="1" applyFill="1" applyBorder="1" applyProtection="1">
      <alignment vertical="center"/>
    </xf>
    <xf numFmtId="0" fontId="28" fillId="24" borderId="51" xfId="0" applyFont="1" applyFill="1" applyBorder="1" applyProtection="1">
      <alignment vertical="center"/>
    </xf>
    <xf numFmtId="38" fontId="28" fillId="24" borderId="23" xfId="35" applyFont="1" applyFill="1" applyBorder="1" applyProtection="1">
      <alignment vertical="center"/>
    </xf>
    <xf numFmtId="0" fontId="28" fillId="0" borderId="48" xfId="0" applyFont="1" applyBorder="1" applyProtection="1">
      <alignment vertical="center"/>
    </xf>
    <xf numFmtId="38" fontId="28" fillId="0" borderId="10" xfId="35" applyFont="1" applyBorder="1" applyProtection="1">
      <alignment vertical="center"/>
    </xf>
    <xf numFmtId="0" fontId="28" fillId="24" borderId="20" xfId="0" applyFont="1" applyFill="1" applyBorder="1" applyProtection="1">
      <alignment vertical="center"/>
    </xf>
    <xf numFmtId="38" fontId="28" fillId="24" borderId="59" xfId="35" applyFont="1" applyFill="1" applyBorder="1" applyProtection="1">
      <alignment vertical="center"/>
    </xf>
    <xf numFmtId="0" fontId="28" fillId="26" borderId="48" xfId="0" applyFont="1" applyFill="1" applyBorder="1" applyProtection="1">
      <alignment vertical="center"/>
    </xf>
    <xf numFmtId="0" fontId="28" fillId="24" borderId="24" xfId="0" applyFont="1" applyFill="1" applyBorder="1" applyProtection="1">
      <alignment vertical="center"/>
    </xf>
    <xf numFmtId="38" fontId="28" fillId="24" borderId="22" xfId="35" applyFont="1" applyFill="1" applyBorder="1" applyProtection="1">
      <alignment vertical="center"/>
    </xf>
    <xf numFmtId="0" fontId="28" fillId="24" borderId="48" xfId="0" applyFont="1" applyFill="1" applyBorder="1" applyProtection="1">
      <alignment vertical="center"/>
    </xf>
    <xf numFmtId="38" fontId="28" fillId="24" borderId="10" xfId="35" applyFont="1" applyFill="1" applyBorder="1" applyProtection="1">
      <alignment vertical="center"/>
    </xf>
    <xf numFmtId="0" fontId="28" fillId="0" borderId="48" xfId="0" applyFont="1" applyFill="1" applyBorder="1" applyProtection="1">
      <alignment vertical="center"/>
    </xf>
    <xf numFmtId="0" fontId="28" fillId="24" borderId="10" xfId="0" applyFont="1" applyFill="1" applyBorder="1" applyProtection="1">
      <alignment vertical="center"/>
    </xf>
    <xf numFmtId="0" fontId="28" fillId="0" borderId="10" xfId="0" applyFont="1" applyBorder="1" applyProtection="1">
      <alignment vertical="center"/>
    </xf>
    <xf numFmtId="0" fontId="28" fillId="0" borderId="22" xfId="0" applyFont="1" applyBorder="1" applyProtection="1">
      <alignment vertical="center"/>
    </xf>
    <xf numFmtId="38" fontId="25" fillId="24" borderId="10" xfId="35" applyFont="1" applyFill="1" applyBorder="1" applyProtection="1">
      <alignment vertical="center"/>
    </xf>
    <xf numFmtId="0" fontId="25" fillId="0" borderId="10" xfId="0" applyFont="1" applyBorder="1" applyProtection="1">
      <alignment vertical="center"/>
    </xf>
    <xf numFmtId="176" fontId="28" fillId="0" borderId="10" xfId="0" applyNumberFormat="1" applyFont="1" applyBorder="1" applyProtection="1">
      <alignment vertical="center"/>
    </xf>
    <xf numFmtId="203" fontId="64" fillId="0" borderId="0" xfId="0" applyNumberFormat="1" applyFont="1" applyFill="1" applyBorder="1" applyAlignment="1" applyProtection="1">
      <alignment horizontal="left" vertical="center"/>
    </xf>
    <xf numFmtId="38" fontId="27" fillId="24" borderId="10" xfId="35" applyFont="1" applyFill="1" applyBorder="1" applyProtection="1">
      <alignment vertical="center"/>
    </xf>
    <xf numFmtId="0" fontId="25" fillId="0" borderId="0" xfId="0" applyFont="1" applyFill="1" applyBorder="1" applyAlignment="1" applyProtection="1">
      <alignment horizontal="right" vertical="center"/>
    </xf>
    <xf numFmtId="0" fontId="41" fillId="0" borderId="0" xfId="0" applyFont="1" applyFill="1" applyBorder="1" applyAlignment="1" applyProtection="1">
      <alignment horizontal="right" vertical="center"/>
    </xf>
    <xf numFmtId="0" fontId="32" fillId="24" borderId="131" xfId="0" applyNumberFormat="1" applyFont="1" applyFill="1" applyBorder="1" applyProtection="1">
      <alignment vertical="center"/>
    </xf>
    <xf numFmtId="0" fontId="28" fillId="0" borderId="0" xfId="0" applyFont="1" applyAlignment="1" applyProtection="1">
      <alignment horizontal="left" vertical="center"/>
    </xf>
    <xf numFmtId="0" fontId="25" fillId="42" borderId="0" xfId="0" applyFont="1" applyFill="1" applyAlignment="1" applyProtection="1">
      <alignment vertical="center"/>
    </xf>
    <xf numFmtId="0" fontId="28" fillId="0" borderId="10" xfId="0" applyNumberFormat="1" applyFont="1" applyFill="1" applyBorder="1" applyAlignment="1" applyProtection="1">
      <alignment vertical="center"/>
    </xf>
    <xf numFmtId="0" fontId="28" fillId="26" borderId="10" xfId="0" applyFont="1" applyFill="1" applyBorder="1" applyProtection="1">
      <alignment vertical="center"/>
    </xf>
    <xf numFmtId="38" fontId="55" fillId="0" borderId="10" xfId="35" applyFont="1" applyBorder="1" applyProtection="1">
      <alignment vertical="center"/>
    </xf>
    <xf numFmtId="0" fontId="27" fillId="24" borderId="0" xfId="0" applyFont="1" applyFill="1" applyBorder="1" applyAlignment="1" applyProtection="1">
      <alignment horizontal="right" vertical="center"/>
      <protection hidden="1"/>
    </xf>
    <xf numFmtId="0" fontId="0" fillId="0" borderId="0" xfId="0" applyBorder="1">
      <alignment vertical="center"/>
    </xf>
    <xf numFmtId="0" fontId="27" fillId="24" borderId="10" xfId="0" applyFont="1" applyFill="1" applyBorder="1" applyAlignment="1">
      <alignment horizontal="left" vertical="center" shrinkToFit="1"/>
    </xf>
    <xf numFmtId="9" fontId="0" fillId="0" borderId="0" xfId="0" applyNumberFormat="1">
      <alignment vertical="center"/>
    </xf>
    <xf numFmtId="38" fontId="6" fillId="0" borderId="0" xfId="35">
      <alignment vertical="center"/>
    </xf>
    <xf numFmtId="177" fontId="27" fillId="24" borderId="131" xfId="44" applyNumberFormat="1" applyFont="1" applyFill="1" applyBorder="1" applyAlignment="1" applyProtection="1">
      <alignment horizontal="right" vertical="center"/>
    </xf>
    <xf numFmtId="0" fontId="41" fillId="24" borderId="0" xfId="44" applyFont="1" applyFill="1" applyBorder="1" applyAlignment="1" applyProtection="1">
      <alignment horizontal="right" vertical="center"/>
    </xf>
    <xf numFmtId="198" fontId="27" fillId="0" borderId="0" xfId="44" applyNumberFormat="1" applyFont="1" applyBorder="1" applyAlignment="1"/>
    <xf numFmtId="176" fontId="41" fillId="24" borderId="131" xfId="0" applyNumberFormat="1" applyFont="1" applyFill="1" applyBorder="1" applyAlignment="1" applyProtection="1">
      <alignment vertical="center"/>
    </xf>
    <xf numFmtId="0" fontId="28" fillId="33" borderId="10" xfId="0" applyFont="1" applyFill="1" applyBorder="1" applyAlignment="1" applyProtection="1">
      <alignment vertical="center"/>
      <protection hidden="1"/>
    </xf>
    <xf numFmtId="0" fontId="0" fillId="33" borderId="0" xfId="0" applyFill="1" applyAlignment="1" applyProtection="1">
      <alignment vertical="center"/>
    </xf>
    <xf numFmtId="177" fontId="27" fillId="24" borderId="0" xfId="44" applyNumberFormat="1" applyFont="1" applyFill="1" applyBorder="1" applyAlignment="1" applyProtection="1">
      <alignment horizontal="right" vertical="center"/>
    </xf>
    <xf numFmtId="0" fontId="178" fillId="0" borderId="0" xfId="0" applyFont="1" applyFill="1" applyBorder="1" applyAlignment="1" applyProtection="1">
      <alignment horizontal="left" vertical="center"/>
      <protection hidden="1"/>
    </xf>
    <xf numFmtId="0" fontId="28" fillId="24" borderId="57" xfId="0" applyFont="1" applyFill="1" applyBorder="1" applyAlignment="1" applyProtection="1">
      <alignment horizontal="right"/>
      <protection hidden="1"/>
    </xf>
    <xf numFmtId="2" fontId="6" fillId="0" borderId="0" xfId="0" applyNumberFormat="1" applyFont="1" applyFill="1" applyBorder="1" applyAlignment="1" applyProtection="1">
      <alignment horizontal="left" shrinkToFit="1"/>
      <protection hidden="1"/>
    </xf>
    <xf numFmtId="1" fontId="77" fillId="0" borderId="0" xfId="0" applyNumberFormat="1" applyFont="1" applyFill="1" applyBorder="1" applyAlignment="1" applyProtection="1">
      <alignment horizontal="center"/>
      <protection hidden="1"/>
    </xf>
    <xf numFmtId="0" fontId="6" fillId="38" borderId="51" xfId="0" applyFont="1" applyFill="1" applyBorder="1" applyAlignment="1" applyProtection="1">
      <alignment horizontal="center" vertical="center"/>
      <protection hidden="1"/>
    </xf>
    <xf numFmtId="0" fontId="27" fillId="0" borderId="0" xfId="0" applyFont="1" applyFill="1" applyAlignment="1">
      <alignment horizontal="left"/>
    </xf>
    <xf numFmtId="0" fontId="27" fillId="0" borderId="0" xfId="0" applyFont="1" applyFill="1" applyAlignment="1">
      <alignment shrinkToFit="1"/>
    </xf>
    <xf numFmtId="186" fontId="27" fillId="0" borderId="0" xfId="35" applyNumberFormat="1" applyFont="1" applyFill="1" applyBorder="1" applyAlignment="1"/>
    <xf numFmtId="177" fontId="27" fillId="0" borderId="0" xfId="35" applyNumberFormat="1" applyFont="1" applyFill="1" applyBorder="1" applyAlignment="1"/>
    <xf numFmtId="49" fontId="27" fillId="0" borderId="0" xfId="35" applyNumberFormat="1" applyFont="1" applyFill="1" applyBorder="1" applyAlignment="1">
      <alignment horizontal="center"/>
    </xf>
    <xf numFmtId="2" fontId="27" fillId="0" borderId="0" xfId="0" applyNumberFormat="1" applyFont="1" applyFill="1" applyBorder="1" applyAlignment="1">
      <alignment horizontal="left" shrinkToFit="1"/>
    </xf>
    <xf numFmtId="2" fontId="27" fillId="0" borderId="0" xfId="0" applyNumberFormat="1" applyFont="1" applyFill="1" applyBorder="1" applyAlignment="1">
      <alignment horizontal="center"/>
    </xf>
    <xf numFmtId="0" fontId="6" fillId="0" borderId="0" xfId="0" applyNumberFormat="1" applyFont="1">
      <alignment vertical="center"/>
    </xf>
    <xf numFmtId="0" fontId="6" fillId="0" borderId="0" xfId="0" applyFont="1" applyAlignment="1">
      <alignment horizontal="left" vertical="center" shrinkToFit="1"/>
    </xf>
    <xf numFmtId="177" fontId="77" fillId="0" borderId="0" xfId="35" applyNumberFormat="1" applyFont="1" applyFill="1" applyBorder="1" applyAlignment="1" applyProtection="1">
      <protection hidden="1"/>
    </xf>
    <xf numFmtId="0" fontId="27" fillId="0" borderId="0" xfId="0" applyFont="1" applyFill="1" applyAlignment="1" applyProtection="1">
      <alignment shrinkToFit="1"/>
      <protection hidden="1"/>
    </xf>
    <xf numFmtId="0" fontId="83" fillId="0" borderId="0" xfId="0" applyNumberFormat="1" applyFont="1" applyFill="1" applyBorder="1" applyAlignment="1" applyProtection="1">
      <alignment horizontal="left" vertical="center"/>
      <protection hidden="1"/>
    </xf>
    <xf numFmtId="177" fontId="83" fillId="0" borderId="0" xfId="35" applyNumberFormat="1" applyFont="1" applyFill="1" applyBorder="1" applyAlignment="1" applyProtection="1">
      <protection hidden="1"/>
    </xf>
    <xf numFmtId="177" fontId="27" fillId="0" borderId="0" xfId="35" applyNumberFormat="1" applyFont="1" applyFill="1" applyBorder="1" applyAlignment="1" applyProtection="1">
      <protection hidden="1"/>
    </xf>
    <xf numFmtId="2" fontId="77" fillId="0" borderId="0" xfId="0" applyNumberFormat="1" applyFont="1" applyFill="1" applyBorder="1" applyAlignment="1" applyProtection="1">
      <alignment horizontal="left"/>
      <protection hidden="1"/>
    </xf>
    <xf numFmtId="49" fontId="77" fillId="0" borderId="0" xfId="0" applyNumberFormat="1" applyFont="1" applyFill="1" applyBorder="1" applyProtection="1">
      <alignment vertical="center"/>
      <protection hidden="1"/>
    </xf>
    <xf numFmtId="0" fontId="83" fillId="0" borderId="0" xfId="0" applyFont="1" applyAlignment="1">
      <alignment vertical="center" shrinkToFit="1"/>
    </xf>
    <xf numFmtId="2" fontId="83" fillId="0" borderId="0" xfId="0" applyNumberFormat="1" applyFont="1" applyFill="1" applyBorder="1" applyAlignment="1" applyProtection="1">
      <alignment horizontal="center"/>
      <protection hidden="1"/>
    </xf>
    <xf numFmtId="0" fontId="83" fillId="0" borderId="0" xfId="0" applyNumberFormat="1" applyFont="1">
      <alignment vertical="center"/>
    </xf>
    <xf numFmtId="0" fontId="83" fillId="0" borderId="0" xfId="0" applyFont="1" applyAlignment="1">
      <alignment horizontal="left" vertical="center" shrinkToFit="1"/>
    </xf>
    <xf numFmtId="0" fontId="77" fillId="0" borderId="0" xfId="0" applyNumberFormat="1" applyFont="1" applyFill="1" applyBorder="1" applyProtection="1">
      <alignment vertical="center"/>
      <protection hidden="1"/>
    </xf>
    <xf numFmtId="2" fontId="83" fillId="0" borderId="0" xfId="0" applyNumberFormat="1" applyFont="1" applyFill="1" applyBorder="1" applyAlignment="1" applyProtection="1">
      <alignment horizontal="left" shrinkToFit="1"/>
      <protection hidden="1"/>
    </xf>
    <xf numFmtId="0" fontId="6" fillId="38" borderId="53" xfId="0" applyFont="1" applyFill="1" applyBorder="1" applyAlignment="1" applyProtection="1">
      <alignment horizontal="center" vertical="center" shrinkToFit="1"/>
      <protection hidden="1"/>
    </xf>
    <xf numFmtId="0" fontId="6" fillId="38" borderId="50" xfId="0" applyFont="1" applyFill="1" applyBorder="1" applyAlignment="1" applyProtection="1">
      <alignment horizontal="centerContinuous" vertical="center"/>
      <protection hidden="1"/>
    </xf>
    <xf numFmtId="0" fontId="27" fillId="38" borderId="48" xfId="0" applyFont="1" applyFill="1" applyBorder="1" applyAlignment="1" applyProtection="1">
      <alignment horizontal="centerContinuous" vertical="center"/>
      <protection hidden="1"/>
    </xf>
    <xf numFmtId="0" fontId="27" fillId="38" borderId="50" xfId="0" applyFont="1" applyFill="1" applyBorder="1" applyAlignment="1" applyProtection="1">
      <alignment horizontal="centerContinuous" vertical="center"/>
      <protection hidden="1"/>
    </xf>
    <xf numFmtId="177" fontId="27" fillId="38" borderId="10" xfId="35" applyNumberFormat="1" applyFont="1" applyFill="1" applyBorder="1" applyAlignment="1" applyProtection="1">
      <alignment horizontal="centerContinuous" vertical="center"/>
      <protection hidden="1"/>
    </xf>
    <xf numFmtId="0" fontId="27" fillId="38" borderId="49" xfId="0" applyFont="1" applyFill="1" applyBorder="1" applyAlignment="1" applyProtection="1">
      <alignment horizontal="centerContinuous" vertical="center"/>
      <protection hidden="1"/>
    </xf>
    <xf numFmtId="0" fontId="6" fillId="38" borderId="10" xfId="0" applyFont="1" applyFill="1" applyBorder="1" applyAlignment="1" applyProtection="1">
      <alignment horizontal="center" vertical="center" shrinkToFit="1"/>
      <protection hidden="1"/>
    </xf>
    <xf numFmtId="2" fontId="27" fillId="38" borderId="10" xfId="0" applyNumberFormat="1" applyFont="1" applyFill="1" applyBorder="1" applyAlignment="1" applyProtection="1">
      <alignment horizontal="center"/>
      <protection hidden="1"/>
    </xf>
    <xf numFmtId="0" fontId="6" fillId="38" borderId="10" xfId="0" applyNumberFormat="1" applyFont="1" applyFill="1" applyBorder="1" applyAlignment="1" applyProtection="1">
      <alignment horizontal="center" vertical="center"/>
      <protection hidden="1"/>
    </xf>
    <xf numFmtId="0" fontId="6" fillId="38" borderId="10" xfId="0" applyFont="1" applyFill="1" applyBorder="1" applyAlignment="1" applyProtection="1">
      <alignment horizontal="left" vertical="center" shrinkToFit="1"/>
      <protection hidden="1"/>
    </xf>
    <xf numFmtId="0" fontId="6" fillId="38" borderId="24" xfId="0" applyFont="1" applyFill="1" applyBorder="1" applyAlignment="1" applyProtection="1">
      <alignment horizontal="center" vertical="center" shrinkToFit="1"/>
      <protection hidden="1"/>
    </xf>
    <xf numFmtId="0" fontId="6" fillId="38" borderId="58" xfId="0" applyFont="1" applyFill="1" applyBorder="1" applyAlignment="1" applyProtection="1">
      <alignment horizontal="center" vertical="center" shrinkToFit="1"/>
      <protection hidden="1"/>
    </xf>
    <xf numFmtId="177" fontId="27" fillId="38" borderId="10" xfId="35" applyNumberFormat="1" applyFont="1" applyFill="1" applyBorder="1" applyAlignment="1" applyProtection="1">
      <alignment horizontal="center" shrinkToFit="1"/>
      <protection hidden="1"/>
    </xf>
    <xf numFmtId="2" fontId="27" fillId="38" borderId="10" xfId="0" applyNumberFormat="1" applyFont="1" applyFill="1" applyBorder="1" applyAlignment="1" applyProtection="1">
      <alignment horizontal="center" vertical="top" shrinkToFit="1"/>
      <protection hidden="1"/>
    </xf>
    <xf numFmtId="2" fontId="27" fillId="38" borderId="48" xfId="0" applyNumberFormat="1" applyFont="1" applyFill="1" applyBorder="1" applyAlignment="1" applyProtection="1">
      <alignment horizontal="center" vertical="top" shrinkToFit="1"/>
      <protection hidden="1"/>
    </xf>
    <xf numFmtId="2" fontId="27" fillId="38" borderId="50" xfId="0" applyNumberFormat="1" applyFont="1" applyFill="1" applyBorder="1" applyAlignment="1" applyProtection="1">
      <alignment horizontal="center" vertical="top" shrinkToFit="1"/>
      <protection hidden="1"/>
    </xf>
    <xf numFmtId="0" fontId="6" fillId="38" borderId="10" xfId="0" applyNumberFormat="1" applyFont="1" applyFill="1" applyBorder="1" applyAlignment="1" applyProtection="1">
      <alignment horizontal="center" vertical="center" shrinkToFit="1"/>
      <protection hidden="1"/>
    </xf>
    <xf numFmtId="0" fontId="6" fillId="0" borderId="0" xfId="0" applyFont="1" applyFill="1" applyAlignment="1">
      <alignment vertical="center" shrinkToFit="1"/>
    </xf>
    <xf numFmtId="0" fontId="27" fillId="38" borderId="58" xfId="0" applyFont="1" applyFill="1" applyBorder="1" applyAlignment="1" applyProtection="1">
      <alignment horizontal="center" vertical="center" shrinkToFit="1"/>
      <protection hidden="1"/>
    </xf>
    <xf numFmtId="186" fontId="27" fillId="38" borderId="50" xfId="35" applyNumberFormat="1" applyFont="1" applyFill="1" applyBorder="1" applyAlignment="1" applyProtection="1">
      <protection hidden="1"/>
    </xf>
    <xf numFmtId="177" fontId="27" fillId="38" borderId="10" xfId="35" applyNumberFormat="1" applyFont="1" applyFill="1" applyBorder="1" applyAlignment="1" applyProtection="1">
      <alignment horizontal="center"/>
      <protection hidden="1"/>
    </xf>
    <xf numFmtId="40" fontId="27" fillId="38" borderId="10" xfId="35" applyNumberFormat="1" applyFont="1" applyFill="1" applyBorder="1" applyAlignment="1" applyProtection="1">
      <alignment horizontal="center" vertical="top"/>
      <protection hidden="1"/>
    </xf>
    <xf numFmtId="40" fontId="27" fillId="38" borderId="48" xfId="35" applyNumberFormat="1" applyFont="1" applyFill="1" applyBorder="1" applyAlignment="1" applyProtection="1">
      <alignment horizontal="center" vertical="top"/>
      <protection hidden="1"/>
    </xf>
    <xf numFmtId="0" fontId="32" fillId="38" borderId="10" xfId="0" applyFont="1" applyFill="1" applyBorder="1" applyAlignment="1" applyProtection="1">
      <alignment horizontal="center" vertical="center"/>
      <protection hidden="1"/>
    </xf>
    <xf numFmtId="0" fontId="70" fillId="38" borderId="58" xfId="0" applyFont="1" applyFill="1" applyBorder="1" applyAlignment="1" applyProtection="1">
      <alignment horizontal="left" vertical="center" shrinkToFit="1"/>
      <protection hidden="1"/>
    </xf>
    <xf numFmtId="186" fontId="41" fillId="38" borderId="50" xfId="35" applyNumberFormat="1" applyFont="1" applyFill="1" applyBorder="1" applyAlignment="1" applyProtection="1">
      <protection hidden="1"/>
    </xf>
    <xf numFmtId="177" fontId="41" fillId="38" borderId="10" xfId="35" applyNumberFormat="1" applyFont="1" applyFill="1" applyBorder="1" applyAlignment="1" applyProtection="1">
      <alignment horizontal="center"/>
      <protection hidden="1"/>
    </xf>
    <xf numFmtId="0" fontId="32" fillId="38" borderId="10" xfId="0" applyNumberFormat="1" applyFont="1" applyFill="1" applyBorder="1" applyAlignment="1" applyProtection="1">
      <alignment horizontal="center" vertical="center"/>
      <protection hidden="1"/>
    </xf>
    <xf numFmtId="0" fontId="32" fillId="38" borderId="10" xfId="0" applyFont="1" applyFill="1" applyBorder="1" applyAlignment="1" applyProtection="1">
      <alignment horizontal="left" vertical="center" shrinkToFit="1"/>
      <protection hidden="1"/>
    </xf>
    <xf numFmtId="40" fontId="41" fillId="38" borderId="10" xfId="35" applyNumberFormat="1" applyFont="1" applyFill="1" applyBorder="1" applyAlignment="1" applyProtection="1">
      <alignment horizontal="center" vertical="top"/>
      <protection hidden="1"/>
    </xf>
    <xf numFmtId="40" fontId="41" fillId="38" borderId="48" xfId="35" applyNumberFormat="1" applyFont="1" applyFill="1" applyBorder="1" applyAlignment="1" applyProtection="1">
      <alignment horizontal="center" vertical="top"/>
      <protection hidden="1"/>
    </xf>
    <xf numFmtId="2" fontId="41" fillId="38" borderId="50" xfId="0" applyNumberFormat="1" applyFont="1" applyFill="1" applyBorder="1" applyAlignment="1" applyProtection="1">
      <alignment horizontal="center" vertical="top"/>
      <protection hidden="1"/>
    </xf>
    <xf numFmtId="2" fontId="41" fillId="38" borderId="10" xfId="0" applyNumberFormat="1" applyFont="1" applyFill="1" applyBorder="1" applyAlignment="1" applyProtection="1">
      <alignment horizontal="center" vertical="top"/>
      <protection hidden="1"/>
    </xf>
    <xf numFmtId="0" fontId="41" fillId="26" borderId="10" xfId="0" applyNumberFormat="1" applyFont="1" applyFill="1" applyBorder="1" applyAlignment="1" applyProtection="1">
      <alignment vertical="center" shrinkToFit="1"/>
      <protection hidden="1"/>
    </xf>
    <xf numFmtId="186" fontId="41" fillId="26" borderId="10" xfId="35" applyNumberFormat="1" applyFont="1" applyFill="1" applyBorder="1" applyAlignment="1" applyProtection="1">
      <alignment horizontal="right"/>
      <protection hidden="1"/>
    </xf>
    <xf numFmtId="187" fontId="41" fillId="26" borderId="10" xfId="35" applyNumberFormat="1" applyFont="1" applyFill="1" applyBorder="1" applyAlignment="1" applyProtection="1">
      <protection hidden="1"/>
    </xf>
    <xf numFmtId="0" fontId="41" fillId="26" borderId="10" xfId="0" applyNumberFormat="1" applyFont="1" applyFill="1" applyBorder="1" applyAlignment="1" applyProtection="1">
      <alignment horizontal="left" vertical="center" shrinkToFit="1"/>
      <protection hidden="1"/>
    </xf>
    <xf numFmtId="49" fontId="41" fillId="26" borderId="10" xfId="0" applyNumberFormat="1" applyFont="1" applyFill="1" applyBorder="1" applyAlignment="1" applyProtection="1">
      <alignment horizontal="left" vertical="center"/>
      <protection hidden="1"/>
    </xf>
    <xf numFmtId="2" fontId="41" fillId="26" borderId="10" xfId="35" applyNumberFormat="1" applyFont="1" applyFill="1" applyBorder="1" applyAlignment="1" applyProtection="1">
      <alignment horizontal="center" vertical="center"/>
      <protection hidden="1"/>
    </xf>
    <xf numFmtId="2" fontId="41" fillId="26" borderId="50" xfId="35" applyNumberFormat="1" applyFont="1" applyFill="1" applyBorder="1" applyAlignment="1" applyProtection="1">
      <alignment horizontal="center" vertical="center"/>
      <protection hidden="1"/>
    </xf>
    <xf numFmtId="186" fontId="41" fillId="24" borderId="10" xfId="35" applyNumberFormat="1" applyFont="1" applyFill="1" applyBorder="1" applyAlignment="1" applyProtection="1">
      <alignment horizontal="right"/>
      <protection hidden="1"/>
    </xf>
    <xf numFmtId="2" fontId="41" fillId="24" borderId="50" xfId="35" applyNumberFormat="1" applyFont="1" applyFill="1" applyBorder="1" applyAlignment="1" applyProtection="1">
      <alignment horizontal="center"/>
      <protection hidden="1"/>
    </xf>
    <xf numFmtId="0" fontId="27" fillId="24" borderId="10" xfId="0" applyFont="1" applyFill="1" applyBorder="1" applyAlignment="1" applyProtection="1">
      <alignment horizontal="left" vertical="center" shrinkToFit="1"/>
      <protection hidden="1"/>
    </xf>
    <xf numFmtId="186" fontId="27" fillId="31" borderId="10" xfId="0" applyNumberFormat="1" applyFont="1" applyFill="1" applyBorder="1" applyProtection="1">
      <alignment vertical="center"/>
      <protection hidden="1"/>
    </xf>
    <xf numFmtId="187" fontId="27" fillId="31" borderId="10" xfId="35" applyNumberFormat="1" applyFont="1" applyFill="1" applyBorder="1" applyAlignment="1" applyProtection="1">
      <protection hidden="1"/>
    </xf>
    <xf numFmtId="0" fontId="27" fillId="31" borderId="10" xfId="0" applyNumberFormat="1" applyFont="1" applyFill="1" applyBorder="1" applyAlignment="1" applyProtection="1">
      <alignment horizontal="left" vertical="center"/>
      <protection hidden="1"/>
    </xf>
    <xf numFmtId="0" fontId="27" fillId="31" borderId="10" xfId="0" applyNumberFormat="1" applyFont="1" applyFill="1" applyBorder="1" applyAlignment="1" applyProtection="1">
      <alignment horizontal="left" vertical="center" shrinkToFit="1"/>
      <protection hidden="1"/>
    </xf>
    <xf numFmtId="49" fontId="27" fillId="31" borderId="10" xfId="0" applyNumberFormat="1" applyFont="1" applyFill="1" applyBorder="1" applyAlignment="1" applyProtection="1">
      <alignment horizontal="left" vertical="center"/>
      <protection hidden="1"/>
    </xf>
    <xf numFmtId="0" fontId="27" fillId="31" borderId="10" xfId="0" applyFont="1" applyFill="1" applyBorder="1" applyAlignment="1" applyProtection="1">
      <alignment horizontal="left" vertical="center" shrinkToFit="1"/>
      <protection hidden="1"/>
    </xf>
    <xf numFmtId="190" fontId="27" fillId="31" borderId="48" xfId="0" applyNumberFormat="1" applyFont="1" applyFill="1" applyBorder="1" applyAlignment="1" applyProtection="1">
      <alignment horizontal="center" vertical="center"/>
      <protection hidden="1"/>
    </xf>
    <xf numFmtId="2" fontId="27" fillId="31" borderId="10" xfId="35" applyNumberFormat="1" applyFont="1" applyFill="1" applyBorder="1" applyAlignment="1" applyProtection="1">
      <alignment horizontal="center" vertical="center"/>
      <protection hidden="1"/>
    </xf>
    <xf numFmtId="2" fontId="27" fillId="31" borderId="50" xfId="35" applyNumberFormat="1" applyFont="1" applyFill="1" applyBorder="1" applyAlignment="1" applyProtection="1">
      <alignment horizontal="center" vertical="center"/>
      <protection hidden="1"/>
    </xf>
    <xf numFmtId="177" fontId="27" fillId="31" borderId="10" xfId="35" applyNumberFormat="1" applyFont="1" applyFill="1" applyBorder="1" applyAlignment="1" applyProtection="1">
      <alignment horizontal="center" vertical="center"/>
      <protection hidden="1"/>
    </xf>
    <xf numFmtId="177" fontId="27" fillId="31" borderId="48" xfId="35" applyNumberFormat="1" applyFont="1" applyFill="1" applyBorder="1" applyAlignment="1" applyProtection="1">
      <alignment horizontal="center" vertical="center"/>
      <protection hidden="1"/>
    </xf>
    <xf numFmtId="177" fontId="27" fillId="31" borderId="50" xfId="35" applyNumberFormat="1" applyFont="1" applyFill="1" applyBorder="1" applyAlignment="1" applyProtection="1">
      <alignment horizontal="center" vertical="center"/>
      <protection hidden="1"/>
    </xf>
    <xf numFmtId="177" fontId="41" fillId="24" borderId="50" xfId="35" applyNumberFormat="1" applyFont="1" applyFill="1" applyBorder="1" applyAlignment="1" applyProtection="1">
      <alignment horizontal="center"/>
      <protection hidden="1"/>
    </xf>
    <xf numFmtId="177" fontId="67" fillId="31" borderId="10" xfId="35" applyNumberFormat="1" applyFont="1" applyFill="1" applyBorder="1" applyAlignment="1" applyProtection="1">
      <alignment horizontal="center" vertical="center"/>
      <protection hidden="1"/>
    </xf>
    <xf numFmtId="2" fontId="41" fillId="24" borderId="10" xfId="35" applyNumberFormat="1" applyFont="1" applyFill="1" applyBorder="1" applyAlignment="1" applyProtection="1">
      <alignment horizontal="center" vertical="center"/>
      <protection hidden="1"/>
    </xf>
    <xf numFmtId="2" fontId="41" fillId="24" borderId="50" xfId="35" applyNumberFormat="1" applyFont="1" applyFill="1" applyBorder="1" applyAlignment="1" applyProtection="1">
      <alignment horizontal="center" vertical="center"/>
      <protection hidden="1"/>
    </xf>
    <xf numFmtId="178" fontId="41" fillId="24" borderId="48" xfId="0" applyNumberFormat="1" applyFont="1" applyFill="1" applyBorder="1" applyAlignment="1" applyProtection="1">
      <alignment horizontal="center" vertical="center"/>
      <protection hidden="1"/>
    </xf>
    <xf numFmtId="0" fontId="6" fillId="45" borderId="0" xfId="0" applyFont="1" applyFill="1">
      <alignment vertical="center"/>
    </xf>
    <xf numFmtId="2" fontId="41" fillId="24" borderId="48" xfId="35" applyNumberFormat="1" applyFont="1" applyFill="1" applyBorder="1" applyAlignment="1" applyProtection="1">
      <alignment horizontal="center"/>
      <protection hidden="1"/>
    </xf>
    <xf numFmtId="0" fontId="27" fillId="31" borderId="52" xfId="0" applyNumberFormat="1" applyFont="1" applyFill="1" applyBorder="1" applyAlignment="1" applyProtection="1">
      <alignment horizontal="left" vertical="center"/>
      <protection hidden="1"/>
    </xf>
    <xf numFmtId="0" fontId="27" fillId="31" borderId="49" xfId="0" applyFont="1" applyFill="1" applyBorder="1" applyAlignment="1" applyProtection="1">
      <alignment vertical="center"/>
      <protection hidden="1"/>
    </xf>
    <xf numFmtId="2" fontId="27" fillId="24" borderId="10" xfId="0" applyNumberFormat="1" applyFont="1" applyFill="1" applyBorder="1" applyAlignment="1" applyProtection="1">
      <alignment horizontal="left" vertical="center" shrinkToFit="1"/>
      <protection hidden="1"/>
    </xf>
    <xf numFmtId="2" fontId="27" fillId="24" borderId="10" xfId="35" applyNumberFormat="1" applyFont="1" applyFill="1" applyBorder="1" applyAlignment="1" applyProtection="1">
      <alignment horizontal="center"/>
      <protection hidden="1"/>
    </xf>
    <xf numFmtId="2" fontId="27" fillId="24" borderId="50" xfId="35" applyNumberFormat="1" applyFont="1" applyFill="1" applyBorder="1" applyAlignment="1" applyProtection="1">
      <alignment horizontal="center"/>
      <protection hidden="1"/>
    </xf>
    <xf numFmtId="0" fontId="32" fillId="26" borderId="10" xfId="0" applyNumberFormat="1" applyFont="1" applyFill="1" applyBorder="1" applyAlignment="1" applyProtection="1">
      <alignment horizontal="center" vertical="center"/>
      <protection hidden="1"/>
    </xf>
    <xf numFmtId="0" fontId="32" fillId="38" borderId="10" xfId="0" applyNumberFormat="1" applyFont="1" applyFill="1" applyBorder="1" applyAlignment="1" applyProtection="1">
      <alignment horizontal="center" vertical="center" shrinkToFit="1"/>
      <protection hidden="1"/>
    </xf>
    <xf numFmtId="186" fontId="41" fillId="26" borderId="10" xfId="35" applyNumberFormat="1" applyFont="1" applyFill="1" applyBorder="1" applyAlignment="1" applyProtection="1">
      <alignment horizontal="right" vertical="center"/>
      <protection hidden="1"/>
    </xf>
    <xf numFmtId="0" fontId="27" fillId="24" borderId="10" xfId="0" quotePrefix="1" applyNumberFormat="1" applyFont="1" applyFill="1" applyBorder="1" applyAlignment="1" applyProtection="1">
      <alignment horizontal="left" vertical="center"/>
      <protection hidden="1"/>
    </xf>
    <xf numFmtId="49" fontId="27" fillId="24" borderId="10" xfId="0" quotePrefix="1" applyNumberFormat="1" applyFont="1" applyFill="1" applyBorder="1" applyAlignment="1" applyProtection="1">
      <alignment horizontal="left" vertical="center"/>
      <protection hidden="1"/>
    </xf>
    <xf numFmtId="49" fontId="41" fillId="26" borderId="10" xfId="0" applyNumberFormat="1" applyFont="1" applyFill="1" applyBorder="1" applyAlignment="1" applyProtection="1">
      <alignment vertical="center"/>
      <protection hidden="1"/>
    </xf>
    <xf numFmtId="2" fontId="41" fillId="26" borderId="48" xfId="35" applyNumberFormat="1" applyFont="1" applyFill="1" applyBorder="1" applyAlignment="1" applyProtection="1">
      <alignment horizontal="center" vertical="center"/>
      <protection hidden="1"/>
    </xf>
    <xf numFmtId="2" fontId="41" fillId="26" borderId="50" xfId="0" applyNumberFormat="1" applyFont="1" applyFill="1" applyBorder="1" applyAlignment="1" applyProtection="1">
      <alignment horizontal="center"/>
      <protection hidden="1"/>
    </xf>
    <xf numFmtId="2" fontId="41" fillId="26" borderId="10" xfId="0" applyNumberFormat="1" applyFont="1" applyFill="1" applyBorder="1" applyAlignment="1" applyProtection="1">
      <alignment horizontal="center"/>
      <protection hidden="1"/>
    </xf>
    <xf numFmtId="2" fontId="41" fillId="24" borderId="50" xfId="0" applyNumberFormat="1" applyFont="1" applyFill="1" applyBorder="1" applyAlignment="1" applyProtection="1">
      <alignment horizontal="center"/>
      <protection hidden="1"/>
    </xf>
    <xf numFmtId="2" fontId="41" fillId="24" borderId="10" xfId="0" applyNumberFormat="1" applyFont="1" applyFill="1" applyBorder="1" applyAlignment="1" applyProtection="1">
      <alignment horizontal="center"/>
      <protection hidden="1"/>
    </xf>
    <xf numFmtId="206" fontId="41" fillId="24" borderId="50" xfId="0" applyNumberFormat="1" applyFont="1" applyFill="1" applyBorder="1" applyAlignment="1" applyProtection="1">
      <alignment horizontal="center"/>
      <protection hidden="1"/>
    </xf>
    <xf numFmtId="49" fontId="41" fillId="24" borderId="10" xfId="0" applyNumberFormat="1" applyFont="1" applyFill="1" applyBorder="1" applyAlignment="1" applyProtection="1">
      <alignment vertical="center"/>
      <protection hidden="1"/>
    </xf>
    <xf numFmtId="49" fontId="27" fillId="24" borderId="10" xfId="0" applyNumberFormat="1" applyFont="1" applyFill="1" applyBorder="1" applyAlignment="1" applyProtection="1">
      <alignment vertical="center"/>
      <protection hidden="1"/>
    </xf>
    <xf numFmtId="0" fontId="76" fillId="0" borderId="208" xfId="0" applyFont="1" applyFill="1" applyBorder="1" applyProtection="1">
      <alignment vertical="center"/>
      <protection hidden="1"/>
    </xf>
    <xf numFmtId="190" fontId="67" fillId="31" borderId="48" xfId="0" applyNumberFormat="1" applyFont="1" applyFill="1" applyBorder="1" applyAlignment="1" applyProtection="1">
      <alignment horizontal="center" vertical="center"/>
      <protection hidden="1"/>
    </xf>
    <xf numFmtId="0" fontId="75" fillId="0" borderId="88" xfId="0" applyFont="1" applyFill="1" applyBorder="1" applyAlignment="1">
      <alignment vertical="center"/>
    </xf>
    <xf numFmtId="0" fontId="75" fillId="0" borderId="88" xfId="0" applyFont="1" applyFill="1" applyBorder="1" applyAlignment="1" applyProtection="1">
      <alignment vertical="center"/>
      <protection hidden="1"/>
    </xf>
    <xf numFmtId="0" fontId="100" fillId="0" borderId="88" xfId="0" applyFont="1" applyFill="1" applyBorder="1" applyAlignment="1">
      <alignment vertical="center"/>
    </xf>
    <xf numFmtId="0" fontId="28" fillId="24" borderId="52" xfId="0" applyNumberFormat="1" applyFont="1" applyFill="1" applyBorder="1" applyAlignment="1" applyProtection="1">
      <alignment horizontal="left" vertical="center"/>
      <protection hidden="1"/>
    </xf>
    <xf numFmtId="0" fontId="27" fillId="31" borderId="10" xfId="0" applyFont="1" applyFill="1" applyBorder="1" applyAlignment="1" applyProtection="1">
      <alignment horizontal="center" vertical="center"/>
      <protection hidden="1"/>
    </xf>
    <xf numFmtId="182" fontId="47" fillId="0" borderId="103" xfId="0" applyNumberFormat="1" applyFont="1" applyFill="1" applyBorder="1" applyAlignment="1" applyProtection="1">
      <alignment horizontal="center" vertical="center"/>
      <protection hidden="1"/>
    </xf>
    <xf numFmtId="182" fontId="47" fillId="0" borderId="110" xfId="0" applyNumberFormat="1" applyFont="1" applyFill="1" applyBorder="1" applyAlignment="1" applyProtection="1">
      <alignment horizontal="center" vertical="center"/>
      <protection hidden="1"/>
    </xf>
    <xf numFmtId="182" fontId="47" fillId="34" borderId="109" xfId="0" applyNumberFormat="1" applyFont="1" applyFill="1" applyBorder="1" applyAlignment="1" applyProtection="1">
      <alignment horizontal="center" vertical="center"/>
      <protection hidden="1"/>
    </xf>
    <xf numFmtId="182" fontId="47" fillId="34" borderId="113" xfId="0" applyNumberFormat="1" applyFont="1" applyFill="1" applyBorder="1" applyAlignment="1" applyProtection="1">
      <alignment horizontal="center" vertical="center"/>
      <protection hidden="1"/>
    </xf>
    <xf numFmtId="182" fontId="35" fillId="24" borderId="209" xfId="0" applyNumberFormat="1" applyFont="1" applyFill="1" applyBorder="1" applyAlignment="1" applyProtection="1">
      <alignment horizontal="center" vertical="center"/>
      <protection hidden="1"/>
    </xf>
    <xf numFmtId="0" fontId="27" fillId="45" borderId="0" xfId="0" applyFont="1" applyFill="1">
      <alignment vertical="center"/>
    </xf>
    <xf numFmtId="0" fontId="6" fillId="24" borderId="0" xfId="0" applyFont="1" applyFill="1" applyBorder="1" applyAlignment="1" applyProtection="1">
      <alignment vertical="center"/>
      <protection hidden="1"/>
    </xf>
    <xf numFmtId="0" fontId="27" fillId="24" borderId="151" xfId="0" applyFont="1" applyFill="1" applyBorder="1" applyAlignment="1" applyProtection="1">
      <alignment vertical="center"/>
      <protection hidden="1"/>
    </xf>
    <xf numFmtId="0" fontId="27" fillId="24" borderId="11" xfId="0" applyFont="1" applyFill="1" applyBorder="1" applyAlignment="1" applyProtection="1">
      <alignment vertical="center"/>
      <protection hidden="1"/>
    </xf>
    <xf numFmtId="178" fontId="28" fillId="24" borderId="18" xfId="0" applyNumberFormat="1" applyFont="1" applyFill="1" applyBorder="1" applyAlignment="1" applyProtection="1">
      <alignment horizontal="left" vertical="center"/>
    </xf>
    <xf numFmtId="0" fontId="28" fillId="24" borderId="0" xfId="0" applyFont="1" applyFill="1" applyBorder="1" applyAlignment="1" applyProtection="1">
      <alignment horizontal="right" vertical="center"/>
      <protection hidden="1"/>
    </xf>
    <xf numFmtId="0" fontId="27" fillId="24" borderId="17" xfId="0" applyFont="1" applyFill="1" applyBorder="1" applyAlignment="1" applyProtection="1">
      <alignment horizontal="right" vertical="center"/>
      <protection hidden="1"/>
    </xf>
    <xf numFmtId="0" fontId="27" fillId="24" borderId="0" xfId="0" applyFont="1" applyFill="1" applyBorder="1" applyAlignment="1" applyProtection="1">
      <alignment horizontal="center" vertical="center"/>
      <protection hidden="1"/>
    </xf>
    <xf numFmtId="0" fontId="40" fillId="25" borderId="0" xfId="0" applyFont="1" applyFill="1" applyBorder="1" applyAlignment="1" applyProtection="1">
      <alignment vertical="center"/>
      <protection hidden="1"/>
    </xf>
    <xf numFmtId="0" fontId="6" fillId="0" borderId="10" xfId="0" applyFont="1" applyFill="1" applyBorder="1" applyAlignment="1" applyProtection="1">
      <alignment horizontal="center" vertical="center"/>
      <protection locked="0"/>
    </xf>
    <xf numFmtId="0" fontId="27" fillId="0" borderId="0" xfId="44" applyFont="1" applyBorder="1" applyAlignment="1">
      <alignment horizontal="right"/>
    </xf>
    <xf numFmtId="198" fontId="27" fillId="0" borderId="48" xfId="44" applyNumberFormat="1" applyFont="1" applyBorder="1" applyAlignment="1"/>
    <xf numFmtId="0" fontId="28" fillId="0" borderId="20" xfId="44" applyFont="1" applyBorder="1" applyAlignment="1"/>
    <xf numFmtId="0" fontId="27" fillId="0" borderId="51" xfId="0" applyFont="1" applyBorder="1" applyAlignment="1">
      <alignment vertical="top"/>
    </xf>
    <xf numFmtId="0" fontId="27" fillId="0" borderId="52" xfId="0" applyFont="1" applyBorder="1" applyAlignment="1">
      <alignment vertical="top"/>
    </xf>
    <xf numFmtId="0" fontId="27" fillId="0" borderId="53" xfId="0" applyFont="1" applyBorder="1" applyAlignment="1">
      <alignment vertical="top"/>
    </xf>
    <xf numFmtId="0" fontId="27" fillId="0" borderId="48" xfId="0" applyFont="1" applyBorder="1" applyAlignment="1">
      <alignment vertical="top"/>
    </xf>
    <xf numFmtId="0" fontId="27" fillId="0" borderId="49" xfId="0" applyFont="1" applyBorder="1" applyAlignment="1">
      <alignment vertical="top" wrapText="1"/>
    </xf>
    <xf numFmtId="0" fontId="27" fillId="0" borderId="50" xfId="0" applyFont="1" applyBorder="1" applyAlignment="1">
      <alignment vertical="top" wrapText="1"/>
    </xf>
    <xf numFmtId="0" fontId="27" fillId="0" borderId="49" xfId="0" applyFont="1" applyBorder="1" applyAlignment="1">
      <alignment vertical="top"/>
    </xf>
    <xf numFmtId="0" fontId="27" fillId="0" borderId="50" xfId="0" applyFont="1" applyBorder="1">
      <alignment vertical="center"/>
    </xf>
    <xf numFmtId="0" fontId="27" fillId="0" borderId="23" xfId="0" applyFont="1" applyBorder="1">
      <alignment vertical="center"/>
    </xf>
    <xf numFmtId="0" fontId="27" fillId="0" borderId="20" xfId="0" applyFont="1" applyBorder="1" applyAlignment="1">
      <alignment vertical="top"/>
    </xf>
    <xf numFmtId="0" fontId="27" fillId="0" borderId="0" xfId="0" applyFont="1" applyBorder="1" applyAlignment="1">
      <alignment vertical="top"/>
    </xf>
    <xf numFmtId="0" fontId="27" fillId="0" borderId="151" xfId="0" applyFont="1" applyBorder="1" applyAlignment="1">
      <alignment vertical="top"/>
    </xf>
    <xf numFmtId="0" fontId="27" fillId="0" borderId="48" xfId="0" applyFont="1" applyBorder="1" applyAlignment="1">
      <alignment vertical="top" wrapText="1"/>
    </xf>
    <xf numFmtId="198" fontId="27" fillId="0" borderId="48" xfId="0" applyNumberFormat="1" applyFont="1" applyBorder="1" applyAlignment="1">
      <alignment vertical="top"/>
    </xf>
    <xf numFmtId="198" fontId="27" fillId="0" borderId="49" xfId="0" applyNumberFormat="1" applyFont="1" applyBorder="1" applyAlignment="1">
      <alignment vertical="top"/>
    </xf>
    <xf numFmtId="198" fontId="27" fillId="0" borderId="50" xfId="0" applyNumberFormat="1" applyFont="1" applyBorder="1">
      <alignment vertical="center"/>
    </xf>
    <xf numFmtId="0" fontId="27" fillId="0" borderId="59" xfId="0" applyFont="1" applyBorder="1">
      <alignment vertical="center"/>
    </xf>
    <xf numFmtId="0" fontId="27" fillId="0" borderId="24" xfId="0" applyFont="1" applyBorder="1" applyAlignment="1">
      <alignment vertical="top"/>
    </xf>
    <xf numFmtId="0" fontId="27" fillId="0" borderId="57" xfId="0" applyFont="1" applyBorder="1" applyAlignment="1">
      <alignment vertical="top"/>
    </xf>
    <xf numFmtId="0" fontId="27" fillId="0" borderId="58" xfId="0" applyFont="1" applyBorder="1" applyAlignment="1">
      <alignment vertical="top"/>
    </xf>
    <xf numFmtId="0" fontId="27" fillId="0" borderId="10" xfId="0" applyFont="1" applyBorder="1" applyAlignment="1">
      <alignment vertical="top"/>
    </xf>
    <xf numFmtId="0" fontId="27" fillId="0" borderId="10" xfId="0" applyFont="1" applyBorder="1" applyAlignment="1">
      <alignment vertical="top" wrapText="1"/>
    </xf>
    <xf numFmtId="0" fontId="27" fillId="0" borderId="10" xfId="0" applyFont="1" applyFill="1" applyBorder="1" applyAlignment="1">
      <alignment vertical="top"/>
    </xf>
    <xf numFmtId="0" fontId="27" fillId="0" borderId="22" xfId="0" applyFont="1" applyFill="1" applyBorder="1" applyAlignment="1">
      <alignment vertical="top"/>
    </xf>
    <xf numFmtId="0" fontId="27" fillId="0" borderId="23" xfId="0" applyFont="1" applyBorder="1" applyAlignment="1">
      <alignment vertical="top"/>
    </xf>
    <xf numFmtId="0" fontId="27" fillId="0" borderId="50" xfId="0" applyFont="1" applyBorder="1" applyAlignment="1">
      <alignment vertical="top"/>
    </xf>
    <xf numFmtId="38" fontId="27" fillId="0" borderId="10" xfId="35" applyFont="1" applyBorder="1" applyAlignment="1">
      <alignment vertical="top"/>
    </xf>
    <xf numFmtId="9" fontId="27" fillId="0" borderId="10" xfId="0" applyNumberFormat="1" applyFont="1" applyBorder="1" applyAlignment="1">
      <alignment vertical="top"/>
    </xf>
    <xf numFmtId="0" fontId="27" fillId="0" borderId="10" xfId="0" applyFont="1" applyBorder="1" applyAlignment="1">
      <alignment horizontal="center"/>
    </xf>
    <xf numFmtId="198" fontId="27" fillId="0" borderId="10" xfId="0" applyNumberFormat="1" applyFont="1" applyBorder="1">
      <alignment vertical="center"/>
    </xf>
    <xf numFmtId="0" fontId="27" fillId="0" borderId="22" xfId="0" applyFont="1" applyBorder="1" applyAlignment="1">
      <alignment vertical="top"/>
    </xf>
    <xf numFmtId="0" fontId="27" fillId="0" borderId="59" xfId="0" applyFont="1" applyBorder="1" applyAlignment="1">
      <alignment vertical="top"/>
    </xf>
    <xf numFmtId="0" fontId="27" fillId="0" borderId="24" xfId="0" applyFont="1" applyFill="1" applyBorder="1" applyAlignment="1">
      <alignment vertical="top"/>
    </xf>
    <xf numFmtId="0" fontId="27" fillId="0" borderId="58" xfId="0" applyFont="1" applyFill="1" applyBorder="1" applyAlignment="1">
      <alignment vertical="top"/>
    </xf>
    <xf numFmtId="38" fontId="27" fillId="0" borderId="10" xfId="35" applyFont="1" applyBorder="1" applyAlignment="1">
      <alignment horizontal="center"/>
    </xf>
    <xf numFmtId="0" fontId="27" fillId="0" borderId="22" xfId="0" applyFont="1" applyBorder="1">
      <alignment vertical="center"/>
    </xf>
    <xf numFmtId="0" fontId="27" fillId="0" borderId="48" xfId="0" applyFont="1" applyFill="1" applyBorder="1" applyAlignment="1">
      <alignment vertical="top"/>
    </xf>
    <xf numFmtId="0" fontId="27" fillId="0" borderId="50" xfId="0" applyFont="1" applyFill="1" applyBorder="1" applyAlignment="1">
      <alignment vertical="top"/>
    </xf>
    <xf numFmtId="0" fontId="27" fillId="0" borderId="48" xfId="0" applyFont="1" applyBorder="1">
      <alignment vertical="center"/>
    </xf>
    <xf numFmtId="0" fontId="27" fillId="0" borderId="49" xfId="0" applyFont="1" applyFill="1" applyBorder="1" applyAlignment="1">
      <alignment vertical="top"/>
    </xf>
    <xf numFmtId="0" fontId="27" fillId="0" borderId="0" xfId="0" applyFont="1" applyFill="1" applyBorder="1" applyAlignment="1">
      <alignment vertical="top"/>
    </xf>
    <xf numFmtId="0" fontId="27" fillId="0" borderId="49" xfId="0" applyFont="1" applyBorder="1">
      <alignment vertical="center"/>
    </xf>
    <xf numFmtId="0" fontId="27" fillId="0" borderId="49" xfId="0" applyFont="1" applyBorder="1" applyAlignment="1">
      <alignment horizontal="center" vertical="center"/>
    </xf>
    <xf numFmtId="0" fontId="0" fillId="47" borderId="57" xfId="0" quotePrefix="1" applyFill="1" applyBorder="1">
      <alignment vertical="center"/>
    </xf>
    <xf numFmtId="0" fontId="0" fillId="47" borderId="0" xfId="0" applyFill="1">
      <alignment vertical="center"/>
    </xf>
    <xf numFmtId="0" fontId="27" fillId="47" borderId="10" xfId="0" applyFont="1" applyFill="1" applyBorder="1">
      <alignment vertical="center"/>
    </xf>
    <xf numFmtId="38" fontId="27" fillId="0" borderId="10" xfId="35" applyFont="1" applyBorder="1">
      <alignment vertical="center"/>
    </xf>
    <xf numFmtId="207" fontId="27" fillId="47" borderId="10" xfId="0" applyNumberFormat="1" applyFont="1" applyFill="1" applyBorder="1">
      <alignment vertical="center"/>
    </xf>
    <xf numFmtId="207" fontId="27" fillId="47" borderId="10" xfId="35" applyNumberFormat="1" applyFont="1" applyFill="1" applyBorder="1">
      <alignment vertical="center"/>
    </xf>
    <xf numFmtId="0" fontId="27" fillId="0" borderId="51" xfId="0" applyFont="1" applyBorder="1">
      <alignment vertical="center"/>
    </xf>
    <xf numFmtId="0" fontId="27" fillId="0" borderId="20" xfId="0" applyFont="1" applyBorder="1">
      <alignment vertical="center"/>
    </xf>
    <xf numFmtId="0" fontId="27" fillId="0" borderId="24" xfId="0" applyFont="1" applyBorder="1">
      <alignment vertical="center"/>
    </xf>
    <xf numFmtId="0" fontId="27" fillId="0" borderId="53" xfId="0" applyFont="1" applyBorder="1">
      <alignment vertical="center"/>
    </xf>
    <xf numFmtId="0" fontId="27" fillId="0" borderId="151" xfId="0" applyFont="1" applyBorder="1">
      <alignment vertical="center"/>
    </xf>
    <xf numFmtId="38" fontId="27" fillId="0" borderId="0" xfId="0" applyNumberFormat="1" applyFont="1">
      <alignment vertical="center"/>
    </xf>
    <xf numFmtId="0" fontId="27" fillId="47" borderId="0" xfId="0" applyFont="1" applyFill="1">
      <alignment vertical="center"/>
    </xf>
    <xf numFmtId="38" fontId="27" fillId="47" borderId="10" xfId="35" applyFont="1" applyFill="1" applyBorder="1">
      <alignment vertical="center"/>
    </xf>
    <xf numFmtId="0" fontId="1" fillId="24" borderId="10" xfId="0" applyFont="1" applyFill="1" applyBorder="1" applyAlignment="1">
      <alignment horizontal="center" vertical="center" wrapText="1"/>
    </xf>
    <xf numFmtId="0" fontId="6" fillId="24" borderId="0" xfId="45" applyFont="1" applyFill="1" applyBorder="1" applyAlignment="1" applyProtection="1">
      <alignment vertical="center"/>
      <protection locked="0"/>
    </xf>
    <xf numFmtId="0" fontId="0" fillId="0" borderId="23" xfId="0" applyBorder="1" applyAlignment="1">
      <alignment vertical="top"/>
    </xf>
    <xf numFmtId="0" fontId="0" fillId="0" borderId="48" xfId="0" applyBorder="1" applyAlignment="1">
      <alignment vertical="top"/>
    </xf>
    <xf numFmtId="178" fontId="0" fillId="0" borderId="10" xfId="0" applyNumberFormat="1" applyBorder="1" applyAlignment="1">
      <alignment vertical="top"/>
    </xf>
    <xf numFmtId="0" fontId="0" fillId="0" borderId="22" xfId="0" applyBorder="1" applyAlignment="1">
      <alignment vertical="top"/>
    </xf>
    <xf numFmtId="0" fontId="0" fillId="0" borderId="59" xfId="0" applyBorder="1" applyAlignment="1">
      <alignment vertical="top"/>
    </xf>
    <xf numFmtId="0" fontId="0" fillId="0" borderId="49" xfId="0" applyBorder="1" applyAlignment="1">
      <alignment vertical="top"/>
    </xf>
    <xf numFmtId="0" fontId="0" fillId="0" borderId="51" xfId="0" applyBorder="1" applyAlignment="1">
      <alignment vertical="top"/>
    </xf>
    <xf numFmtId="0" fontId="0" fillId="0" borderId="20" xfId="0" applyBorder="1" applyAlignment="1">
      <alignment vertical="top"/>
    </xf>
    <xf numFmtId="0" fontId="0" fillId="0" borderId="57" xfId="0" applyBorder="1" applyAlignment="1">
      <alignment vertical="top"/>
    </xf>
    <xf numFmtId="0" fontId="0" fillId="0" borderId="59" xfId="0" applyBorder="1">
      <alignment vertical="center"/>
    </xf>
    <xf numFmtId="0" fontId="0" fillId="0" borderId="24" xfId="0" applyFill="1" applyBorder="1" applyAlignment="1">
      <alignment vertical="top"/>
    </xf>
    <xf numFmtId="0" fontId="0" fillId="0" borderId="22" xfId="0" applyBorder="1">
      <alignment vertical="center"/>
    </xf>
    <xf numFmtId="0" fontId="0" fillId="0" borderId="48" xfId="0" applyFill="1" applyBorder="1" applyAlignment="1">
      <alignment vertical="top"/>
    </xf>
    <xf numFmtId="177" fontId="27" fillId="24" borderId="10" xfId="0" applyNumberFormat="1" applyFont="1" applyFill="1" applyBorder="1" applyProtection="1">
      <alignment vertical="center"/>
      <protection hidden="1"/>
    </xf>
    <xf numFmtId="0" fontId="6" fillId="24" borderId="80" xfId="0" applyFont="1" applyFill="1" applyBorder="1" applyAlignment="1" applyProtection="1"/>
    <xf numFmtId="0" fontId="70" fillId="24" borderId="77" xfId="0" applyFont="1" applyFill="1" applyBorder="1" applyAlignment="1" applyProtection="1"/>
    <xf numFmtId="0" fontId="27" fillId="24" borderId="77" xfId="0" applyFont="1" applyFill="1" applyBorder="1" applyProtection="1">
      <alignment vertical="center"/>
    </xf>
    <xf numFmtId="0" fontId="0" fillId="24" borderId="77" xfId="0" applyFill="1" applyBorder="1" applyProtection="1">
      <alignment vertical="center"/>
    </xf>
    <xf numFmtId="0" fontId="27" fillId="24" borderId="77" xfId="0" applyFont="1" applyFill="1" applyBorder="1" applyAlignment="1" applyProtection="1">
      <alignment horizontal="right" vertical="center"/>
    </xf>
    <xf numFmtId="0" fontId="27" fillId="24" borderId="77" xfId="0" applyFont="1" applyFill="1" applyBorder="1" applyAlignment="1" applyProtection="1">
      <alignment vertical="center"/>
    </xf>
    <xf numFmtId="0" fontId="6" fillId="24" borderId="77" xfId="0" applyFont="1" applyFill="1" applyBorder="1" applyAlignment="1" applyProtection="1">
      <alignment horizontal="right"/>
    </xf>
    <xf numFmtId="0" fontId="6" fillId="24" borderId="77" xfId="0" applyFont="1" applyFill="1" applyBorder="1" applyAlignment="1" applyProtection="1"/>
    <xf numFmtId="0" fontId="27" fillId="24" borderId="77" xfId="0" applyFont="1" applyFill="1" applyBorder="1" applyAlignment="1" applyProtection="1"/>
    <xf numFmtId="0" fontId="0" fillId="24" borderId="108" xfId="0" applyFill="1" applyBorder="1" applyProtection="1">
      <alignment vertical="center"/>
    </xf>
    <xf numFmtId="0" fontId="27" fillId="24" borderId="88" xfId="0" applyFont="1" applyFill="1" applyBorder="1" applyProtection="1">
      <alignment vertical="center"/>
    </xf>
    <xf numFmtId="0" fontId="27" fillId="24" borderId="0" xfId="0" applyFont="1" applyFill="1" applyBorder="1" applyProtection="1">
      <alignment vertical="center"/>
    </xf>
    <xf numFmtId="0" fontId="27" fillId="24" borderId="86" xfId="0" applyFont="1" applyFill="1" applyBorder="1" applyProtection="1">
      <alignment vertical="center"/>
    </xf>
    <xf numFmtId="0" fontId="0" fillId="0" borderId="0" xfId="0" quotePrefix="1">
      <alignment vertical="center"/>
    </xf>
    <xf numFmtId="0" fontId="41" fillId="24" borderId="0" xfId="0" applyFont="1" applyFill="1" applyBorder="1" applyProtection="1">
      <alignment vertical="center"/>
    </xf>
    <xf numFmtId="0" fontId="41" fillId="24" borderId="0" xfId="44" quotePrefix="1" applyFont="1" applyFill="1" applyBorder="1" applyAlignment="1" applyProtection="1">
      <alignment vertical="center"/>
    </xf>
    <xf numFmtId="0" fontId="41" fillId="24" borderId="0" xfId="0" applyFont="1" applyFill="1" applyBorder="1" applyAlignment="1" applyProtection="1">
      <alignment horizontal="center" vertical="center"/>
    </xf>
    <xf numFmtId="0" fontId="27" fillId="24" borderId="0" xfId="0" applyFont="1" applyFill="1" applyBorder="1" applyAlignment="1" applyProtection="1">
      <alignment horizontal="right" vertical="center"/>
    </xf>
    <xf numFmtId="38" fontId="27" fillId="27" borderId="131" xfId="35" applyFont="1" applyFill="1" applyBorder="1" applyAlignment="1" applyProtection="1">
      <alignment horizontal="center" vertical="center"/>
      <protection locked="0"/>
    </xf>
    <xf numFmtId="0" fontId="27" fillId="24" borderId="10" xfId="0" applyFont="1" applyFill="1" applyBorder="1" applyProtection="1">
      <alignment vertical="center"/>
    </xf>
    <xf numFmtId="192" fontId="27" fillId="24" borderId="10" xfId="0" applyNumberFormat="1" applyFont="1" applyFill="1" applyBorder="1" applyAlignment="1" applyProtection="1">
      <alignment horizontal="center" vertical="center"/>
    </xf>
    <xf numFmtId="177" fontId="27" fillId="24" borderId="0" xfId="0" applyNumberFormat="1" applyFont="1" applyFill="1" applyBorder="1" applyProtection="1">
      <alignment vertical="center"/>
    </xf>
    <xf numFmtId="193" fontId="27" fillId="24" borderId="0" xfId="0" applyNumberFormat="1" applyFont="1" applyFill="1" applyBorder="1" applyAlignment="1" applyProtection="1">
      <alignment horizontal="center" vertical="center"/>
    </xf>
    <xf numFmtId="193" fontId="27" fillId="24" borderId="131" xfId="0" applyNumberFormat="1" applyFont="1" applyFill="1" applyBorder="1" applyAlignment="1" applyProtection="1">
      <alignment horizontal="center" vertical="center"/>
    </xf>
    <xf numFmtId="177" fontId="27" fillId="24" borderId="10" xfId="0" applyNumberFormat="1" applyFont="1" applyFill="1" applyBorder="1" applyProtection="1">
      <alignment vertical="center"/>
    </xf>
    <xf numFmtId="208" fontId="27" fillId="24" borderId="131" xfId="0" applyNumberFormat="1" applyFont="1" applyFill="1" applyBorder="1" applyAlignment="1" applyProtection="1">
      <alignment horizontal="center" vertical="center"/>
    </xf>
    <xf numFmtId="0" fontId="27" fillId="48" borderId="0" xfId="0" applyFont="1" applyFill="1" applyBorder="1" applyProtection="1">
      <alignment vertical="center"/>
    </xf>
    <xf numFmtId="186" fontId="0" fillId="0" borderId="0" xfId="0" applyNumberFormat="1">
      <alignment vertical="center"/>
    </xf>
    <xf numFmtId="0" fontId="0" fillId="0" borderId="23" xfId="0" applyBorder="1">
      <alignment vertical="center"/>
    </xf>
    <xf numFmtId="0" fontId="27" fillId="24" borderId="86" xfId="0" applyFont="1" applyFill="1" applyBorder="1" applyAlignment="1" applyProtection="1">
      <alignment horizontal="right" vertical="center"/>
    </xf>
    <xf numFmtId="0" fontId="41" fillId="24" borderId="0" xfId="0" applyFont="1" applyFill="1" applyBorder="1" applyAlignment="1" applyProtection="1">
      <alignment horizontal="right" vertical="center"/>
    </xf>
    <xf numFmtId="177" fontId="27" fillId="24" borderId="50" xfId="0" applyNumberFormat="1" applyFont="1" applyFill="1" applyBorder="1" applyProtection="1">
      <alignment vertical="center"/>
    </xf>
    <xf numFmtId="209" fontId="0" fillId="0" borderId="0" xfId="0" applyNumberFormat="1">
      <alignment vertical="center"/>
    </xf>
    <xf numFmtId="0" fontId="41" fillId="48" borderId="0" xfId="0" applyFont="1" applyFill="1" applyBorder="1" applyProtection="1">
      <alignment vertical="center"/>
    </xf>
    <xf numFmtId="177" fontId="41" fillId="24" borderId="10" xfId="0" applyNumberFormat="1" applyFont="1" applyFill="1" applyBorder="1" applyProtection="1">
      <alignment vertical="center"/>
    </xf>
    <xf numFmtId="210" fontId="27" fillId="27" borderId="131" xfId="35" applyNumberFormat="1" applyFont="1" applyFill="1" applyBorder="1" applyAlignment="1" applyProtection="1">
      <alignment horizontal="center" vertical="center"/>
      <protection locked="0"/>
    </xf>
    <xf numFmtId="38" fontId="27" fillId="27" borderId="114" xfId="35" applyFont="1" applyFill="1" applyBorder="1" applyAlignment="1" applyProtection="1">
      <alignment horizontal="right" vertical="center"/>
      <protection locked="0"/>
    </xf>
    <xf numFmtId="0" fontId="27" fillId="24" borderId="113" xfId="0" applyFont="1" applyFill="1" applyBorder="1" applyProtection="1">
      <alignment vertical="center"/>
    </xf>
    <xf numFmtId="38" fontId="27" fillId="27" borderId="116" xfId="35" applyFont="1" applyFill="1" applyBorder="1" applyAlignment="1" applyProtection="1">
      <alignment horizontal="right" vertical="center"/>
      <protection locked="0"/>
    </xf>
    <xf numFmtId="38" fontId="27" fillId="27" borderId="143" xfId="35" applyFont="1" applyFill="1" applyBorder="1" applyAlignment="1" applyProtection="1">
      <alignment horizontal="right" vertical="center"/>
      <protection locked="0"/>
    </xf>
    <xf numFmtId="0" fontId="41" fillId="24" borderId="0" xfId="0" applyFont="1" applyFill="1" applyBorder="1" applyAlignment="1" applyProtection="1">
      <alignment vertical="center"/>
    </xf>
    <xf numFmtId="177" fontId="27" fillId="24" borderId="22" xfId="0" applyNumberFormat="1" applyFont="1" applyFill="1" applyBorder="1" applyProtection="1">
      <alignment vertical="center"/>
    </xf>
    <xf numFmtId="0" fontId="41" fillId="24" borderId="0" xfId="0" applyFont="1" applyFill="1" applyBorder="1" applyAlignment="1" applyProtection="1">
      <alignment horizontal="left" vertical="center"/>
    </xf>
    <xf numFmtId="185" fontId="27" fillId="27" borderId="114" xfId="35" applyNumberFormat="1" applyFont="1" applyFill="1" applyBorder="1" applyAlignment="1" applyProtection="1">
      <alignment horizontal="right" vertical="center"/>
      <protection locked="0"/>
    </xf>
    <xf numFmtId="38" fontId="27" fillId="24" borderId="48" xfId="35" applyFont="1" applyFill="1" applyBorder="1" applyProtection="1">
      <alignment vertical="center"/>
    </xf>
    <xf numFmtId="38" fontId="27" fillId="24" borderId="131" xfId="35" applyFont="1" applyFill="1" applyBorder="1" applyProtection="1">
      <alignment vertical="center"/>
    </xf>
    <xf numFmtId="185" fontId="27" fillId="27" borderId="116" xfId="35" applyNumberFormat="1" applyFont="1" applyFill="1" applyBorder="1" applyAlignment="1" applyProtection="1">
      <alignment horizontal="right" vertical="center"/>
      <protection locked="0"/>
    </xf>
    <xf numFmtId="185" fontId="27" fillId="27" borderId="143" xfId="35" applyNumberFormat="1" applyFont="1" applyFill="1" applyBorder="1" applyAlignment="1" applyProtection="1">
      <alignment horizontal="right" vertical="center"/>
      <protection locked="0"/>
    </xf>
    <xf numFmtId="185" fontId="27" fillId="24" borderId="0" xfId="0" applyNumberFormat="1" applyFont="1" applyFill="1" applyBorder="1" applyProtection="1">
      <alignment vertical="center"/>
    </xf>
    <xf numFmtId="0" fontId="27" fillId="24" borderId="103" xfId="0" applyFont="1" applyFill="1" applyBorder="1" applyProtection="1">
      <alignment vertical="center"/>
    </xf>
    <xf numFmtId="0" fontId="27" fillId="24" borderId="154" xfId="0" applyFont="1" applyFill="1" applyBorder="1" applyProtection="1">
      <alignment vertical="center"/>
    </xf>
    <xf numFmtId="0" fontId="41" fillId="24" borderId="154" xfId="0" applyFont="1" applyFill="1" applyBorder="1" applyProtection="1">
      <alignment vertical="center"/>
    </xf>
    <xf numFmtId="0" fontId="27" fillId="24" borderId="110" xfId="0" applyFont="1" applyFill="1" applyBorder="1" applyProtection="1">
      <alignment vertical="center"/>
    </xf>
    <xf numFmtId="0" fontId="27" fillId="24" borderId="73" xfId="0" applyFont="1" applyFill="1" applyBorder="1" applyProtection="1">
      <alignment vertical="center"/>
    </xf>
    <xf numFmtId="0" fontId="41" fillId="24" borderId="79" xfId="44" applyFont="1" applyFill="1" applyBorder="1" applyAlignment="1" applyProtection="1">
      <alignment vertical="center"/>
    </xf>
    <xf numFmtId="0" fontId="27" fillId="24" borderId="79" xfId="0" applyFont="1" applyFill="1" applyBorder="1" applyProtection="1">
      <alignment vertical="center"/>
    </xf>
    <xf numFmtId="0" fontId="27" fillId="24" borderId="79" xfId="44" applyFont="1" applyFill="1" applyBorder="1" applyAlignment="1" applyProtection="1">
      <alignment horizontal="right"/>
    </xf>
    <xf numFmtId="0" fontId="27" fillId="24" borderId="79" xfId="44" applyFont="1" applyFill="1" applyBorder="1" applyAlignment="1" applyProtection="1"/>
    <xf numFmtId="0" fontId="27" fillId="24" borderId="108" xfId="44" applyFont="1" applyFill="1" applyBorder="1" applyAlignment="1" applyProtection="1">
      <alignment horizontal="right"/>
    </xf>
    <xf numFmtId="0" fontId="27" fillId="24" borderId="88" xfId="44" applyFont="1" applyFill="1" applyBorder="1" applyAlignment="1" applyProtection="1">
      <alignment vertical="center"/>
    </xf>
    <xf numFmtId="0" fontId="27" fillId="24" borderId="86" xfId="44" applyFont="1" applyFill="1" applyBorder="1" applyAlignment="1" applyProtection="1">
      <alignment horizontal="left"/>
    </xf>
    <xf numFmtId="0" fontId="27" fillId="24" borderId="0" xfId="44" applyFont="1" applyFill="1" applyBorder="1" applyAlignment="1" applyProtection="1"/>
    <xf numFmtId="177" fontId="27" fillId="24" borderId="10" xfId="28" applyNumberFormat="1" applyFont="1" applyFill="1" applyBorder="1" applyProtection="1">
      <alignment vertical="center"/>
    </xf>
    <xf numFmtId="40" fontId="27" fillId="24" borderId="10" xfId="0" applyNumberFormat="1" applyFont="1" applyFill="1" applyBorder="1" applyProtection="1">
      <alignment vertical="center"/>
    </xf>
    <xf numFmtId="177" fontId="27" fillId="24" borderId="0" xfId="0" applyNumberFormat="1" applyFont="1" applyFill="1" applyBorder="1" applyAlignment="1" applyProtection="1">
      <alignment horizontal="left" vertical="center"/>
    </xf>
    <xf numFmtId="196" fontId="27" fillId="24" borderId="10" xfId="35" applyNumberFormat="1" applyFont="1" applyFill="1" applyBorder="1" applyAlignment="1" applyProtection="1"/>
    <xf numFmtId="40" fontId="27" fillId="24" borderId="10" xfId="35" applyNumberFormat="1" applyFont="1" applyFill="1" applyBorder="1" applyAlignment="1" applyProtection="1">
      <alignment horizontal="right" vertical="center"/>
    </xf>
    <xf numFmtId="40" fontId="27" fillId="24" borderId="66" xfId="35" applyNumberFormat="1" applyFont="1" applyFill="1" applyBorder="1" applyAlignment="1" applyProtection="1">
      <alignment horizontal="right" vertical="center"/>
    </xf>
    <xf numFmtId="0" fontId="0" fillId="45" borderId="0" xfId="0" applyFill="1">
      <alignment vertical="center"/>
    </xf>
    <xf numFmtId="0" fontId="27" fillId="24" borderId="23" xfId="0" applyFont="1" applyFill="1" applyBorder="1" applyAlignment="1">
      <alignment vertical="top"/>
    </xf>
    <xf numFmtId="0" fontId="27" fillId="24" borderId="48" xfId="0" applyFont="1" applyFill="1" applyBorder="1" applyAlignment="1">
      <alignment vertical="top"/>
    </xf>
    <xf numFmtId="0" fontId="27" fillId="24" borderId="50" xfId="0" applyFont="1" applyFill="1" applyBorder="1" applyAlignment="1">
      <alignment vertical="top"/>
    </xf>
    <xf numFmtId="212" fontId="27" fillId="24" borderId="10" xfId="0" applyNumberFormat="1" applyFont="1" applyFill="1" applyBorder="1">
      <alignment vertical="center"/>
    </xf>
    <xf numFmtId="0" fontId="27" fillId="24" borderId="22" xfId="0" applyFont="1" applyFill="1" applyBorder="1" applyAlignment="1">
      <alignment vertical="top"/>
    </xf>
    <xf numFmtId="0" fontId="27" fillId="24" borderId="59" xfId="0" applyFont="1" applyFill="1" applyBorder="1" applyAlignment="1">
      <alignment vertical="top"/>
    </xf>
    <xf numFmtId="0" fontId="27" fillId="24" borderId="51" xfId="0" applyFont="1" applyFill="1" applyBorder="1" applyAlignment="1">
      <alignment vertical="top"/>
    </xf>
    <xf numFmtId="0" fontId="27" fillId="24" borderId="10" xfId="0" applyFont="1" applyFill="1" applyBorder="1" applyAlignment="1">
      <alignment vertical="top"/>
    </xf>
    <xf numFmtId="0" fontId="27" fillId="24" borderId="24" xfId="0" applyFont="1" applyFill="1" applyBorder="1" applyAlignment="1">
      <alignment vertical="top"/>
    </xf>
    <xf numFmtId="0" fontId="27" fillId="24" borderId="49" xfId="0" applyFont="1" applyFill="1" applyBorder="1" applyAlignment="1">
      <alignment vertical="top"/>
    </xf>
    <xf numFmtId="0" fontId="27" fillId="24" borderId="53" xfId="0" applyFont="1" applyFill="1" applyBorder="1" applyAlignment="1">
      <alignment vertical="top"/>
    </xf>
    <xf numFmtId="0" fontId="27" fillId="24" borderId="0" xfId="0" applyFont="1" applyFill="1" applyBorder="1" applyAlignment="1">
      <alignment vertical="top"/>
    </xf>
    <xf numFmtId="38" fontId="27" fillId="24" borderId="0" xfId="35" applyFont="1" applyFill="1" applyBorder="1">
      <alignment vertical="center"/>
    </xf>
    <xf numFmtId="212" fontId="27" fillId="24" borderId="131" xfId="0" applyNumberFormat="1" applyFont="1" applyFill="1" applyBorder="1">
      <alignment vertical="center"/>
    </xf>
    <xf numFmtId="38" fontId="0" fillId="0" borderId="0" xfId="35" applyFont="1">
      <alignment vertical="center"/>
    </xf>
    <xf numFmtId="0" fontId="0" fillId="47" borderId="10" xfId="0" applyFill="1" applyBorder="1">
      <alignment vertical="center"/>
    </xf>
    <xf numFmtId="185" fontId="41" fillId="24" borderId="131" xfId="35" applyNumberFormat="1" applyFont="1" applyFill="1" applyBorder="1" applyAlignment="1" applyProtection="1">
      <alignment horizontal="center" vertical="center"/>
    </xf>
    <xf numFmtId="40" fontId="27" fillId="24" borderId="88" xfId="0" applyNumberFormat="1" applyFont="1" applyFill="1" applyBorder="1" applyProtection="1">
      <alignment vertical="center"/>
    </xf>
    <xf numFmtId="40" fontId="27" fillId="24" borderId="0" xfId="0" applyNumberFormat="1" applyFont="1" applyFill="1" applyBorder="1" applyProtection="1">
      <alignment vertical="center"/>
    </xf>
    <xf numFmtId="177" fontId="27" fillId="24" borderId="86" xfId="0" applyNumberFormat="1" applyFont="1" applyFill="1" applyBorder="1" applyAlignment="1" applyProtection="1">
      <alignment horizontal="right" vertical="center"/>
    </xf>
    <xf numFmtId="38" fontId="27" fillId="24" borderId="10" xfId="0" applyNumberFormat="1" applyFont="1" applyFill="1" applyBorder="1" applyProtection="1">
      <alignment vertical="center"/>
    </xf>
    <xf numFmtId="176" fontId="40" fillId="24" borderId="10" xfId="44" applyNumberFormat="1" applyFont="1" applyFill="1" applyBorder="1" applyAlignment="1" applyProtection="1">
      <alignment vertical="center"/>
    </xf>
    <xf numFmtId="176" fontId="27" fillId="24" borderId="10" xfId="44" applyNumberFormat="1" applyFont="1" applyFill="1" applyBorder="1" applyAlignment="1" applyProtection="1">
      <alignment horizontal="center" vertical="center"/>
    </xf>
    <xf numFmtId="176" fontId="27" fillId="24" borderId="10" xfId="28" applyNumberFormat="1" applyFont="1" applyFill="1" applyBorder="1" applyAlignment="1" applyProtection="1">
      <alignment horizontal="center" vertical="center"/>
    </xf>
    <xf numFmtId="0" fontId="40" fillId="24" borderId="0" xfId="44" applyFont="1" applyFill="1" applyBorder="1" applyAlignment="1" applyProtection="1">
      <alignment horizontal="left" vertical="center"/>
    </xf>
    <xf numFmtId="198" fontId="27" fillId="24" borderId="0" xfId="0" applyNumberFormat="1" applyFont="1" applyFill="1" applyBorder="1" applyProtection="1">
      <alignment vertical="center"/>
    </xf>
    <xf numFmtId="38" fontId="27" fillId="24" borderId="0" xfId="0" applyNumberFormat="1" applyFont="1" applyFill="1" applyBorder="1" applyProtection="1">
      <alignment vertical="center"/>
    </xf>
    <xf numFmtId="177" fontId="40" fillId="24" borderId="10" xfId="44" applyNumberFormat="1" applyFont="1" applyFill="1" applyBorder="1" applyAlignment="1" applyProtection="1">
      <alignment vertical="center"/>
    </xf>
    <xf numFmtId="186" fontId="40" fillId="24" borderId="10" xfId="44" applyNumberFormat="1" applyFont="1" applyFill="1" applyBorder="1" applyAlignment="1" applyProtection="1">
      <alignment vertical="center"/>
    </xf>
    <xf numFmtId="186" fontId="27" fillId="24" borderId="10" xfId="28" applyNumberFormat="1" applyFont="1" applyFill="1" applyBorder="1" applyAlignment="1" applyProtection="1">
      <alignment horizontal="center" vertical="center"/>
    </xf>
    <xf numFmtId="0" fontId="179" fillId="24" borderId="0" xfId="0" applyFont="1" applyFill="1" applyBorder="1" applyProtection="1">
      <alignment vertical="center"/>
    </xf>
    <xf numFmtId="0" fontId="27" fillId="24" borderId="0" xfId="44" applyFont="1" applyFill="1" applyBorder="1" applyAlignment="1" applyProtection="1">
      <alignment horizontal="right"/>
    </xf>
    <xf numFmtId="40" fontId="27" fillId="24" borderId="0" xfId="35" applyNumberFormat="1" applyFont="1" applyFill="1" applyBorder="1" applyAlignment="1" applyProtection="1">
      <alignment horizontal="right" vertical="center"/>
    </xf>
    <xf numFmtId="40" fontId="27" fillId="24" borderId="86" xfId="35" applyNumberFormat="1" applyFont="1" applyFill="1" applyBorder="1" applyAlignment="1" applyProtection="1">
      <alignment horizontal="right" vertical="center"/>
    </xf>
    <xf numFmtId="0" fontId="28" fillId="0" borderId="0" xfId="0" applyFont="1" applyFill="1" applyBorder="1" applyAlignment="1" applyProtection="1">
      <alignment horizontal="left" vertical="center"/>
    </xf>
    <xf numFmtId="183" fontId="28" fillId="0" borderId="0" xfId="0" applyNumberFormat="1" applyFont="1" applyFill="1" applyBorder="1" applyProtection="1">
      <alignment vertical="center"/>
    </xf>
    <xf numFmtId="0" fontId="41" fillId="24" borderId="86" xfId="44" applyFont="1" applyFill="1" applyBorder="1" applyAlignment="1" applyProtection="1">
      <alignment horizontal="center" vertical="center"/>
    </xf>
    <xf numFmtId="0" fontId="28" fillId="24" borderId="0" xfId="44" applyFont="1" applyFill="1" applyBorder="1" applyAlignment="1" applyProtection="1">
      <alignment horizontal="right" vertical="center"/>
    </xf>
    <xf numFmtId="177" fontId="27" fillId="24" borderId="10" xfId="44" applyNumberFormat="1" applyFont="1" applyFill="1" applyBorder="1" applyAlignment="1" applyProtection="1">
      <alignment vertical="center"/>
    </xf>
    <xf numFmtId="177" fontId="27" fillId="24" borderId="48" xfId="44" applyNumberFormat="1" applyFont="1" applyFill="1" applyBorder="1" applyAlignment="1" applyProtection="1">
      <alignment vertical="center"/>
    </xf>
    <xf numFmtId="177" fontId="27" fillId="24" borderId="10" xfId="28" applyNumberFormat="1" applyFont="1" applyFill="1" applyBorder="1" applyAlignment="1" applyProtection="1">
      <alignment horizontal="center" vertical="center"/>
    </xf>
    <xf numFmtId="177" fontId="27" fillId="24" borderId="66" xfId="44" applyNumberFormat="1" applyFont="1" applyFill="1" applyBorder="1" applyAlignment="1" applyProtection="1">
      <alignment vertical="center"/>
    </xf>
    <xf numFmtId="0" fontId="28" fillId="24" borderId="0" xfId="44" applyFont="1" applyFill="1" applyBorder="1" applyAlignment="1" applyProtection="1">
      <alignment horizontal="left" vertical="center"/>
    </xf>
    <xf numFmtId="177" fontId="27" fillId="24" borderId="0" xfId="44" applyNumberFormat="1" applyFont="1" applyFill="1" applyBorder="1" applyAlignment="1" applyProtection="1">
      <alignment vertical="center"/>
    </xf>
    <xf numFmtId="176" fontId="27" fillId="24" borderId="0" xfId="44" applyNumberFormat="1" applyFont="1" applyFill="1" applyBorder="1" applyAlignment="1" applyProtection="1">
      <alignment horizontal="center" vertical="center"/>
    </xf>
    <xf numFmtId="177" fontId="27" fillId="24" borderId="0" xfId="28" applyNumberFormat="1" applyFont="1" applyFill="1" applyBorder="1" applyAlignment="1" applyProtection="1">
      <alignment horizontal="center" vertical="center"/>
    </xf>
    <xf numFmtId="177" fontId="27" fillId="24" borderId="86" xfId="44" applyNumberFormat="1" applyFont="1" applyFill="1" applyBorder="1" applyAlignment="1" applyProtection="1">
      <alignment vertical="center"/>
    </xf>
    <xf numFmtId="0" fontId="27" fillId="24" borderId="10" xfId="44" applyFont="1" applyFill="1" applyBorder="1" applyAlignment="1" applyProtection="1">
      <alignment vertical="center"/>
    </xf>
    <xf numFmtId="0" fontId="27" fillId="24" borderId="0" xfId="44" applyFont="1" applyFill="1" applyBorder="1" applyAlignment="1" applyProtection="1">
      <alignment horizontal="center" vertical="center"/>
    </xf>
    <xf numFmtId="179" fontId="27" fillId="24" borderId="0" xfId="44" applyNumberFormat="1" applyFont="1" applyFill="1" applyBorder="1" applyAlignment="1" applyProtection="1">
      <alignment horizontal="center" vertical="center"/>
    </xf>
    <xf numFmtId="0" fontId="27" fillId="24" borderId="86" xfId="44" applyFont="1" applyFill="1" applyBorder="1" applyAlignment="1" applyProtection="1">
      <alignment vertical="center"/>
    </xf>
    <xf numFmtId="0" fontId="41" fillId="24" borderId="88" xfId="0" applyFont="1" applyFill="1" applyBorder="1" applyProtection="1">
      <alignment vertical="center"/>
    </xf>
    <xf numFmtId="9" fontId="27" fillId="24" borderId="10" xfId="0" applyNumberFormat="1" applyFont="1" applyFill="1" applyBorder="1" applyProtection="1">
      <alignment vertical="center"/>
    </xf>
    <xf numFmtId="9" fontId="27" fillId="24" borderId="10" xfId="28" applyFont="1" applyFill="1" applyBorder="1" applyProtection="1">
      <alignment vertical="center"/>
    </xf>
    <xf numFmtId="178" fontId="27" fillId="24" borderId="131" xfId="44" applyNumberFormat="1" applyFont="1" applyFill="1" applyBorder="1" applyAlignment="1" applyProtection="1">
      <alignment horizontal="right" vertical="center"/>
    </xf>
    <xf numFmtId="178" fontId="27" fillId="24" borderId="0" xfId="44" applyNumberFormat="1" applyFont="1" applyFill="1" applyBorder="1" applyAlignment="1" applyProtection="1">
      <alignment horizontal="right" vertical="center"/>
    </xf>
    <xf numFmtId="178" fontId="27" fillId="24" borderId="86" xfId="44" applyNumberFormat="1" applyFont="1" applyFill="1" applyBorder="1" applyAlignment="1" applyProtection="1">
      <alignment horizontal="right" vertical="center"/>
    </xf>
    <xf numFmtId="176" fontId="27" fillId="24" borderId="50" xfId="44" applyNumberFormat="1" applyFont="1" applyFill="1" applyBorder="1" applyAlignment="1" applyProtection="1">
      <alignment horizontal="center" vertical="center"/>
    </xf>
    <xf numFmtId="195" fontId="27" fillId="24" borderId="10" xfId="0" applyNumberFormat="1" applyFont="1" applyFill="1" applyBorder="1" applyProtection="1">
      <alignment vertical="center"/>
    </xf>
    <xf numFmtId="0" fontId="27" fillId="24" borderId="66" xfId="0" applyFont="1" applyFill="1" applyBorder="1" applyProtection="1">
      <alignment vertical="center"/>
    </xf>
    <xf numFmtId="0" fontId="27" fillId="24" borderId="131" xfId="0" applyFont="1" applyFill="1" applyBorder="1" applyAlignment="1" applyProtection="1">
      <alignment horizontal="left" vertical="center"/>
    </xf>
    <xf numFmtId="0" fontId="27" fillId="24" borderId="86" xfId="0" applyFont="1" applyFill="1" applyBorder="1" applyAlignment="1" applyProtection="1">
      <alignment horizontal="left" vertical="center"/>
    </xf>
    <xf numFmtId="0" fontId="27" fillId="24" borderId="88" xfId="44" applyFont="1" applyFill="1" applyBorder="1" applyAlignment="1" applyProtection="1"/>
    <xf numFmtId="0" fontId="27" fillId="24" borderId="0" xfId="44" applyFont="1" applyFill="1" applyBorder="1" applyAlignment="1" applyProtection="1">
      <alignment horizontal="left"/>
    </xf>
    <xf numFmtId="38" fontId="27" fillId="24" borderId="10" xfId="35" applyFont="1" applyFill="1" applyBorder="1" applyAlignment="1" applyProtection="1"/>
    <xf numFmtId="0" fontId="27" fillId="24" borderId="48" xfId="0" applyFont="1" applyFill="1" applyBorder="1" applyProtection="1">
      <alignment vertical="center"/>
    </xf>
    <xf numFmtId="38" fontId="27" fillId="24" borderId="0" xfId="35" applyFont="1" applyFill="1" applyBorder="1" applyAlignment="1" applyProtection="1"/>
    <xf numFmtId="38" fontId="27" fillId="24" borderId="86" xfId="35" applyFont="1" applyFill="1" applyBorder="1" applyAlignment="1" applyProtection="1"/>
    <xf numFmtId="0" fontId="27" fillId="24" borderId="66" xfId="44" applyFont="1" applyFill="1" applyBorder="1" applyAlignment="1" applyProtection="1"/>
    <xf numFmtId="38" fontId="27" fillId="24" borderId="114" xfId="35" applyFont="1" applyFill="1" applyBorder="1" applyAlignment="1" applyProtection="1"/>
    <xf numFmtId="38" fontId="27" fillId="24" borderId="48" xfId="35" applyFont="1" applyFill="1" applyBorder="1" applyAlignment="1" applyProtection="1"/>
    <xf numFmtId="38" fontId="27" fillId="24" borderId="116" xfId="35" applyFont="1" applyFill="1" applyBorder="1" applyAlignment="1" applyProtection="1"/>
    <xf numFmtId="38" fontId="27" fillId="24" borderId="143" xfId="35" applyFont="1" applyFill="1" applyBorder="1" applyAlignment="1" applyProtection="1"/>
    <xf numFmtId="0" fontId="27" fillId="24" borderId="0" xfId="0" applyFont="1" applyFill="1" applyBorder="1" applyAlignment="1" applyProtection="1">
      <alignment horizontal="right"/>
    </xf>
    <xf numFmtId="38" fontId="27" fillId="24" borderId="10" xfId="35" applyFont="1" applyFill="1" applyBorder="1" applyAlignment="1" applyProtection="1">
      <alignment vertical="center"/>
    </xf>
    <xf numFmtId="177" fontId="27" fillId="24" borderId="10" xfId="44" applyNumberFormat="1" applyFont="1" applyFill="1" applyBorder="1" applyAlignment="1" applyProtection="1">
      <alignment horizontal="right" vertical="center"/>
    </xf>
    <xf numFmtId="40" fontId="27" fillId="24" borderId="66" xfId="35" applyNumberFormat="1" applyFont="1" applyFill="1" applyBorder="1" applyAlignment="1" applyProtection="1">
      <alignment vertical="center"/>
    </xf>
    <xf numFmtId="0" fontId="28" fillId="24" borderId="0" xfId="0" applyFont="1" applyFill="1" applyBorder="1" applyAlignment="1" applyProtection="1">
      <alignment horizontal="center" vertical="center"/>
    </xf>
    <xf numFmtId="179" fontId="27" fillId="24" borderId="0" xfId="44" applyNumberFormat="1" applyFont="1" applyFill="1" applyBorder="1" applyAlignment="1" applyProtection="1">
      <alignment horizontal="left" vertical="center"/>
    </xf>
    <xf numFmtId="178" fontId="6" fillId="24" borderId="134" xfId="44" applyNumberFormat="1" applyFont="1" applyFill="1" applyBorder="1" applyAlignment="1" applyProtection="1">
      <alignment horizontal="right" vertical="center"/>
    </xf>
    <xf numFmtId="209" fontId="41" fillId="24" borderId="10" xfId="35" applyNumberFormat="1" applyFont="1" applyFill="1" applyBorder="1" applyAlignment="1" applyProtection="1">
      <alignment horizontal="center" vertical="center"/>
      <protection hidden="1"/>
    </xf>
    <xf numFmtId="190" fontId="27" fillId="49" borderId="10" xfId="35" applyNumberFormat="1" applyFont="1" applyFill="1" applyBorder="1" applyAlignment="1" applyProtection="1">
      <alignment horizontal="center" vertical="center"/>
      <protection hidden="1"/>
    </xf>
    <xf numFmtId="2" fontId="27" fillId="49" borderId="10" xfId="35" applyNumberFormat="1" applyFont="1" applyFill="1" applyBorder="1" applyAlignment="1" applyProtection="1">
      <alignment horizontal="center" vertical="center"/>
      <protection hidden="1"/>
    </xf>
    <xf numFmtId="2" fontId="27" fillId="44" borderId="10" xfId="35" applyNumberFormat="1" applyFont="1" applyFill="1" applyBorder="1" applyAlignment="1" applyProtection="1">
      <alignment horizontal="center" vertical="center"/>
      <protection hidden="1"/>
    </xf>
    <xf numFmtId="2" fontId="27" fillId="33" borderId="10" xfId="35" applyNumberFormat="1" applyFont="1" applyFill="1" applyBorder="1" applyAlignment="1" applyProtection="1">
      <alignment horizontal="center" vertical="center"/>
      <protection hidden="1"/>
    </xf>
    <xf numFmtId="2" fontId="27" fillId="32" borderId="10" xfId="35" applyNumberFormat="1" applyFont="1" applyFill="1" applyBorder="1" applyAlignment="1" applyProtection="1">
      <alignment horizontal="center" vertical="center"/>
      <protection hidden="1"/>
    </xf>
    <xf numFmtId="49" fontId="41" fillId="24" borderId="10" xfId="0" quotePrefix="1" applyNumberFormat="1" applyFont="1" applyFill="1" applyBorder="1" applyAlignment="1" applyProtection="1">
      <alignment horizontal="left" vertical="center"/>
      <protection hidden="1"/>
    </xf>
    <xf numFmtId="181" fontId="27" fillId="24" borderId="10" xfId="0" applyNumberFormat="1" applyFont="1" applyFill="1" applyBorder="1" applyAlignment="1" applyProtection="1">
      <alignment horizontal="right" vertical="center"/>
    </xf>
    <xf numFmtId="0" fontId="180" fillId="0" borderId="0" xfId="0" applyFont="1" applyProtection="1">
      <alignment vertical="center"/>
    </xf>
    <xf numFmtId="0" fontId="180" fillId="42" borderId="0" xfId="0" applyFont="1" applyFill="1" applyAlignment="1" applyProtection="1">
      <alignment horizontal="left" vertical="center"/>
    </xf>
    <xf numFmtId="0" fontId="27" fillId="0" borderId="187" xfId="0" applyFont="1" applyBorder="1" applyAlignment="1">
      <alignment vertical="top"/>
    </xf>
    <xf numFmtId="0" fontId="27" fillId="0" borderId="161" xfId="0" applyFont="1" applyBorder="1" applyAlignment="1">
      <alignment vertical="top"/>
    </xf>
    <xf numFmtId="0" fontId="27" fillId="0" borderId="76" xfId="0" applyFont="1" applyBorder="1" applyAlignment="1">
      <alignment vertical="top"/>
    </xf>
    <xf numFmtId="9" fontId="27" fillId="27" borderId="190" xfId="28" applyFont="1" applyFill="1" applyBorder="1" applyAlignment="1" applyProtection="1">
      <alignment vertical="center"/>
      <protection locked="0"/>
    </xf>
    <xf numFmtId="9" fontId="27" fillId="50" borderId="119" xfId="28" applyFont="1" applyFill="1" applyBorder="1" applyAlignment="1" applyProtection="1">
      <alignment vertical="center"/>
      <protection locked="0"/>
    </xf>
    <xf numFmtId="9" fontId="27" fillId="27" borderId="191" xfId="28" applyFont="1" applyFill="1" applyBorder="1" applyAlignment="1" applyProtection="1">
      <alignment vertical="center"/>
      <protection locked="0"/>
    </xf>
    <xf numFmtId="0" fontId="0" fillId="51" borderId="63" xfId="0" applyFill="1" applyBorder="1" applyProtection="1">
      <alignment vertical="center"/>
    </xf>
    <xf numFmtId="38" fontId="30" fillId="51" borderId="24" xfId="35" applyFont="1" applyFill="1" applyBorder="1" applyAlignment="1" applyProtection="1">
      <alignment horizontal="right" vertical="center"/>
    </xf>
    <xf numFmtId="38" fontId="30" fillId="24" borderId="10" xfId="35" applyFont="1" applyFill="1" applyBorder="1" applyAlignment="1" applyProtection="1">
      <alignment horizontal="right" vertical="center"/>
    </xf>
    <xf numFmtId="0" fontId="28" fillId="42" borderId="0" xfId="0" applyFont="1" applyFill="1" applyAlignment="1" applyProtection="1">
      <alignment horizontal="left" vertical="center"/>
    </xf>
    <xf numFmtId="38" fontId="30" fillId="27" borderId="48" xfId="35" applyFont="1" applyFill="1" applyBorder="1" applyAlignment="1" applyProtection="1">
      <alignment horizontal="right" vertical="center"/>
      <protection locked="0"/>
    </xf>
    <xf numFmtId="0" fontId="0" fillId="27" borderId="221" xfId="0" applyFill="1" applyBorder="1" applyProtection="1">
      <alignment vertical="center"/>
      <protection locked="0"/>
    </xf>
    <xf numFmtId="38" fontId="30" fillId="27" borderId="51" xfId="35" applyFont="1" applyFill="1" applyBorder="1" applyAlignment="1" applyProtection="1">
      <alignment horizontal="right" vertical="center"/>
      <protection locked="0"/>
    </xf>
    <xf numFmtId="38" fontId="6" fillId="27" borderId="134" xfId="35" applyFont="1" applyFill="1" applyBorder="1" applyProtection="1">
      <alignment vertical="center"/>
      <protection locked="0"/>
    </xf>
    <xf numFmtId="38" fontId="82" fillId="27" borderId="206" xfId="35" applyFont="1" applyFill="1" applyBorder="1" applyAlignment="1" applyProtection="1">
      <alignment horizontal="left" vertical="center"/>
      <protection locked="0"/>
    </xf>
    <xf numFmtId="181" fontId="75" fillId="43" borderId="114" xfId="0" applyNumberFormat="1" applyFont="1" applyFill="1" applyBorder="1" applyProtection="1">
      <alignment vertical="center"/>
      <protection locked="0"/>
    </xf>
    <xf numFmtId="181" fontId="75" fillId="43" borderId="116" xfId="0" applyNumberFormat="1" applyFont="1" applyFill="1" applyBorder="1" applyProtection="1">
      <alignment vertical="center"/>
      <protection locked="0"/>
    </xf>
    <xf numFmtId="181" fontId="75" fillId="43" borderId="143" xfId="0" applyNumberFormat="1" applyFont="1" applyFill="1" applyBorder="1" applyProtection="1">
      <alignment vertical="center"/>
      <protection locked="0"/>
    </xf>
    <xf numFmtId="38" fontId="27" fillId="24" borderId="0" xfId="35" applyFont="1" applyFill="1" applyBorder="1" applyAlignment="1" applyProtection="1">
      <alignment vertical="center"/>
    </xf>
    <xf numFmtId="40" fontId="27" fillId="24" borderId="83" xfId="35" applyNumberFormat="1" applyFont="1" applyFill="1" applyBorder="1" applyAlignment="1" applyProtection="1">
      <alignment vertical="center"/>
    </xf>
    <xf numFmtId="176" fontId="40" fillId="24" borderId="23" xfId="44" applyNumberFormat="1" applyFont="1" applyFill="1" applyBorder="1" applyAlignment="1" applyProtection="1">
      <alignment vertical="center"/>
    </xf>
    <xf numFmtId="38" fontId="27" fillId="27" borderId="131" xfId="35" applyFont="1" applyFill="1" applyBorder="1" applyAlignment="1" applyProtection="1">
      <alignment horizontal="right" vertical="center"/>
      <protection locked="0"/>
    </xf>
    <xf numFmtId="9" fontId="32" fillId="24" borderId="0" xfId="28" applyFont="1" applyFill="1" applyBorder="1" applyAlignment="1" applyProtection="1">
      <alignment vertical="center"/>
      <protection hidden="1"/>
    </xf>
    <xf numFmtId="0" fontId="0" fillId="24" borderId="48" xfId="44" applyFont="1" applyFill="1" applyBorder="1" applyAlignment="1" applyProtection="1">
      <alignment horizontal="left" vertical="center"/>
    </xf>
    <xf numFmtId="0" fontId="0" fillId="24" borderId="24" xfId="44" applyFont="1" applyFill="1" applyBorder="1" applyAlignment="1" applyProtection="1">
      <alignment horizontal="left" vertical="center"/>
    </xf>
    <xf numFmtId="0" fontId="27" fillId="24" borderId="57" xfId="44" applyFont="1" applyFill="1" applyBorder="1" applyAlignment="1" applyProtection="1">
      <alignment vertical="center"/>
    </xf>
    <xf numFmtId="0" fontId="6" fillId="24" borderId="58" xfId="44" applyFont="1" applyFill="1" applyBorder="1" applyAlignment="1" applyProtection="1">
      <alignment vertical="center"/>
    </xf>
    <xf numFmtId="0" fontId="2" fillId="30" borderId="83" xfId="44" applyFont="1" applyFill="1" applyBorder="1" applyAlignment="1" applyProtection="1">
      <alignment vertical="center"/>
    </xf>
    <xf numFmtId="0" fontId="4" fillId="30" borderId="51" xfId="44" applyFont="1" applyFill="1" applyBorder="1" applyAlignment="1" applyProtection="1">
      <alignment vertical="center"/>
    </xf>
    <xf numFmtId="0" fontId="31" fillId="30" borderId="52" xfId="44" applyFont="1" applyFill="1" applyBorder="1" applyAlignment="1" applyProtection="1">
      <alignment horizontal="left" vertical="center"/>
    </xf>
    <xf numFmtId="0" fontId="31" fillId="30" borderId="52" xfId="44" applyFont="1" applyFill="1" applyBorder="1" applyAlignment="1" applyProtection="1">
      <alignment vertical="center"/>
    </xf>
    <xf numFmtId="0" fontId="2" fillId="30" borderId="53" xfId="44" applyFont="1" applyFill="1" applyBorder="1" applyAlignment="1" applyProtection="1">
      <alignment vertical="center"/>
    </xf>
    <xf numFmtId="178" fontId="4" fillId="30" borderId="23" xfId="44" applyNumberFormat="1" applyFont="1" applyFill="1" applyBorder="1" applyAlignment="1" applyProtection="1">
      <alignment horizontal="right" vertical="center"/>
    </xf>
    <xf numFmtId="178" fontId="4" fillId="30" borderId="134" xfId="44" applyNumberFormat="1" applyFont="1" applyFill="1" applyBorder="1" applyAlignment="1" applyProtection="1">
      <alignment horizontal="right" vertical="center"/>
    </xf>
    <xf numFmtId="0" fontId="27" fillId="24" borderId="59" xfId="0" applyFont="1" applyFill="1" applyBorder="1" applyAlignment="1">
      <alignment horizontal="center" vertical="center" wrapText="1"/>
    </xf>
    <xf numFmtId="177" fontId="27" fillId="24" borderId="0" xfId="28" applyNumberFormat="1" applyFont="1" applyFill="1" applyBorder="1" applyProtection="1">
      <alignment vertical="center"/>
    </xf>
    <xf numFmtId="181" fontId="27" fillId="24" borderId="0" xfId="0" applyNumberFormat="1" applyFont="1" applyFill="1" applyBorder="1" applyAlignment="1" applyProtection="1">
      <alignment horizontal="right" vertical="center"/>
    </xf>
    <xf numFmtId="196" fontId="27" fillId="24" borderId="0" xfId="35" applyNumberFormat="1" applyFont="1" applyFill="1" applyBorder="1" applyAlignment="1" applyProtection="1"/>
    <xf numFmtId="9" fontId="27" fillId="24" borderId="144" xfId="0" applyNumberFormat="1" applyFont="1" applyFill="1" applyBorder="1" applyAlignment="1" applyProtection="1">
      <alignment horizontal="center" vertical="center" wrapText="1"/>
    </xf>
    <xf numFmtId="41" fontId="27" fillId="24" borderId="10" xfId="0" applyNumberFormat="1" applyFont="1" applyFill="1" applyBorder="1" applyAlignment="1">
      <alignment vertical="center"/>
    </xf>
    <xf numFmtId="0" fontId="0" fillId="0" borderId="48" xfId="0" applyBorder="1">
      <alignment vertical="center"/>
    </xf>
    <xf numFmtId="0" fontId="0" fillId="0" borderId="50" xfId="0" applyBorder="1">
      <alignment vertical="center"/>
    </xf>
    <xf numFmtId="178" fontId="27" fillId="24" borderId="145" xfId="0" quotePrefix="1" applyNumberFormat="1" applyFont="1" applyFill="1" applyBorder="1" applyAlignment="1">
      <alignment horizontal="center" vertical="center"/>
    </xf>
    <xf numFmtId="178" fontId="27" fillId="24" borderId="193" xfId="0" applyNumberFormat="1" applyFont="1" applyFill="1" applyBorder="1" applyAlignment="1">
      <alignment horizontal="center" vertical="center"/>
    </xf>
    <xf numFmtId="178" fontId="27" fillId="24" borderId="145" xfId="0" applyNumberFormat="1" applyFont="1" applyFill="1" applyBorder="1" applyAlignment="1">
      <alignment horizontal="center" vertical="center"/>
    </xf>
    <xf numFmtId="182" fontId="25" fillId="29" borderId="131" xfId="0" applyNumberFormat="1" applyFont="1" applyFill="1" applyBorder="1" applyAlignment="1" applyProtection="1">
      <alignment horizontal="center" vertical="center"/>
      <protection hidden="1"/>
    </xf>
    <xf numFmtId="0" fontId="28" fillId="0" borderId="0" xfId="0" applyFont="1" applyFill="1" applyBorder="1" applyAlignment="1" applyProtection="1">
      <alignment horizontal="left" vertical="center"/>
    </xf>
    <xf numFmtId="0" fontId="0" fillId="0" borderId="10" xfId="0" applyBorder="1" applyProtection="1">
      <alignment vertical="center"/>
    </xf>
    <xf numFmtId="2" fontId="27" fillId="24" borderId="10" xfId="44" applyNumberFormat="1" applyFont="1" applyFill="1" applyBorder="1" applyAlignment="1" applyProtection="1">
      <alignment vertical="center"/>
    </xf>
    <xf numFmtId="0" fontId="65" fillId="24" borderId="20" xfId="29" applyNumberFormat="1" applyFont="1" applyFill="1" applyBorder="1" applyAlignment="1" applyProtection="1">
      <alignment horizontal="center" vertical="center"/>
      <protection hidden="1"/>
    </xf>
    <xf numFmtId="0" fontId="181" fillId="24" borderId="20" xfId="29" applyFont="1" applyFill="1" applyBorder="1" applyAlignment="1" applyProtection="1">
      <alignment horizontal="center" vertical="center"/>
      <protection hidden="1"/>
    </xf>
    <xf numFmtId="0" fontId="74" fillId="24" borderId="63" xfId="0" applyNumberFormat="1" applyFont="1" applyFill="1" applyBorder="1" applyAlignment="1" applyProtection="1">
      <alignment horizontal="center" vertical="center"/>
      <protection hidden="1"/>
    </xf>
    <xf numFmtId="0" fontId="181" fillId="24" borderId="24" xfId="29" applyFont="1" applyFill="1" applyBorder="1" applyAlignment="1" applyProtection="1">
      <alignment horizontal="center" vertical="center"/>
      <protection hidden="1"/>
    </xf>
    <xf numFmtId="0" fontId="65" fillId="24" borderId="24" xfId="29" applyNumberFormat="1" applyFont="1" applyFill="1" applyBorder="1" applyAlignment="1" applyProtection="1">
      <alignment horizontal="center" vertical="center"/>
      <protection hidden="1"/>
    </xf>
    <xf numFmtId="0" fontId="65" fillId="24" borderId="20" xfId="29" applyFont="1" applyFill="1" applyBorder="1" applyAlignment="1" applyProtection="1">
      <alignment horizontal="center" vertical="center"/>
      <protection hidden="1"/>
    </xf>
    <xf numFmtId="0" fontId="65" fillId="24" borderId="24" xfId="29" applyFont="1" applyFill="1" applyBorder="1" applyAlignment="1" applyProtection="1">
      <alignment horizontal="center" vertical="center"/>
      <protection hidden="1"/>
    </xf>
    <xf numFmtId="0" fontId="27" fillId="31" borderId="57" xfId="0" applyFont="1" applyFill="1" applyBorder="1" applyAlignment="1" applyProtection="1">
      <alignment vertical="center"/>
      <protection hidden="1"/>
    </xf>
    <xf numFmtId="0" fontId="27" fillId="31" borderId="48" xfId="0" applyFont="1" applyFill="1" applyBorder="1" applyAlignment="1" applyProtection="1">
      <alignment vertical="center"/>
      <protection hidden="1"/>
    </xf>
    <xf numFmtId="0" fontId="182" fillId="24" borderId="48" xfId="0" applyFont="1" applyFill="1" applyBorder="1" applyProtection="1">
      <alignment vertical="center"/>
      <protection hidden="1"/>
    </xf>
    <xf numFmtId="0" fontId="171" fillId="31" borderId="49" xfId="0" applyNumberFormat="1" applyFont="1" applyFill="1" applyBorder="1" applyAlignment="1" applyProtection="1">
      <alignment horizontal="left" vertical="center"/>
      <protection hidden="1"/>
    </xf>
    <xf numFmtId="0" fontId="65" fillId="24" borderId="20" xfId="29" quotePrefix="1" applyNumberFormat="1" applyFont="1" applyFill="1" applyBorder="1" applyAlignment="1" applyProtection="1">
      <alignment horizontal="center" vertical="center"/>
      <protection hidden="1"/>
    </xf>
    <xf numFmtId="0" fontId="65" fillId="24" borderId="24" xfId="29" quotePrefix="1" applyNumberFormat="1" applyFont="1" applyFill="1" applyBorder="1" applyAlignment="1" applyProtection="1">
      <alignment horizontal="center" vertical="center"/>
      <protection hidden="1"/>
    </xf>
    <xf numFmtId="0" fontId="28" fillId="24" borderId="22" xfId="0" applyFont="1" applyFill="1" applyBorder="1" applyAlignment="1" applyProtection="1">
      <alignment horizontal="center" vertical="center"/>
    </xf>
    <xf numFmtId="0" fontId="28" fillId="24" borderId="106" xfId="0" applyFont="1" applyFill="1" applyBorder="1" applyAlignment="1" applyProtection="1">
      <alignment horizontal="center" vertical="center"/>
    </xf>
    <xf numFmtId="0" fontId="27" fillId="50" borderId="193" xfId="0" applyFont="1" applyFill="1" applyBorder="1" applyAlignment="1" applyProtection="1">
      <alignment vertical="center" wrapText="1"/>
      <protection locked="0"/>
    </xf>
    <xf numFmtId="0" fontId="27" fillId="50" borderId="54" xfId="0" applyFont="1" applyFill="1" applyBorder="1" applyAlignment="1" applyProtection="1">
      <alignment vertical="center" wrapText="1"/>
      <protection locked="0"/>
    </xf>
    <xf numFmtId="0" fontId="27" fillId="50" borderId="148" xfId="0" applyFont="1" applyFill="1" applyBorder="1" applyAlignment="1" applyProtection="1">
      <alignment vertical="center" wrapText="1"/>
      <protection locked="0"/>
    </xf>
    <xf numFmtId="0" fontId="27" fillId="50" borderId="153" xfId="0" applyFont="1" applyFill="1" applyBorder="1" applyAlignment="1" applyProtection="1">
      <alignment horizontal="center" vertical="center" wrapText="1"/>
      <protection locked="0"/>
    </xf>
    <xf numFmtId="0" fontId="0" fillId="40" borderId="0" xfId="0" applyFill="1">
      <alignment vertical="center"/>
    </xf>
    <xf numFmtId="0" fontId="32" fillId="0" borderId="0" xfId="0" applyFont="1">
      <alignment vertical="center"/>
    </xf>
    <xf numFmtId="182" fontId="89" fillId="26" borderId="156" xfId="0" applyNumberFormat="1" applyFont="1" applyFill="1" applyBorder="1" applyAlignment="1" applyProtection="1">
      <alignment horizontal="center" vertical="center"/>
      <protection hidden="1"/>
    </xf>
    <xf numFmtId="179" fontId="37" fillId="26" borderId="222" xfId="0" applyNumberFormat="1" applyFont="1" applyFill="1" applyBorder="1" applyAlignment="1" applyProtection="1">
      <alignment horizontal="left"/>
      <protection hidden="1"/>
    </xf>
    <xf numFmtId="182" fontId="89" fillId="26" borderId="223" xfId="0" applyNumberFormat="1" applyFont="1" applyFill="1" applyBorder="1" applyAlignment="1" applyProtection="1">
      <alignment horizontal="center" vertical="center"/>
      <protection hidden="1"/>
    </xf>
    <xf numFmtId="191" fontId="90" fillId="24" borderId="69" xfId="0" applyNumberFormat="1" applyFont="1" applyFill="1" applyBorder="1" applyAlignment="1" applyProtection="1">
      <alignment horizontal="center" vertical="center"/>
      <protection hidden="1"/>
    </xf>
    <xf numFmtId="0" fontId="0" fillId="24" borderId="48" xfId="0" applyFont="1" applyFill="1" applyBorder="1" applyAlignment="1" applyProtection="1">
      <alignment horizontal="right" vertical="center"/>
      <protection hidden="1"/>
    </xf>
    <xf numFmtId="179" fontId="28" fillId="0" borderId="52" xfId="0" applyNumberFormat="1" applyFont="1" applyFill="1" applyBorder="1" applyAlignment="1" applyProtection="1">
      <alignment vertical="top" wrapText="1"/>
      <protection locked="0"/>
    </xf>
    <xf numFmtId="179" fontId="28" fillId="0" borderId="112" xfId="0" applyNumberFormat="1" applyFont="1" applyFill="1" applyBorder="1" applyAlignment="1" applyProtection="1">
      <alignment vertical="top" wrapText="1"/>
      <protection locked="0"/>
    </xf>
    <xf numFmtId="179" fontId="28" fillId="0" borderId="88" xfId="0" applyNumberFormat="1" applyFont="1" applyFill="1" applyBorder="1" applyAlignment="1" applyProtection="1">
      <alignment vertical="top" wrapText="1"/>
      <protection locked="0"/>
    </xf>
    <xf numFmtId="179" fontId="28" fillId="0" borderId="0" xfId="0" applyNumberFormat="1" applyFont="1" applyFill="1" applyBorder="1" applyAlignment="1" applyProtection="1">
      <alignment vertical="top" wrapText="1"/>
      <protection locked="0"/>
    </xf>
    <xf numFmtId="179" fontId="28" fillId="0" borderId="86" xfId="0" applyNumberFormat="1" applyFont="1" applyFill="1" applyBorder="1" applyAlignment="1" applyProtection="1">
      <alignment vertical="top" wrapText="1"/>
      <protection locked="0"/>
    </xf>
    <xf numFmtId="179" fontId="28" fillId="0" borderId="102" xfId="0" applyNumberFormat="1" applyFont="1" applyFill="1" applyBorder="1" applyAlignment="1" applyProtection="1">
      <alignment vertical="top"/>
      <protection locked="0"/>
    </xf>
    <xf numFmtId="191" fontId="90" fillId="24" borderId="52" xfId="0" applyNumberFormat="1" applyFont="1" applyFill="1" applyBorder="1" applyAlignment="1" applyProtection="1">
      <alignment horizontal="center" vertical="center"/>
      <protection hidden="1"/>
    </xf>
    <xf numFmtId="182" fontId="35" fillId="24" borderId="174" xfId="0" applyNumberFormat="1" applyFont="1" applyFill="1" applyBorder="1" applyAlignment="1" applyProtection="1">
      <alignment horizontal="center" vertical="center"/>
      <protection hidden="1"/>
    </xf>
    <xf numFmtId="182" fontId="35" fillId="24" borderId="224" xfId="0" applyNumberFormat="1" applyFont="1" applyFill="1" applyBorder="1" applyAlignment="1" applyProtection="1">
      <alignment horizontal="center" vertical="center"/>
      <protection hidden="1"/>
    </xf>
    <xf numFmtId="182" fontId="35" fillId="24" borderId="225" xfId="0" applyNumberFormat="1" applyFont="1" applyFill="1" applyBorder="1" applyAlignment="1" applyProtection="1">
      <alignment horizontal="center" vertical="center"/>
      <protection hidden="1"/>
    </xf>
    <xf numFmtId="182" fontId="28" fillId="24" borderId="81" xfId="0" applyNumberFormat="1" applyFont="1" applyFill="1" applyBorder="1" applyAlignment="1" applyProtection="1">
      <alignment horizontal="center" vertical="center"/>
    </xf>
    <xf numFmtId="182" fontId="28" fillId="0" borderId="71" xfId="0" applyNumberFormat="1" applyFont="1" applyFill="1" applyBorder="1" applyAlignment="1" applyProtection="1">
      <alignment horizontal="center" vertical="center"/>
      <protection locked="0" hidden="1"/>
    </xf>
    <xf numFmtId="40" fontId="27" fillId="0" borderId="10" xfId="35" applyNumberFormat="1" applyFont="1" applyFill="1" applyBorder="1" applyAlignment="1" applyProtection="1">
      <alignment horizontal="right" vertical="center"/>
      <protection locked="0"/>
    </xf>
    <xf numFmtId="40" fontId="6" fillId="0" borderId="10" xfId="35" applyNumberFormat="1" applyFont="1" applyFill="1" applyBorder="1" applyAlignment="1" applyProtection="1">
      <alignment horizontal="right" vertical="center"/>
      <protection locked="0"/>
    </xf>
    <xf numFmtId="182" fontId="47" fillId="24" borderId="169" xfId="0" applyNumberFormat="1" applyFont="1" applyFill="1" applyBorder="1" applyAlignment="1" applyProtection="1">
      <alignment horizontal="center" vertical="center"/>
      <protection hidden="1"/>
    </xf>
    <xf numFmtId="182" fontId="35" fillId="24" borderId="226" xfId="0" applyNumberFormat="1" applyFont="1" applyFill="1" applyBorder="1" applyAlignment="1" applyProtection="1">
      <alignment horizontal="center" vertical="center"/>
      <protection hidden="1"/>
    </xf>
    <xf numFmtId="191" fontId="90" fillId="24" borderId="130" xfId="0" applyNumberFormat="1" applyFont="1" applyFill="1" applyBorder="1" applyAlignment="1" applyProtection="1">
      <alignment horizontal="center" vertical="center"/>
      <protection hidden="1"/>
    </xf>
    <xf numFmtId="0" fontId="6" fillId="38" borderId="10" xfId="0" applyFont="1" applyFill="1" applyBorder="1" applyAlignment="1" applyProtection="1">
      <alignment horizontal="centerContinuous" vertical="center"/>
      <protection hidden="1"/>
    </xf>
    <xf numFmtId="186" fontId="67" fillId="38" borderId="10" xfId="35" applyNumberFormat="1" applyFont="1" applyFill="1" applyBorder="1" applyAlignment="1" applyProtection="1">
      <protection hidden="1"/>
    </xf>
    <xf numFmtId="186" fontId="29" fillId="38" borderId="10" xfId="35" applyNumberFormat="1" applyFont="1" applyFill="1" applyBorder="1" applyAlignment="1" applyProtection="1">
      <protection hidden="1"/>
    </xf>
    <xf numFmtId="0" fontId="27" fillId="38" borderId="22" xfId="0" applyFont="1" applyFill="1" applyBorder="1" applyAlignment="1" applyProtection="1">
      <alignment vertical="center"/>
      <protection hidden="1"/>
    </xf>
    <xf numFmtId="0" fontId="60" fillId="38" borderId="22" xfId="0" applyFont="1" applyFill="1" applyBorder="1" applyAlignment="1" applyProtection="1">
      <alignment vertical="center"/>
      <protection hidden="1"/>
    </xf>
    <xf numFmtId="179" fontId="37" fillId="26" borderId="155" xfId="0" applyNumberFormat="1" applyFont="1" applyFill="1" applyBorder="1" applyAlignment="1" applyProtection="1">
      <alignment horizontal="left"/>
      <protection hidden="1"/>
    </xf>
    <xf numFmtId="41" fontId="27" fillId="27" borderId="54" xfId="0" applyNumberFormat="1" applyFont="1" applyFill="1" applyBorder="1" applyAlignment="1" applyProtection="1">
      <alignment vertical="center" wrapText="1"/>
      <protection locked="0"/>
    </xf>
    <xf numFmtId="41" fontId="0" fillId="0" borderId="0" xfId="0" applyNumberFormat="1">
      <alignment vertical="center"/>
    </xf>
    <xf numFmtId="9" fontId="0" fillId="0" borderId="10" xfId="0" applyNumberFormat="1" applyBorder="1">
      <alignment vertical="center"/>
    </xf>
    <xf numFmtId="0" fontId="27" fillId="24" borderId="17" xfId="0" applyFont="1" applyFill="1" applyBorder="1" applyAlignment="1" applyProtection="1">
      <alignment shrinkToFit="1"/>
      <protection hidden="1"/>
    </xf>
    <xf numFmtId="49" fontId="27" fillId="0" borderId="10" xfId="0" applyNumberFormat="1" applyFont="1" applyFill="1" applyBorder="1" applyAlignment="1" applyProtection="1">
      <alignment horizontal="right" vertical="center"/>
      <protection locked="0" hidden="1"/>
    </xf>
    <xf numFmtId="0" fontId="27" fillId="0" borderId="49" xfId="0" applyFont="1" applyFill="1" applyBorder="1" applyAlignment="1" applyProtection="1">
      <alignment horizontal="right" vertical="center"/>
      <protection locked="0"/>
    </xf>
    <xf numFmtId="0" fontId="27" fillId="0" borderId="50" xfId="0" applyFont="1" applyFill="1" applyBorder="1" applyAlignment="1" applyProtection="1">
      <alignment horizontal="right" vertical="center"/>
      <protection locked="0"/>
    </xf>
    <xf numFmtId="0" fontId="37" fillId="24" borderId="11" xfId="0" applyFont="1" applyFill="1" applyBorder="1" applyAlignment="1" applyProtection="1">
      <alignment vertical="center"/>
      <protection hidden="1"/>
    </xf>
    <xf numFmtId="0" fontId="27" fillId="24" borderId="25" xfId="0" applyFont="1" applyFill="1" applyBorder="1" applyAlignment="1" applyProtection="1">
      <alignment vertical="center"/>
      <protection hidden="1"/>
    </xf>
    <xf numFmtId="0" fontId="0" fillId="0" borderId="52" xfId="0" applyBorder="1">
      <alignment vertical="center"/>
    </xf>
    <xf numFmtId="0" fontId="0" fillId="0" borderId="57" xfId="0" applyBorder="1">
      <alignment vertical="center"/>
    </xf>
    <xf numFmtId="0" fontId="7" fillId="24" borderId="235" xfId="29" applyFill="1" applyBorder="1" applyProtection="1">
      <alignment horizontal="left" vertical="center" indent="1"/>
      <protection hidden="1"/>
    </xf>
    <xf numFmtId="0" fontId="7" fillId="24" borderId="182" xfId="29" applyFill="1" applyBorder="1" applyProtection="1">
      <alignment horizontal="left" vertical="center" indent="1"/>
      <protection hidden="1"/>
    </xf>
    <xf numFmtId="0" fontId="7" fillId="24" borderId="182" xfId="0" applyFont="1" applyFill="1" applyBorder="1" applyAlignment="1" applyProtection="1">
      <alignment horizontal="left" vertical="center" indent="1"/>
      <protection hidden="1"/>
    </xf>
    <xf numFmtId="0" fontId="0" fillId="24" borderId="182" xfId="0" applyFill="1" applyBorder="1" applyAlignment="1" applyProtection="1">
      <alignment horizontal="left" vertical="center" indent="1"/>
      <protection hidden="1"/>
    </xf>
    <xf numFmtId="0" fontId="0" fillId="24" borderId="236" xfId="0" applyFill="1" applyBorder="1" applyAlignment="1" applyProtection="1">
      <alignment horizontal="left" vertical="center" indent="1"/>
      <protection hidden="1"/>
    </xf>
    <xf numFmtId="0" fontId="7" fillId="24" borderId="237" xfId="29" applyFill="1" applyBorder="1" applyProtection="1">
      <alignment horizontal="left" vertical="center" indent="1"/>
      <protection hidden="1"/>
    </xf>
    <xf numFmtId="0" fontId="0" fillId="24" borderId="238" xfId="0" applyFill="1" applyBorder="1" applyAlignment="1" applyProtection="1">
      <alignment horizontal="left" vertical="center" indent="1"/>
      <protection hidden="1"/>
    </xf>
    <xf numFmtId="0" fontId="0" fillId="41" borderId="0" xfId="0" applyFill="1">
      <alignment vertical="center"/>
    </xf>
    <xf numFmtId="0" fontId="45" fillId="41" borderId="0" xfId="0" applyFont="1" applyFill="1" applyAlignment="1">
      <alignment horizontal="center" vertical="center"/>
    </xf>
    <xf numFmtId="0" fontId="0" fillId="27" borderId="0" xfId="0" applyFill="1">
      <alignment vertical="center"/>
    </xf>
    <xf numFmtId="0" fontId="183" fillId="27" borderId="0" xfId="0" applyFont="1" applyFill="1" applyAlignment="1">
      <alignment horizontal="center" vertical="center"/>
    </xf>
    <xf numFmtId="0" fontId="0" fillId="0" borderId="0" xfId="0" applyAlignment="1">
      <alignment horizontal="center" vertical="center"/>
    </xf>
    <xf numFmtId="0" fontId="0" fillId="0" borderId="0" xfId="0" applyProtection="1">
      <alignment vertical="center"/>
      <protection locked="0"/>
    </xf>
    <xf numFmtId="0" fontId="28" fillId="0" borderId="0" xfId="0" applyFont="1" applyFill="1" applyBorder="1" applyAlignment="1" applyProtection="1">
      <alignment vertical="center"/>
      <protection hidden="1"/>
    </xf>
    <xf numFmtId="0" fontId="47" fillId="0" borderId="0" xfId="0" applyFont="1" applyBorder="1" applyAlignment="1" applyProtection="1">
      <alignment vertical="center"/>
      <protection hidden="1"/>
    </xf>
    <xf numFmtId="0" fontId="0" fillId="0" borderId="0" xfId="0" applyAlignment="1">
      <alignment vertical="center"/>
    </xf>
    <xf numFmtId="0" fontId="28" fillId="0" borderId="0" xfId="0" applyFont="1" applyFill="1" applyBorder="1" applyAlignment="1" applyProtection="1">
      <alignment horizontal="left" vertical="top"/>
      <protection hidden="1"/>
    </xf>
    <xf numFmtId="0" fontId="35" fillId="0" borderId="0" xfId="0" applyFont="1" applyFill="1" applyBorder="1" applyAlignment="1" applyProtection="1">
      <alignment vertical="top"/>
      <protection hidden="1"/>
    </xf>
    <xf numFmtId="0" fontId="0" fillId="0" borderId="0" xfId="0" applyAlignment="1">
      <alignment vertical="top"/>
    </xf>
    <xf numFmtId="49" fontId="27" fillId="0" borderId="239" xfId="0" applyNumberFormat="1" applyFont="1" applyFill="1" applyBorder="1" applyAlignment="1" applyProtection="1">
      <alignment horizontal="left" vertical="center"/>
      <protection hidden="1"/>
    </xf>
    <xf numFmtId="3" fontId="41" fillId="0" borderId="240" xfId="0" applyNumberFormat="1" applyFont="1" applyFill="1" applyBorder="1" applyAlignment="1" applyProtection="1">
      <alignment horizontal="left" vertical="center"/>
      <protection hidden="1"/>
    </xf>
    <xf numFmtId="55" fontId="27" fillId="0" borderId="241" xfId="0" applyNumberFormat="1" applyFont="1" applyFill="1" applyBorder="1" applyAlignment="1" applyProtection="1">
      <alignment horizontal="left" vertical="center"/>
      <protection hidden="1"/>
    </xf>
    <xf numFmtId="0" fontId="6" fillId="0" borderId="44" xfId="0" applyFont="1" applyBorder="1" applyAlignment="1">
      <alignment vertical="center"/>
    </xf>
    <xf numFmtId="0" fontId="6" fillId="0" borderId="242" xfId="0" applyFont="1" applyBorder="1" applyAlignment="1">
      <alignment vertical="center"/>
    </xf>
    <xf numFmtId="0" fontId="27" fillId="0" borderId="0" xfId="0" applyFont="1" applyFill="1" applyBorder="1" applyAlignment="1" applyProtection="1">
      <alignment horizontal="left" vertical="center"/>
      <protection hidden="1"/>
    </xf>
    <xf numFmtId="213" fontId="27" fillId="0" borderId="180" xfId="0" quotePrefix="1" applyNumberFormat="1" applyFont="1" applyFill="1" applyBorder="1" applyAlignment="1" applyProtection="1">
      <alignment horizontal="left" vertical="center"/>
      <protection hidden="1"/>
    </xf>
    <xf numFmtId="2" fontId="27" fillId="0" borderId="0" xfId="0" applyNumberFormat="1" applyFont="1" applyFill="1" applyBorder="1" applyAlignment="1" applyProtection="1">
      <alignment horizontal="left" vertical="center"/>
      <protection hidden="1"/>
    </xf>
    <xf numFmtId="0" fontId="27" fillId="0" borderId="243" xfId="0" applyFont="1" applyFill="1" applyBorder="1" applyAlignment="1" applyProtection="1">
      <alignment vertical="center"/>
      <protection hidden="1"/>
    </xf>
    <xf numFmtId="3" fontId="41" fillId="0" borderId="44" xfId="0" applyNumberFormat="1" applyFont="1" applyFill="1" applyBorder="1" applyAlignment="1" applyProtection="1">
      <alignment horizontal="left" vertical="center"/>
      <protection hidden="1"/>
    </xf>
    <xf numFmtId="3" fontId="27" fillId="0" borderId="88" xfId="0" applyNumberFormat="1" applyFont="1" applyFill="1" applyBorder="1" applyAlignment="1" applyProtection="1">
      <alignment horizontal="left" vertical="center"/>
      <protection hidden="1"/>
    </xf>
    <xf numFmtId="3" fontId="27" fillId="0" borderId="44" xfId="0" applyNumberFormat="1" applyFont="1" applyFill="1" applyBorder="1" applyAlignment="1" applyProtection="1">
      <alignment horizontal="left" vertical="center"/>
      <protection hidden="1"/>
    </xf>
    <xf numFmtId="3" fontId="27" fillId="0" borderId="208" xfId="0" applyNumberFormat="1" applyFont="1" applyFill="1" applyBorder="1" applyAlignment="1" applyProtection="1">
      <alignment horizontal="left" vertical="center"/>
      <protection hidden="1"/>
    </xf>
    <xf numFmtId="0" fontId="27" fillId="0" borderId="199" xfId="0" applyFont="1" applyFill="1" applyBorder="1" applyAlignment="1" applyProtection="1">
      <alignment horizontal="left" vertical="center"/>
      <protection hidden="1"/>
    </xf>
    <xf numFmtId="0" fontId="11" fillId="0" borderId="246" xfId="0" applyFont="1" applyFill="1" applyBorder="1" applyProtection="1">
      <alignment vertical="center"/>
      <protection hidden="1"/>
    </xf>
    <xf numFmtId="3" fontId="110" fillId="0" borderId="0" xfId="0" applyNumberFormat="1" applyFont="1" applyFill="1" applyBorder="1" applyAlignment="1" applyProtection="1">
      <alignment horizontal="left" vertical="center"/>
      <protection hidden="1"/>
    </xf>
    <xf numFmtId="3" fontId="27" fillId="0" borderId="181" xfId="0" applyNumberFormat="1" applyFont="1" applyFill="1" applyBorder="1" applyAlignment="1" applyProtection="1">
      <alignment horizontal="left" vertical="center"/>
      <protection hidden="1"/>
    </xf>
    <xf numFmtId="0" fontId="40" fillId="0" borderId="182" xfId="0" applyFont="1" applyFill="1" applyBorder="1" applyProtection="1">
      <alignment vertical="center"/>
      <protection hidden="1"/>
    </xf>
    <xf numFmtId="3" fontId="71" fillId="0" borderId="0" xfId="0" applyNumberFormat="1" applyFont="1" applyFill="1" applyBorder="1" applyAlignment="1" applyProtection="1">
      <alignment horizontal="left" vertical="center"/>
      <protection hidden="1"/>
    </xf>
    <xf numFmtId="0" fontId="27" fillId="0" borderId="243" xfId="0" applyFont="1" applyFill="1" applyBorder="1" applyAlignment="1" applyProtection="1">
      <alignment horizontal="left" vertical="center"/>
      <protection hidden="1"/>
    </xf>
    <xf numFmtId="0" fontId="6" fillId="0" borderId="241" xfId="0" applyFont="1" applyFill="1" applyBorder="1" applyProtection="1">
      <alignment vertical="center"/>
      <protection hidden="1"/>
    </xf>
    <xf numFmtId="178" fontId="27" fillId="0" borderId="44" xfId="0" applyNumberFormat="1" applyFont="1" applyFill="1" applyBorder="1" applyAlignment="1" applyProtection="1">
      <alignment horizontal="right" vertical="center"/>
      <protection hidden="1"/>
    </xf>
    <xf numFmtId="181" fontId="27" fillId="0" borderId="44" xfId="0" applyNumberFormat="1" applyFont="1" applyFill="1" applyBorder="1" applyAlignment="1" applyProtection="1">
      <alignment horizontal="left" vertical="center"/>
      <protection hidden="1"/>
    </xf>
    <xf numFmtId="0" fontId="11" fillId="0" borderId="242" xfId="0" applyFont="1" applyFill="1" applyBorder="1" applyProtection="1">
      <alignment vertical="center"/>
      <protection hidden="1"/>
    </xf>
    <xf numFmtId="0" fontId="40" fillId="0" borderId="199" xfId="0" applyFont="1" applyFill="1" applyBorder="1" applyProtection="1">
      <alignment vertical="center"/>
      <protection hidden="1"/>
    </xf>
    <xf numFmtId="0" fontId="40" fillId="0" borderId="0" xfId="0" applyFont="1" applyFill="1" applyBorder="1" applyProtection="1">
      <alignment vertical="center"/>
      <protection hidden="1"/>
    </xf>
    <xf numFmtId="2" fontId="27" fillId="0" borderId="44" xfId="0" applyNumberFormat="1" applyFont="1" applyFill="1" applyBorder="1" applyAlignment="1" applyProtection="1">
      <alignment horizontal="left" vertical="center"/>
      <protection hidden="1"/>
    </xf>
    <xf numFmtId="0" fontId="27" fillId="0" borderId="44" xfId="0" applyFont="1" applyFill="1" applyBorder="1" applyAlignment="1" applyProtection="1">
      <alignment horizontal="left" vertical="center"/>
      <protection hidden="1"/>
    </xf>
    <xf numFmtId="0" fontId="27" fillId="0" borderId="181" xfId="0" applyFont="1" applyFill="1" applyBorder="1" applyAlignment="1" applyProtection="1">
      <alignment horizontal="left" vertical="center"/>
      <protection hidden="1"/>
    </xf>
    <xf numFmtId="3" fontId="27" fillId="0" borderId="0" xfId="0" applyNumberFormat="1" applyFont="1" applyFill="1" applyBorder="1" applyAlignment="1" applyProtection="1">
      <alignment horizontal="right" vertical="center" indent="1"/>
      <protection hidden="1"/>
    </xf>
    <xf numFmtId="0" fontId="27" fillId="0" borderId="245" xfId="0" applyFont="1" applyFill="1" applyBorder="1" applyProtection="1">
      <alignment vertical="center"/>
      <protection hidden="1"/>
    </xf>
    <xf numFmtId="0" fontId="100" fillId="0" borderId="74" xfId="0" applyFont="1" applyFill="1" applyBorder="1" applyProtection="1">
      <alignment vertical="center"/>
      <protection hidden="1"/>
    </xf>
    <xf numFmtId="37" fontId="27" fillId="0" borderId="44" xfId="0" applyNumberFormat="1" applyFont="1" applyFill="1" applyBorder="1" applyAlignment="1" applyProtection="1">
      <alignment horizontal="left" vertical="center"/>
      <protection hidden="1"/>
    </xf>
    <xf numFmtId="0" fontId="27" fillId="0" borderId="180" xfId="0" applyFont="1" applyFill="1" applyBorder="1" applyProtection="1">
      <alignment vertical="center"/>
      <protection hidden="1"/>
    </xf>
    <xf numFmtId="0" fontId="11" fillId="0" borderId="151" xfId="0" applyFont="1" applyFill="1" applyBorder="1" applyProtection="1">
      <alignment vertical="center"/>
      <protection hidden="1"/>
    </xf>
    <xf numFmtId="0" fontId="28" fillId="0" borderId="151" xfId="0" applyFont="1" applyFill="1" applyBorder="1" applyAlignment="1" applyProtection="1">
      <alignment vertical="top"/>
      <protection hidden="1"/>
    </xf>
    <xf numFmtId="0" fontId="27" fillId="0" borderId="103" xfId="0" applyFont="1" applyFill="1" applyBorder="1" applyAlignment="1" applyProtection="1">
      <alignment vertical="center"/>
      <protection hidden="1"/>
    </xf>
    <xf numFmtId="37" fontId="27" fillId="0" borderId="154" xfId="0" applyNumberFormat="1" applyFont="1" applyFill="1" applyBorder="1" applyAlignment="1" applyProtection="1">
      <alignment horizontal="left" vertical="center"/>
      <protection hidden="1"/>
    </xf>
    <xf numFmtId="0" fontId="11" fillId="0" borderId="110" xfId="0" applyFont="1" applyFill="1" applyBorder="1" applyProtection="1">
      <alignment vertical="center"/>
      <protection hidden="1"/>
    </xf>
    <xf numFmtId="0" fontId="6" fillId="0" borderId="154" xfId="0" applyFont="1" applyFill="1" applyBorder="1" applyProtection="1">
      <alignment vertical="center"/>
      <protection hidden="1"/>
    </xf>
    <xf numFmtId="3" fontId="27" fillId="0" borderId="154" xfId="0" applyNumberFormat="1" applyFont="1" applyFill="1" applyBorder="1" applyAlignment="1" applyProtection="1">
      <alignment horizontal="right" vertical="center" indent="1"/>
      <protection hidden="1"/>
    </xf>
    <xf numFmtId="0" fontId="27" fillId="0" borderId="186" xfId="0" applyFont="1" applyFill="1" applyBorder="1" applyProtection="1">
      <alignment vertical="center"/>
      <protection hidden="1"/>
    </xf>
    <xf numFmtId="0" fontId="28" fillId="0" borderId="175" xfId="0" applyFont="1" applyFill="1" applyBorder="1" applyAlignment="1" applyProtection="1">
      <alignment vertical="top"/>
      <protection hidden="1"/>
    </xf>
    <xf numFmtId="3" fontId="30" fillId="0" borderId="79" xfId="0" applyNumberFormat="1" applyFont="1" applyFill="1" applyBorder="1" applyAlignment="1" applyProtection="1">
      <alignment horizontal="left" vertical="center"/>
      <protection hidden="1"/>
    </xf>
    <xf numFmtId="0" fontId="28" fillId="0" borderId="79" xfId="0" applyFont="1" applyFill="1" applyBorder="1" applyAlignment="1" applyProtection="1">
      <alignment vertical="top" wrapText="1"/>
      <protection hidden="1"/>
    </xf>
    <xf numFmtId="0" fontId="28" fillId="0" borderId="79" xfId="0" applyFont="1" applyFill="1" applyBorder="1" applyAlignment="1" applyProtection="1">
      <alignment vertical="top"/>
      <protection hidden="1"/>
    </xf>
    <xf numFmtId="0" fontId="75" fillId="0" borderId="79" xfId="0" applyFont="1" applyFill="1" applyBorder="1" applyProtection="1">
      <alignment vertical="center"/>
      <protection hidden="1"/>
    </xf>
    <xf numFmtId="3" fontId="27" fillId="0" borderId="79" xfId="0" applyNumberFormat="1" applyFont="1" applyFill="1" applyBorder="1" applyAlignment="1" applyProtection="1">
      <alignment horizontal="right" vertical="center" indent="1"/>
      <protection hidden="1"/>
    </xf>
    <xf numFmtId="0" fontId="27" fillId="0" borderId="79" xfId="0" applyFont="1" applyFill="1" applyBorder="1" applyProtection="1">
      <alignment vertical="center"/>
      <protection hidden="1"/>
    </xf>
    <xf numFmtId="0" fontId="113" fillId="0" borderId="0" xfId="0" applyFont="1" applyFill="1" applyBorder="1" applyAlignment="1" applyProtection="1">
      <alignment vertical="center"/>
      <protection hidden="1"/>
    </xf>
    <xf numFmtId="3" fontId="114" fillId="0" borderId="0" xfId="0" applyNumberFormat="1" applyFont="1" applyFill="1" applyBorder="1" applyAlignment="1" applyProtection="1">
      <alignment horizontal="left" vertical="center"/>
      <protection hidden="1"/>
    </xf>
    <xf numFmtId="37" fontId="27" fillId="0" borderId="0" xfId="0" applyNumberFormat="1" applyFont="1" applyFill="1" applyBorder="1" applyAlignment="1" applyProtection="1">
      <alignment horizontal="left" vertical="center"/>
      <protection hidden="1"/>
    </xf>
    <xf numFmtId="0" fontId="78" fillId="0" borderId="0" xfId="0" applyFont="1" applyFill="1" applyBorder="1" applyProtection="1">
      <alignment vertical="center"/>
      <protection hidden="1"/>
    </xf>
    <xf numFmtId="0" fontId="47" fillId="0" borderId="88" xfId="0" applyFont="1" applyFill="1" applyBorder="1" applyAlignment="1" applyProtection="1">
      <alignment horizontal="left" vertical="center"/>
      <protection hidden="1"/>
    </xf>
    <xf numFmtId="0" fontId="47" fillId="0" borderId="86" xfId="0" applyFont="1" applyFill="1" applyBorder="1" applyAlignment="1" applyProtection="1">
      <alignment horizontal="left" vertical="center"/>
      <protection hidden="1"/>
    </xf>
    <xf numFmtId="56" fontId="60" fillId="35" borderId="179" xfId="0" applyNumberFormat="1" applyFont="1" applyFill="1" applyBorder="1" applyProtection="1">
      <alignment vertical="center"/>
      <protection hidden="1"/>
    </xf>
    <xf numFmtId="31" fontId="100" fillId="0" borderId="72" xfId="0" applyNumberFormat="1" applyFont="1" applyFill="1" applyBorder="1" applyAlignment="1" applyProtection="1">
      <alignment horizontal="right" vertical="center"/>
      <protection hidden="1"/>
    </xf>
    <xf numFmtId="0" fontId="47" fillId="0" borderId="133" xfId="0" applyFont="1" applyFill="1" applyBorder="1" applyAlignment="1" applyProtection="1">
      <alignment horizontal="left" vertical="center"/>
      <protection hidden="1"/>
    </xf>
    <xf numFmtId="3" fontId="27" fillId="0" borderId="247" xfId="0" applyNumberFormat="1" applyFont="1" applyFill="1" applyBorder="1" applyAlignment="1" applyProtection="1">
      <alignment vertical="center"/>
      <protection hidden="1"/>
    </xf>
    <xf numFmtId="3" fontId="26" fillId="0" borderId="240" xfId="0" applyNumberFormat="1" applyFont="1" applyFill="1" applyBorder="1" applyAlignment="1" applyProtection="1">
      <alignment horizontal="left" vertical="center"/>
      <protection hidden="1"/>
    </xf>
    <xf numFmtId="0" fontId="100" fillId="0" borderId="248" xfId="0" applyFont="1" applyFill="1" applyBorder="1" applyProtection="1">
      <alignment vertical="center"/>
      <protection hidden="1"/>
    </xf>
    <xf numFmtId="0" fontId="27" fillId="0" borderId="73" xfId="0" applyFont="1" applyFill="1" applyBorder="1" applyAlignment="1" applyProtection="1">
      <alignment horizontal="left" vertical="center"/>
      <protection hidden="1"/>
    </xf>
    <xf numFmtId="0" fontId="30" fillId="0" borderId="79" xfId="0" applyFont="1" applyFill="1" applyBorder="1" applyAlignment="1" applyProtection="1">
      <alignment horizontal="left" vertical="center"/>
      <protection hidden="1"/>
    </xf>
    <xf numFmtId="3" fontId="27" fillId="0" borderId="241" xfId="0" applyNumberFormat="1" applyFont="1" applyFill="1" applyBorder="1" applyAlignment="1" applyProtection="1">
      <alignment vertical="center"/>
      <protection hidden="1"/>
    </xf>
    <xf numFmtId="0" fontId="100" fillId="0" borderId="242" xfId="0" applyFont="1" applyFill="1" applyBorder="1" applyProtection="1">
      <alignment vertical="center"/>
      <protection hidden="1"/>
    </xf>
    <xf numFmtId="3" fontId="30" fillId="0" borderId="44" xfId="0" applyNumberFormat="1" applyFont="1" applyFill="1" applyBorder="1" applyAlignment="1" applyProtection="1">
      <alignment horizontal="left" vertical="center"/>
      <protection hidden="1"/>
    </xf>
    <xf numFmtId="3" fontId="27" fillId="0" borderId="241" xfId="0" applyNumberFormat="1" applyFont="1" applyFill="1" applyBorder="1" applyAlignment="1" applyProtection="1">
      <alignment horizontal="left" vertical="center"/>
      <protection hidden="1"/>
    </xf>
    <xf numFmtId="214" fontId="27" fillId="0" borderId="44" xfId="0" applyNumberFormat="1" applyFont="1" applyFill="1" applyBorder="1" applyAlignment="1" applyProtection="1">
      <alignment horizontal="right" vertical="center"/>
      <protection hidden="1"/>
    </xf>
    <xf numFmtId="49" fontId="27" fillId="0" borderId="243" xfId="0" applyNumberFormat="1" applyFont="1" applyFill="1" applyBorder="1" applyAlignment="1" applyProtection="1">
      <alignment horizontal="left" vertical="center"/>
      <protection hidden="1"/>
    </xf>
    <xf numFmtId="0" fontId="11" fillId="0" borderId="44" xfId="0" applyFont="1" applyFill="1" applyBorder="1" applyProtection="1">
      <alignment vertical="center"/>
      <protection hidden="1"/>
    </xf>
    <xf numFmtId="3" fontId="27" fillId="0" borderId="243" xfId="0" applyNumberFormat="1" applyFont="1" applyFill="1" applyBorder="1" applyAlignment="1" applyProtection="1">
      <alignment horizontal="left" vertical="center"/>
      <protection hidden="1"/>
    </xf>
    <xf numFmtId="0" fontId="27" fillId="0" borderId="241" xfId="0" applyNumberFormat="1" applyFont="1" applyFill="1" applyBorder="1" applyAlignment="1" applyProtection="1">
      <alignment horizontal="left" vertical="center"/>
      <protection hidden="1"/>
    </xf>
    <xf numFmtId="0" fontId="6" fillId="0" borderId="44" xfId="0" applyFont="1" applyBorder="1" applyAlignment="1">
      <alignment horizontal="left" vertical="center"/>
    </xf>
    <xf numFmtId="0" fontId="0" fillId="0" borderId="44" xfId="0" applyBorder="1" applyAlignment="1">
      <alignment horizontal="left" vertical="center"/>
    </xf>
    <xf numFmtId="0" fontId="0" fillId="0" borderId="242" xfId="0" applyBorder="1" applyAlignment="1">
      <alignment horizontal="left" vertical="center"/>
    </xf>
    <xf numFmtId="3" fontId="27" fillId="0" borderId="44" xfId="0" applyNumberFormat="1" applyFont="1" applyFill="1" applyBorder="1" applyAlignment="1" applyProtection="1">
      <alignment horizontal="right" vertical="center"/>
      <protection hidden="1"/>
    </xf>
    <xf numFmtId="176" fontId="0" fillId="0" borderId="0" xfId="0" applyNumberFormat="1">
      <alignment vertical="center"/>
    </xf>
    <xf numFmtId="178" fontId="0" fillId="0" borderId="0" xfId="0" applyNumberFormat="1">
      <alignment vertical="center"/>
    </xf>
    <xf numFmtId="178" fontId="6" fillId="0" borderId="0" xfId="0" applyNumberFormat="1" applyFont="1">
      <alignment vertical="center"/>
    </xf>
    <xf numFmtId="0" fontId="185" fillId="0" borderId="0" xfId="0" applyFont="1">
      <alignment vertical="center"/>
    </xf>
    <xf numFmtId="0" fontId="0" fillId="0" borderId="0" xfId="0" applyFill="1" applyBorder="1" applyAlignment="1">
      <alignment horizontal="center" vertical="center"/>
    </xf>
    <xf numFmtId="0" fontId="0" fillId="0" borderId="0" xfId="0" applyBorder="1" applyAlignment="1" applyProtection="1">
      <alignment horizontal="center" vertical="center"/>
      <protection locked="0"/>
    </xf>
    <xf numFmtId="176" fontId="186" fillId="0" borderId="0" xfId="0" applyNumberFormat="1" applyFont="1" applyFill="1" applyAlignment="1">
      <alignment horizontal="left" vertical="center" indent="1"/>
    </xf>
    <xf numFmtId="176" fontId="186" fillId="0" borderId="0" xfId="0" applyNumberFormat="1" applyFont="1" applyFill="1" applyAlignment="1">
      <alignment horizontal="right" vertical="center"/>
    </xf>
    <xf numFmtId="176" fontId="0" fillId="0" borderId="0" xfId="0" applyNumberFormat="1" applyFill="1">
      <alignment vertical="center"/>
    </xf>
    <xf numFmtId="176" fontId="186" fillId="0" borderId="0" xfId="0" applyNumberFormat="1" applyFont="1" applyFill="1" applyBorder="1" applyAlignment="1">
      <alignment horizontal="right" vertical="center"/>
    </xf>
    <xf numFmtId="176" fontId="187" fillId="0" borderId="0" xfId="0" applyNumberFormat="1" applyFont="1" applyFill="1" applyBorder="1" applyAlignment="1">
      <alignment horizontal="center" vertical="center"/>
    </xf>
    <xf numFmtId="176" fontId="188" fillId="0" borderId="0" xfId="0" applyNumberFormat="1" applyFont="1" applyFill="1" applyAlignment="1">
      <alignment horizontal="right" vertical="center"/>
    </xf>
    <xf numFmtId="176" fontId="189" fillId="0" borderId="0" xfId="0" applyNumberFormat="1" applyFont="1" applyFill="1" applyBorder="1" applyAlignment="1">
      <alignment horizontal="center" vertical="center"/>
    </xf>
    <xf numFmtId="176" fontId="186" fillId="27" borderId="0" xfId="0" applyNumberFormat="1" applyFont="1" applyFill="1" applyAlignment="1">
      <alignment horizontal="left" vertical="center" indent="1"/>
    </xf>
    <xf numFmtId="176" fontId="186" fillId="27" borderId="0" xfId="0" applyNumberFormat="1" applyFont="1" applyFill="1" applyAlignment="1">
      <alignment horizontal="right" vertical="center"/>
    </xf>
    <xf numFmtId="176" fontId="0" fillId="27" borderId="0" xfId="0" applyNumberFormat="1" applyFill="1">
      <alignment vertical="center"/>
    </xf>
    <xf numFmtId="0" fontId="6" fillId="52" borderId="48" xfId="0" applyFont="1" applyFill="1" applyBorder="1">
      <alignment vertical="center"/>
    </xf>
    <xf numFmtId="0" fontId="27" fillId="52" borderId="49" xfId="0" applyFont="1" applyFill="1" applyBorder="1">
      <alignment vertical="center"/>
    </xf>
    <xf numFmtId="176" fontId="27" fillId="52" borderId="49" xfId="0" applyNumberFormat="1" applyFont="1" applyFill="1" applyBorder="1">
      <alignment vertical="center"/>
    </xf>
    <xf numFmtId="0" fontId="27" fillId="52" borderId="50" xfId="0" applyFont="1" applyFill="1" applyBorder="1" applyAlignment="1">
      <alignment horizontal="center" vertical="center"/>
    </xf>
    <xf numFmtId="0" fontId="6" fillId="52" borderId="50" xfId="0" applyFont="1" applyFill="1" applyBorder="1" applyAlignment="1">
      <alignment horizontal="center" vertical="center"/>
    </xf>
    <xf numFmtId="0" fontId="6" fillId="0" borderId="0" xfId="0" applyFont="1" applyFill="1" applyBorder="1" applyAlignment="1">
      <alignment horizontal="center" vertical="center"/>
    </xf>
    <xf numFmtId="178" fontId="27" fillId="0" borderId="0" xfId="0" applyNumberFormat="1" applyFont="1">
      <alignment vertical="center"/>
    </xf>
    <xf numFmtId="0" fontId="79" fillId="27" borderId="48" xfId="0" applyFont="1" applyFill="1" applyBorder="1">
      <alignment vertical="center"/>
    </xf>
    <xf numFmtId="0" fontId="0" fillId="27" borderId="49" xfId="0" applyFill="1" applyBorder="1">
      <alignment vertical="center"/>
    </xf>
    <xf numFmtId="176" fontId="0" fillId="27" borderId="49" xfId="0" applyNumberFormat="1" applyFill="1" applyBorder="1">
      <alignment vertical="center"/>
    </xf>
    <xf numFmtId="0" fontId="11" fillId="27" borderId="50" xfId="0" applyFont="1" applyFill="1" applyBorder="1">
      <alignment vertical="center"/>
    </xf>
    <xf numFmtId="199" fontId="190" fillId="0" borderId="50" xfId="0" applyNumberFormat="1" applyFont="1" applyBorder="1" applyAlignment="1">
      <alignment horizontal="center" vertical="center"/>
    </xf>
    <xf numFmtId="215" fontId="190" fillId="0" borderId="57" xfId="0" applyNumberFormat="1" applyFont="1" applyBorder="1" applyAlignment="1">
      <alignment horizontal="center" vertical="center"/>
    </xf>
    <xf numFmtId="0" fontId="0" fillId="0" borderId="57" xfId="0" applyFill="1" applyBorder="1">
      <alignment vertical="center"/>
    </xf>
    <xf numFmtId="0" fontId="0" fillId="27" borderId="48" xfId="0" applyFill="1" applyBorder="1">
      <alignment vertical="center"/>
    </xf>
    <xf numFmtId="0" fontId="0" fillId="27" borderId="50" xfId="0" applyFill="1" applyBorder="1">
      <alignment vertical="center"/>
    </xf>
    <xf numFmtId="176" fontId="0" fillId="27" borderId="10" xfId="0" applyNumberFormat="1" applyFill="1" applyBorder="1" applyAlignment="1">
      <alignment horizontal="center" vertical="center"/>
    </xf>
    <xf numFmtId="178" fontId="37" fillId="27" borderId="10" xfId="0" applyNumberFormat="1" applyFont="1" applyFill="1" applyBorder="1">
      <alignment vertical="center"/>
    </xf>
    <xf numFmtId="178" fontId="37" fillId="0" borderId="10" xfId="0" applyNumberFormat="1" applyFont="1" applyBorder="1">
      <alignment vertical="center"/>
    </xf>
    <xf numFmtId="178" fontId="37" fillId="0" borderId="0" xfId="0" applyNumberFormat="1" applyFont="1">
      <alignment vertical="center"/>
    </xf>
    <xf numFmtId="178" fontId="20" fillId="27" borderId="10" xfId="0" applyNumberFormat="1" applyFont="1" applyFill="1" applyBorder="1">
      <alignment vertical="center"/>
    </xf>
    <xf numFmtId="0" fontId="191" fillId="0" borderId="24" xfId="0" applyFont="1" applyBorder="1">
      <alignment vertical="center"/>
    </xf>
    <xf numFmtId="176" fontId="0" fillId="0" borderId="57" xfId="0" applyNumberFormat="1" applyBorder="1">
      <alignment vertical="center"/>
    </xf>
    <xf numFmtId="0" fontId="0" fillId="0" borderId="58" xfId="0" applyBorder="1">
      <alignment vertical="center"/>
    </xf>
    <xf numFmtId="176" fontId="0" fillId="0" borderId="10" xfId="0" applyNumberFormat="1" applyBorder="1" applyAlignment="1">
      <alignment horizontal="center" vertical="center"/>
    </xf>
    <xf numFmtId="178" fontId="0" fillId="32" borderId="10" xfId="0" applyNumberFormat="1" applyFill="1" applyBorder="1">
      <alignment vertical="center"/>
    </xf>
    <xf numFmtId="178" fontId="6" fillId="0" borderId="10" xfId="0" applyNumberFormat="1" applyFont="1" applyBorder="1">
      <alignment vertical="center"/>
    </xf>
    <xf numFmtId="178" fontId="6" fillId="32" borderId="10" xfId="0" applyNumberFormat="1" applyFont="1" applyFill="1" applyBorder="1">
      <alignment vertical="center"/>
    </xf>
    <xf numFmtId="178" fontId="0" fillId="0" borderId="10" xfId="0" applyNumberFormat="1" applyBorder="1">
      <alignment vertical="center"/>
    </xf>
    <xf numFmtId="176" fontId="0" fillId="0" borderId="0" xfId="0" applyNumberFormat="1" applyBorder="1">
      <alignment vertical="center"/>
    </xf>
    <xf numFmtId="0" fontId="0" fillId="0" borderId="0" xfId="0" applyBorder="1" applyAlignment="1">
      <alignment horizontal="center" vertical="center"/>
    </xf>
    <xf numFmtId="178" fontId="37" fillId="0" borderId="0" xfId="0" applyNumberFormat="1" applyFont="1" applyBorder="1">
      <alignment vertical="center"/>
    </xf>
    <xf numFmtId="178" fontId="37" fillId="0" borderId="0" xfId="0" applyNumberFormat="1" applyFont="1" applyFill="1" applyBorder="1">
      <alignment vertical="center"/>
    </xf>
    <xf numFmtId="178" fontId="37" fillId="32" borderId="10" xfId="0" applyNumberFormat="1" applyFont="1" applyFill="1" applyBorder="1">
      <alignment vertical="center"/>
    </xf>
    <xf numFmtId="178" fontId="37" fillId="0" borderId="10" xfId="0" applyNumberFormat="1" applyFont="1" applyFill="1" applyBorder="1">
      <alignment vertical="center"/>
    </xf>
    <xf numFmtId="0" fontId="6" fillId="52" borderId="10" xfId="0" applyFont="1" applyFill="1" applyBorder="1" applyAlignment="1">
      <alignment horizontal="center" vertical="center"/>
    </xf>
    <xf numFmtId="0" fontId="79" fillId="53" borderId="51" xfId="0" applyFont="1" applyFill="1" applyBorder="1">
      <alignment vertical="center"/>
    </xf>
    <xf numFmtId="0" fontId="0" fillId="53" borderId="52" xfId="0" applyFill="1" applyBorder="1">
      <alignment vertical="center"/>
    </xf>
    <xf numFmtId="176" fontId="0" fillId="53" borderId="52" xfId="0" applyNumberFormat="1" applyFill="1" applyBorder="1">
      <alignment vertical="center"/>
    </xf>
    <xf numFmtId="0" fontId="0" fillId="53" borderId="52" xfId="0" applyFill="1" applyBorder="1" applyAlignment="1">
      <alignment horizontal="center" vertical="center"/>
    </xf>
    <xf numFmtId="0" fontId="0" fillId="53" borderId="50" xfId="0" applyFill="1" applyBorder="1" applyAlignment="1">
      <alignment horizontal="center" vertical="center"/>
    </xf>
    <xf numFmtId="0" fontId="0" fillId="53" borderId="48" xfId="0" applyFill="1" applyBorder="1">
      <alignment vertical="center"/>
    </xf>
    <xf numFmtId="0" fontId="0" fillId="53" borderId="49" xfId="0" applyFill="1" applyBorder="1">
      <alignment vertical="center"/>
    </xf>
    <xf numFmtId="176" fontId="0" fillId="53" borderId="49" xfId="0" applyNumberFormat="1" applyFill="1" applyBorder="1">
      <alignment vertical="center"/>
    </xf>
    <xf numFmtId="0" fontId="0" fillId="53" borderId="49" xfId="0" applyFill="1" applyBorder="1" applyAlignment="1">
      <alignment horizontal="center" vertical="center"/>
    </xf>
    <xf numFmtId="0" fontId="37" fillId="53" borderId="10" xfId="0" applyFont="1" applyFill="1" applyBorder="1" applyAlignment="1">
      <alignment horizontal="center" vertical="center"/>
    </xf>
    <xf numFmtId="178" fontId="37" fillId="53" borderId="10" xfId="0" applyNumberFormat="1" applyFont="1" applyFill="1" applyBorder="1">
      <alignment vertical="center"/>
    </xf>
    <xf numFmtId="0" fontId="191" fillId="0" borderId="57" xfId="0" applyFont="1" applyBorder="1">
      <alignment vertical="center"/>
    </xf>
    <xf numFmtId="176" fontId="0" fillId="0" borderId="49" xfId="0" applyNumberFormat="1" applyBorder="1">
      <alignment vertical="center"/>
    </xf>
    <xf numFmtId="176" fontId="0" fillId="1" borderId="10" xfId="0" applyNumberFormat="1" applyFill="1" applyBorder="1" applyAlignment="1">
      <alignment horizontal="center" vertical="center"/>
    </xf>
    <xf numFmtId="178" fontId="0" fillId="0" borderId="20" xfId="0" applyNumberFormat="1" applyBorder="1">
      <alignment vertical="center"/>
    </xf>
    <xf numFmtId="215" fontId="37" fillId="27" borderId="10" xfId="0" applyNumberFormat="1" applyFont="1" applyFill="1" applyBorder="1">
      <alignment vertical="center"/>
    </xf>
    <xf numFmtId="178" fontId="0" fillId="0" borderId="0" xfId="0" applyNumberFormat="1" applyBorder="1">
      <alignment vertical="center"/>
    </xf>
    <xf numFmtId="0" fontId="0" fillId="53" borderId="50" xfId="0" applyFill="1" applyBorder="1">
      <alignment vertical="center"/>
    </xf>
    <xf numFmtId="0" fontId="79" fillId="41" borderId="51" xfId="0" applyFont="1" applyFill="1" applyBorder="1">
      <alignment vertical="center"/>
    </xf>
    <xf numFmtId="0" fontId="0" fillId="41" borderId="52" xfId="0" applyFill="1" applyBorder="1">
      <alignment vertical="center"/>
    </xf>
    <xf numFmtId="176" fontId="0" fillId="41" borderId="52" xfId="0" applyNumberFormat="1" applyFill="1" applyBorder="1">
      <alignment vertical="center"/>
    </xf>
    <xf numFmtId="0" fontId="0" fillId="41" borderId="52" xfId="0" applyFill="1" applyBorder="1" applyAlignment="1">
      <alignment horizontal="center" vertical="center"/>
    </xf>
    <xf numFmtId="0" fontId="0" fillId="41" borderId="50" xfId="0" applyFill="1" applyBorder="1" applyAlignment="1">
      <alignment horizontal="center" vertical="center"/>
    </xf>
    <xf numFmtId="0" fontId="27" fillId="41" borderId="48" xfId="0" applyFont="1" applyFill="1" applyBorder="1">
      <alignment vertical="center"/>
    </xf>
    <xf numFmtId="0" fontId="0" fillId="41" borderId="49" xfId="0" applyFill="1" applyBorder="1">
      <alignment vertical="center"/>
    </xf>
    <xf numFmtId="176" fontId="0" fillId="41" borderId="49" xfId="0" applyNumberFormat="1" applyFill="1" applyBorder="1">
      <alignment vertical="center"/>
    </xf>
    <xf numFmtId="0" fontId="0" fillId="41" borderId="49" xfId="0" applyFill="1" applyBorder="1" applyAlignment="1">
      <alignment horizontal="center" vertical="center"/>
    </xf>
    <xf numFmtId="0" fontId="0" fillId="41" borderId="10" xfId="0" applyFill="1" applyBorder="1" applyAlignment="1">
      <alignment horizontal="center" vertical="center"/>
    </xf>
    <xf numFmtId="178" fontId="37" fillId="41" borderId="10" xfId="0" applyNumberFormat="1" applyFont="1" applyFill="1" applyBorder="1">
      <alignment vertical="center"/>
    </xf>
    <xf numFmtId="178" fontId="0" fillId="0" borderId="0" xfId="0" applyNumberFormat="1" applyFill="1">
      <alignment vertical="center"/>
    </xf>
    <xf numFmtId="0" fontId="0" fillId="41" borderId="48" xfId="0" applyFill="1" applyBorder="1">
      <alignment vertical="center"/>
    </xf>
    <xf numFmtId="0" fontId="0" fillId="41" borderId="50" xfId="0" applyFill="1" applyBorder="1">
      <alignment vertical="center"/>
    </xf>
    <xf numFmtId="0" fontId="0" fillId="0" borderId="0" xfId="0">
      <alignment vertical="center"/>
    </xf>
    <xf numFmtId="0" fontId="6" fillId="0" borderId="44" xfId="0" applyFont="1" applyBorder="1" applyAlignment="1">
      <alignment vertical="center"/>
    </xf>
    <xf numFmtId="0" fontId="84" fillId="0" borderId="88" xfId="0" applyFont="1" applyFill="1" applyBorder="1" applyAlignment="1" applyProtection="1">
      <alignment horizontal="left" vertical="center" wrapText="1"/>
      <protection hidden="1"/>
    </xf>
    <xf numFmtId="0" fontId="84" fillId="0" borderId="0" xfId="0" applyFont="1" applyFill="1" applyBorder="1" applyAlignment="1" applyProtection="1">
      <alignment horizontal="left" vertical="center" wrapText="1"/>
      <protection hidden="1"/>
    </xf>
    <xf numFmtId="0" fontId="84" fillId="0" borderId="86" xfId="0" applyFont="1" applyFill="1" applyBorder="1" applyAlignment="1" applyProtection="1">
      <alignment horizontal="left" vertical="center" wrapText="1"/>
      <protection hidden="1"/>
    </xf>
    <xf numFmtId="0" fontId="0" fillId="0" borderId="0" xfId="0">
      <alignment vertical="center"/>
    </xf>
    <xf numFmtId="3" fontId="41" fillId="0" borderId="77" xfId="0" applyNumberFormat="1" applyFont="1" applyFill="1" applyBorder="1" applyAlignment="1" applyProtection="1">
      <alignment horizontal="left" vertical="center"/>
      <protection hidden="1"/>
    </xf>
    <xf numFmtId="0" fontId="41" fillId="0" borderId="78" xfId="0" applyFont="1" applyFill="1" applyBorder="1" applyProtection="1">
      <alignment vertical="center"/>
      <protection hidden="1"/>
    </xf>
    <xf numFmtId="0" fontId="41" fillId="0" borderId="80" xfId="0" applyFont="1" applyFill="1" applyBorder="1" applyAlignment="1" applyProtection="1">
      <alignment vertical="center"/>
      <protection hidden="1"/>
    </xf>
    <xf numFmtId="0" fontId="41" fillId="0" borderId="78" xfId="0" applyFont="1" applyFill="1" applyBorder="1" applyAlignment="1" applyProtection="1">
      <alignment vertical="center"/>
      <protection hidden="1"/>
    </xf>
    <xf numFmtId="0" fontId="27" fillId="0" borderId="250" xfId="0" applyNumberFormat="1" applyFont="1" applyFill="1" applyBorder="1" applyAlignment="1" applyProtection="1">
      <alignment vertical="center"/>
      <protection hidden="1"/>
    </xf>
    <xf numFmtId="0" fontId="41" fillId="0" borderId="251" xfId="0" applyNumberFormat="1" applyFont="1" applyFill="1" applyBorder="1" applyAlignment="1" applyProtection="1">
      <alignment horizontal="left" vertical="center"/>
      <protection hidden="1"/>
    </xf>
    <xf numFmtId="0" fontId="27" fillId="0" borderId="252" xfId="0" applyNumberFormat="1" applyFont="1" applyFill="1" applyBorder="1" applyAlignment="1" applyProtection="1">
      <alignment horizontal="left" vertical="center"/>
      <protection hidden="1"/>
    </xf>
    <xf numFmtId="0" fontId="41" fillId="0" borderId="252" xfId="0" applyNumberFormat="1" applyFont="1" applyFill="1" applyBorder="1" applyAlignment="1" applyProtection="1">
      <alignment horizontal="left" vertical="center"/>
      <protection hidden="1"/>
    </xf>
    <xf numFmtId="0" fontId="27" fillId="0" borderId="253" xfId="0" applyNumberFormat="1" applyFont="1" applyFill="1" applyBorder="1" applyProtection="1">
      <alignment vertical="center"/>
      <protection hidden="1"/>
    </xf>
    <xf numFmtId="0" fontId="27" fillId="0" borderId="250" xfId="0" applyNumberFormat="1" applyFont="1" applyFill="1" applyBorder="1" applyAlignment="1" applyProtection="1">
      <alignment horizontal="left" vertical="center"/>
      <protection hidden="1"/>
    </xf>
    <xf numFmtId="0" fontId="27" fillId="0" borderId="254" xfId="0" applyNumberFormat="1" applyFont="1" applyFill="1" applyBorder="1" applyAlignment="1" applyProtection="1">
      <alignment vertical="center"/>
      <protection hidden="1"/>
    </xf>
    <xf numFmtId="0" fontId="27" fillId="0" borderId="252" xfId="0" applyNumberFormat="1" applyFont="1" applyFill="1" applyBorder="1" applyAlignment="1" applyProtection="1">
      <alignment vertical="center"/>
      <protection hidden="1"/>
    </xf>
    <xf numFmtId="0" fontId="27" fillId="0" borderId="253" xfId="0" applyNumberFormat="1" applyFont="1" applyFill="1" applyBorder="1" applyAlignment="1" applyProtection="1">
      <alignment horizontal="left" vertical="center"/>
      <protection hidden="1"/>
    </xf>
    <xf numFmtId="0" fontId="27" fillId="0" borderId="102" xfId="0" applyNumberFormat="1" applyFont="1" applyFill="1" applyBorder="1" applyProtection="1">
      <alignment vertical="center"/>
      <protection hidden="1"/>
    </xf>
    <xf numFmtId="0" fontId="27" fillId="0" borderId="188" xfId="0" applyNumberFormat="1" applyFont="1" applyFill="1" applyBorder="1" applyProtection="1">
      <alignment vertical="center"/>
      <protection hidden="1"/>
    </xf>
    <xf numFmtId="0" fontId="27" fillId="0" borderId="243" xfId="0" applyNumberFormat="1" applyFont="1" applyFill="1" applyBorder="1" applyAlignment="1" applyProtection="1">
      <alignment vertical="center"/>
      <protection hidden="1"/>
    </xf>
    <xf numFmtId="0" fontId="27" fillId="0" borderId="246" xfId="0" applyNumberFormat="1" applyFont="1" applyFill="1" applyBorder="1" applyAlignment="1" applyProtection="1">
      <alignment horizontal="left" vertical="center"/>
      <protection hidden="1"/>
    </xf>
    <xf numFmtId="0" fontId="27" fillId="0" borderId="44" xfId="0" applyNumberFormat="1" applyFont="1" applyFill="1" applyBorder="1" applyAlignment="1" applyProtection="1">
      <alignment horizontal="left" vertical="center"/>
      <protection hidden="1"/>
    </xf>
    <xf numFmtId="0" fontId="27" fillId="0" borderId="242" xfId="0" applyNumberFormat="1" applyFont="1" applyFill="1" applyBorder="1" applyProtection="1">
      <alignment vertical="center"/>
      <protection hidden="1"/>
    </xf>
    <xf numFmtId="0" fontId="27" fillId="0" borderId="243" xfId="0" applyNumberFormat="1" applyFont="1" applyFill="1" applyBorder="1" applyAlignment="1" applyProtection="1">
      <alignment horizontal="left" vertical="center"/>
      <protection hidden="1"/>
    </xf>
    <xf numFmtId="0" fontId="27" fillId="0" borderId="241" xfId="0" applyNumberFormat="1" applyFont="1" applyFill="1" applyBorder="1" applyAlignment="1" applyProtection="1">
      <alignment vertical="center"/>
      <protection hidden="1"/>
    </xf>
    <xf numFmtId="0" fontId="27" fillId="0" borderId="44" xfId="0" applyNumberFormat="1" applyFont="1" applyFill="1" applyBorder="1" applyAlignment="1" applyProtection="1">
      <alignment vertical="center"/>
      <protection hidden="1"/>
    </xf>
    <xf numFmtId="0" fontId="27" fillId="0" borderId="242" xfId="0" applyNumberFormat="1" applyFont="1" applyFill="1" applyBorder="1" applyAlignment="1" applyProtection="1">
      <alignment horizontal="left" vertical="center"/>
      <protection hidden="1"/>
    </xf>
    <xf numFmtId="0" fontId="27" fillId="0" borderId="88" xfId="0" applyNumberFormat="1" applyFont="1" applyFill="1" applyBorder="1" applyProtection="1">
      <alignment vertical="center"/>
      <protection locked="0"/>
    </xf>
    <xf numFmtId="0" fontId="27" fillId="0" borderId="189" xfId="0" applyNumberFormat="1" applyFont="1" applyFill="1" applyBorder="1" applyProtection="1">
      <alignment vertical="center"/>
      <protection hidden="1"/>
    </xf>
    <xf numFmtId="0" fontId="110" fillId="0" borderId="189" xfId="0" applyNumberFormat="1" applyFont="1" applyFill="1" applyBorder="1" applyAlignment="1" applyProtection="1">
      <alignment horizontal="left" vertical="center"/>
      <protection locked="0"/>
    </xf>
    <xf numFmtId="0" fontId="41" fillId="0" borderId="246" xfId="0" applyNumberFormat="1" applyFont="1" applyFill="1" applyBorder="1" applyAlignment="1" applyProtection="1">
      <alignment horizontal="left" vertical="center"/>
      <protection hidden="1"/>
    </xf>
    <xf numFmtId="0" fontId="40" fillId="0" borderId="44" xfId="0" applyNumberFormat="1" applyFont="1" applyFill="1" applyBorder="1" applyProtection="1">
      <alignment vertical="center"/>
      <protection hidden="1"/>
    </xf>
    <xf numFmtId="40" fontId="27" fillId="0" borderId="44" xfId="0" applyNumberFormat="1" applyFont="1" applyBorder="1">
      <alignment vertical="center"/>
    </xf>
    <xf numFmtId="40" fontId="27" fillId="0" borderId="241" xfId="0" applyNumberFormat="1" applyFont="1" applyBorder="1">
      <alignment vertical="center"/>
    </xf>
    <xf numFmtId="0" fontId="27" fillId="0" borderId="189" xfId="0" applyNumberFormat="1" applyFont="1" applyFill="1" applyBorder="1" applyAlignment="1" applyProtection="1">
      <alignment horizontal="left" vertical="center"/>
      <protection locked="0"/>
    </xf>
    <xf numFmtId="0" fontId="27" fillId="0" borderId="208" xfId="0" applyNumberFormat="1" applyFont="1" applyFill="1" applyBorder="1" applyProtection="1">
      <alignment vertical="center"/>
      <protection locked="0"/>
    </xf>
    <xf numFmtId="0" fontId="27" fillId="0" borderId="256" xfId="0" applyNumberFormat="1" applyFont="1" applyFill="1" applyBorder="1" applyAlignment="1" applyProtection="1">
      <alignment horizontal="left" vertical="center"/>
      <protection locked="0"/>
    </xf>
    <xf numFmtId="0" fontId="27" fillId="0" borderId="199" xfId="0" applyNumberFormat="1" applyFont="1" applyFill="1" applyBorder="1" applyAlignment="1" applyProtection="1">
      <alignment vertical="top"/>
      <protection locked="0"/>
    </xf>
    <xf numFmtId="0" fontId="27" fillId="0" borderId="198" xfId="0" applyNumberFormat="1" applyFont="1" applyFill="1" applyBorder="1" applyAlignment="1" applyProtection="1">
      <alignment vertical="top"/>
      <protection locked="0"/>
    </xf>
    <xf numFmtId="0" fontId="27" fillId="0" borderId="246" xfId="0" applyNumberFormat="1" applyFont="1" applyFill="1" applyBorder="1" applyProtection="1">
      <alignment vertical="center"/>
      <protection hidden="1"/>
    </xf>
    <xf numFmtId="0" fontId="27" fillId="0" borderId="84" xfId="0" applyNumberFormat="1" applyFont="1" applyFill="1" applyBorder="1" applyProtection="1">
      <alignment vertical="center"/>
      <protection locked="0"/>
    </xf>
    <xf numFmtId="0" fontId="27" fillId="0" borderId="49" xfId="0" applyNumberFormat="1" applyFont="1" applyFill="1" applyBorder="1" applyProtection="1">
      <alignment vertical="center"/>
      <protection hidden="1"/>
    </xf>
    <xf numFmtId="0" fontId="27" fillId="0" borderId="83" xfId="0" applyNumberFormat="1" applyFont="1" applyFill="1" applyBorder="1" applyProtection="1">
      <alignment vertical="center"/>
      <protection locked="0"/>
    </xf>
    <xf numFmtId="0" fontId="27" fillId="0" borderId="181" xfId="0" applyNumberFormat="1" applyFont="1" applyFill="1" applyBorder="1" applyProtection="1">
      <alignment vertical="center"/>
      <protection locked="0"/>
    </xf>
    <xf numFmtId="0" fontId="27" fillId="0" borderId="257" xfId="0" applyNumberFormat="1" applyFont="1" applyFill="1" applyBorder="1" applyProtection="1">
      <alignment vertical="center"/>
      <protection locked="0"/>
    </xf>
    <xf numFmtId="0" fontId="27" fillId="0" borderId="182" xfId="0" applyNumberFormat="1" applyFont="1" applyFill="1" applyBorder="1" applyProtection="1">
      <alignment vertical="center"/>
      <protection hidden="1"/>
    </xf>
    <xf numFmtId="0" fontId="27" fillId="0" borderId="183" xfId="0" applyNumberFormat="1" applyFont="1" applyFill="1" applyBorder="1" applyProtection="1">
      <alignment vertical="center"/>
      <protection locked="0"/>
    </xf>
    <xf numFmtId="0" fontId="27" fillId="0" borderId="44" xfId="0" applyNumberFormat="1" applyFont="1" applyFill="1" applyBorder="1" applyProtection="1">
      <alignment vertical="center"/>
      <protection hidden="1"/>
    </xf>
    <xf numFmtId="0" fontId="27" fillId="0" borderId="242" xfId="0" applyNumberFormat="1" applyFont="1" applyFill="1" applyBorder="1" applyAlignment="1" applyProtection="1">
      <alignment vertical="center"/>
      <protection hidden="1"/>
    </xf>
    <xf numFmtId="0" fontId="27" fillId="0" borderId="243" xfId="0" applyNumberFormat="1" applyFont="1" applyFill="1" applyBorder="1" applyProtection="1">
      <alignment vertical="center"/>
      <protection locked="0"/>
    </xf>
    <xf numFmtId="0" fontId="27" fillId="0" borderId="246" xfId="0" applyNumberFormat="1" applyFont="1" applyFill="1" applyBorder="1" applyProtection="1">
      <alignment vertical="center"/>
      <protection locked="0"/>
    </xf>
    <xf numFmtId="0" fontId="27" fillId="0" borderId="242" xfId="0" applyNumberFormat="1" applyFont="1" applyFill="1" applyBorder="1" applyProtection="1">
      <alignment vertical="center"/>
      <protection locked="0"/>
    </xf>
    <xf numFmtId="0" fontId="27" fillId="0" borderId="208" xfId="0" applyNumberFormat="1" applyFont="1" applyFill="1" applyBorder="1" applyAlignment="1" applyProtection="1">
      <alignment vertical="center"/>
      <protection hidden="1"/>
    </xf>
    <xf numFmtId="0" fontId="27" fillId="0" borderId="256" xfId="0" applyNumberFormat="1" applyFont="1" applyFill="1" applyBorder="1" applyAlignment="1" applyProtection="1">
      <alignment horizontal="left" vertical="center"/>
      <protection hidden="1"/>
    </xf>
    <xf numFmtId="0" fontId="27" fillId="0" borderId="199" xfId="0" applyNumberFormat="1" applyFont="1" applyFill="1" applyBorder="1" applyAlignment="1" applyProtection="1">
      <alignment horizontal="left" vertical="center"/>
      <protection hidden="1"/>
    </xf>
    <xf numFmtId="0" fontId="27" fillId="0" borderId="198" xfId="0" applyNumberFormat="1" applyFont="1" applyFill="1" applyBorder="1" applyProtection="1">
      <alignment vertical="center"/>
      <protection hidden="1"/>
    </xf>
    <xf numFmtId="0" fontId="27" fillId="0" borderId="208" xfId="0" applyNumberFormat="1" applyFont="1" applyFill="1" applyBorder="1" applyAlignment="1" applyProtection="1">
      <alignment horizontal="left" vertical="center"/>
      <protection hidden="1"/>
    </xf>
    <xf numFmtId="0" fontId="27" fillId="0" borderId="198" xfId="0" applyNumberFormat="1" applyFont="1" applyFill="1" applyBorder="1" applyAlignment="1" applyProtection="1">
      <alignment horizontal="left" vertical="center"/>
      <protection hidden="1"/>
    </xf>
    <xf numFmtId="0" fontId="27" fillId="0" borderId="246" xfId="0" applyNumberFormat="1" applyFont="1" applyFill="1" applyBorder="1" applyAlignment="1" applyProtection="1">
      <alignment horizontal="right" vertical="center" indent="1"/>
      <protection hidden="1"/>
    </xf>
    <xf numFmtId="0" fontId="27" fillId="0" borderId="239" xfId="0" applyNumberFormat="1" applyFont="1" applyFill="1" applyBorder="1" applyAlignment="1" applyProtection="1">
      <alignment vertical="center"/>
      <protection hidden="1"/>
    </xf>
    <xf numFmtId="0" fontId="27" fillId="0" borderId="260" xfId="0" applyNumberFormat="1" applyFont="1" applyFill="1" applyBorder="1" applyProtection="1">
      <alignment vertical="center"/>
      <protection hidden="1"/>
    </xf>
    <xf numFmtId="0" fontId="27" fillId="0" borderId="243" xfId="0" applyNumberFormat="1" applyFont="1" applyFill="1" applyBorder="1" applyProtection="1">
      <alignment vertical="center"/>
      <protection hidden="1"/>
    </xf>
    <xf numFmtId="0" fontId="27" fillId="0" borderId="208" xfId="0" applyNumberFormat="1" applyFont="1" applyFill="1" applyBorder="1" applyProtection="1">
      <alignment vertical="center"/>
      <protection hidden="1"/>
    </xf>
    <xf numFmtId="0" fontId="41" fillId="0" borderId="256" xfId="0" applyNumberFormat="1" applyFont="1" applyFill="1" applyBorder="1" applyAlignment="1" applyProtection="1">
      <alignment horizontal="left" vertical="center"/>
      <protection hidden="1"/>
    </xf>
    <xf numFmtId="0" fontId="27" fillId="0" borderId="88" xfId="0" applyNumberFormat="1" applyFont="1" applyFill="1" applyBorder="1" applyProtection="1">
      <alignment vertical="center"/>
      <protection hidden="1"/>
    </xf>
    <xf numFmtId="0" fontId="27" fillId="0" borderId="189" xfId="0" applyNumberFormat="1" applyFont="1" applyFill="1" applyBorder="1" applyAlignment="1" applyProtection="1">
      <alignment horizontal="right" vertical="center" indent="1"/>
      <protection hidden="1"/>
    </xf>
    <xf numFmtId="0" fontId="192" fillId="0" borderId="0" xfId="0" applyFont="1" applyFill="1" applyBorder="1" applyAlignment="1" applyProtection="1">
      <alignment horizontal="right"/>
      <protection hidden="1"/>
    </xf>
    <xf numFmtId="0" fontId="192" fillId="0" borderId="0" xfId="0" applyFont="1" applyFill="1" applyBorder="1" applyAlignment="1" applyProtection="1">
      <alignment horizontal="right" vertical="center"/>
      <protection hidden="1"/>
    </xf>
    <xf numFmtId="0" fontId="60" fillId="35" borderId="179" xfId="0" applyFont="1" applyFill="1" applyBorder="1" applyProtection="1">
      <alignment vertical="center"/>
      <protection hidden="1"/>
    </xf>
    <xf numFmtId="0" fontId="28" fillId="0" borderId="48" xfId="0" applyFont="1" applyFill="1" applyBorder="1" applyAlignment="1">
      <alignment horizontal="center" vertical="center"/>
    </xf>
    <xf numFmtId="0" fontId="28" fillId="0" borderId="49" xfId="0" applyFont="1" applyFill="1" applyBorder="1" applyAlignment="1">
      <alignment horizontal="center" vertical="center"/>
    </xf>
    <xf numFmtId="0" fontId="28" fillId="0" borderId="10" xfId="0" applyFont="1" applyFill="1" applyBorder="1" applyAlignment="1">
      <alignment horizontal="center" vertical="center"/>
    </xf>
    <xf numFmtId="0" fontId="28" fillId="0" borderId="10" xfId="0" applyFont="1" applyFill="1" applyBorder="1" applyAlignment="1" applyProtection="1">
      <alignment horizontal="center" vertical="center"/>
      <protection hidden="1"/>
    </xf>
    <xf numFmtId="0" fontId="28" fillId="0" borderId="10" xfId="0" applyFont="1" applyFill="1" applyBorder="1" applyAlignment="1" applyProtection="1">
      <alignment horizontal="center" vertical="center" wrapText="1"/>
      <protection hidden="1"/>
    </xf>
    <xf numFmtId="217" fontId="28" fillId="0" borderId="10" xfId="0" applyNumberFormat="1" applyFont="1" applyFill="1" applyBorder="1" applyAlignment="1" applyProtection="1">
      <alignment horizontal="center" vertical="center"/>
      <protection hidden="1"/>
    </xf>
    <xf numFmtId="55" fontId="28" fillId="0" borderId="10" xfId="0" applyNumberFormat="1" applyFont="1" applyFill="1" applyBorder="1" applyAlignment="1" applyProtection="1">
      <alignment horizontal="center" vertical="center"/>
      <protection hidden="1"/>
    </xf>
    <xf numFmtId="0" fontId="28" fillId="0" borderId="48" xfId="0" applyFont="1" applyFill="1" applyBorder="1" applyAlignment="1">
      <alignment horizontal="left" vertical="center" indent="1"/>
    </xf>
    <xf numFmtId="176" fontId="28" fillId="0" borderId="10" xfId="0" applyNumberFormat="1" applyFont="1" applyFill="1" applyBorder="1" applyAlignment="1" applyProtection="1">
      <alignment horizontal="center" vertical="center"/>
      <protection hidden="1"/>
    </xf>
    <xf numFmtId="0" fontId="28" fillId="0" borderId="48" xfId="0" applyFont="1" applyFill="1" applyBorder="1" applyAlignment="1">
      <alignment horizontal="left" vertical="center"/>
    </xf>
    <xf numFmtId="0" fontId="28" fillId="0" borderId="49" xfId="0" applyFont="1" applyFill="1" applyBorder="1" applyAlignment="1">
      <alignment horizontal="left" vertical="center"/>
    </xf>
    <xf numFmtId="0" fontId="28" fillId="0" borderId="49" xfId="48" applyFont="1" applyBorder="1" applyAlignment="1" applyProtection="1">
      <alignment vertical="center"/>
      <protection hidden="1"/>
    </xf>
    <xf numFmtId="199" fontId="28" fillId="0" borderId="10" xfId="0" applyNumberFormat="1" applyFont="1" applyFill="1" applyBorder="1" applyAlignment="1" applyProtection="1">
      <alignment horizontal="center" vertical="center"/>
      <protection hidden="1"/>
    </xf>
    <xf numFmtId="0" fontId="28" fillId="0" borderId="0" xfId="48" applyFont="1" applyAlignment="1" applyProtection="1">
      <alignment vertical="center"/>
      <protection hidden="1"/>
    </xf>
    <xf numFmtId="0" fontId="28" fillId="0" borderId="49" xfId="48" applyFont="1" applyBorder="1" applyAlignment="1" applyProtection="1">
      <alignment vertical="center" wrapText="1"/>
      <protection hidden="1"/>
    </xf>
    <xf numFmtId="0" fontId="28" fillId="41" borderId="10" xfId="0" applyFont="1" applyFill="1" applyBorder="1" applyAlignment="1">
      <alignment horizontal="center" vertical="center"/>
    </xf>
    <xf numFmtId="0" fontId="28" fillId="0" borderId="10" xfId="0" applyNumberFormat="1" applyFont="1" applyFill="1" applyBorder="1" applyAlignment="1" applyProtection="1">
      <alignment horizontal="center" vertical="center"/>
      <protection hidden="1"/>
    </xf>
    <xf numFmtId="0" fontId="29" fillId="25" borderId="228" xfId="0" applyFont="1" applyFill="1" applyBorder="1" applyAlignment="1" applyProtection="1">
      <alignment vertical="center" shrinkToFit="1"/>
      <protection hidden="1"/>
    </xf>
    <xf numFmtId="218" fontId="0" fillId="0" borderId="261" xfId="0" applyNumberFormat="1" applyFill="1" applyBorder="1" applyAlignment="1" applyProtection="1">
      <alignment horizontal="center" vertical="center" shrinkToFit="1"/>
      <protection locked="0"/>
    </xf>
    <xf numFmtId="0" fontId="0" fillId="0" borderId="0" xfId="0">
      <alignment vertical="center"/>
    </xf>
    <xf numFmtId="49" fontId="27" fillId="51" borderId="0" xfId="0" applyNumberFormat="1" applyFont="1" applyFill="1" applyBorder="1" applyAlignment="1" applyProtection="1">
      <alignment vertical="center"/>
      <protection locked="0" hidden="1"/>
    </xf>
    <xf numFmtId="0" fontId="0" fillId="0" borderId="264" xfId="0" applyBorder="1">
      <alignment vertical="center"/>
    </xf>
    <xf numFmtId="0" fontId="70" fillId="0" borderId="265" xfId="0" applyFont="1" applyBorder="1">
      <alignment vertical="center"/>
    </xf>
    <xf numFmtId="0" fontId="0" fillId="0" borderId="265" xfId="0" applyBorder="1">
      <alignment vertical="center"/>
    </xf>
    <xf numFmtId="0" fontId="0" fillId="0" borderId="266" xfId="0" applyBorder="1">
      <alignment vertical="center"/>
    </xf>
    <xf numFmtId="0" fontId="0" fillId="0" borderId="88" xfId="0" applyBorder="1">
      <alignment vertical="center"/>
    </xf>
    <xf numFmtId="0" fontId="193" fillId="0" borderId="0" xfId="0" applyFont="1" applyBorder="1" applyAlignment="1">
      <alignment vertical="center"/>
    </xf>
    <xf numFmtId="0" fontId="195" fillId="0" borderId="0" xfId="0" applyFont="1">
      <alignment vertical="center"/>
    </xf>
    <xf numFmtId="0" fontId="193" fillId="0" borderId="88" xfId="0" applyFont="1" applyBorder="1" applyAlignment="1">
      <alignment horizontal="center" vertical="center"/>
    </xf>
    <xf numFmtId="0" fontId="193" fillId="0" borderId="0" xfId="0" applyFont="1" applyBorder="1" applyAlignment="1">
      <alignment horizontal="center" vertical="center"/>
    </xf>
    <xf numFmtId="0" fontId="195" fillId="0" borderId="0" xfId="0" applyFont="1" applyBorder="1">
      <alignment vertical="center"/>
    </xf>
    <xf numFmtId="0" fontId="195" fillId="0" borderId="86" xfId="0" applyFont="1" applyBorder="1">
      <alignment vertical="center"/>
    </xf>
    <xf numFmtId="0" fontId="195" fillId="0" borderId="88" xfId="0" applyFont="1" applyBorder="1">
      <alignment vertical="center"/>
    </xf>
    <xf numFmtId="0" fontId="193" fillId="0" borderId="262" xfId="0" applyFont="1" applyBorder="1" applyAlignment="1">
      <alignment horizontal="center" vertical="center"/>
    </xf>
    <xf numFmtId="0" fontId="193" fillId="0" borderId="262" xfId="0" applyFont="1" applyFill="1" applyBorder="1" applyAlignment="1">
      <alignment horizontal="center" vertical="center"/>
    </xf>
    <xf numFmtId="0" fontId="195" fillId="0" borderId="20" xfId="0" applyFont="1" applyBorder="1">
      <alignment vertical="center"/>
    </xf>
    <xf numFmtId="0" fontId="193" fillId="0" borderId="0" xfId="0" applyFont="1" applyBorder="1" applyAlignment="1"/>
    <xf numFmtId="0" fontId="193" fillId="0" borderId="0" xfId="0" applyFont="1" applyBorder="1" applyAlignment="1">
      <alignment horizontal="left"/>
    </xf>
    <xf numFmtId="0" fontId="195" fillId="0" borderId="130" xfId="0" applyFont="1" applyBorder="1">
      <alignment vertical="center"/>
    </xf>
    <xf numFmtId="0" fontId="193" fillId="0" borderId="0" xfId="0" applyFont="1" applyFill="1" applyBorder="1" applyAlignment="1">
      <alignment horizontal="center" vertical="center"/>
    </xf>
    <xf numFmtId="0" fontId="193" fillId="0" borderId="88" xfId="0" applyFont="1" applyFill="1" applyBorder="1" applyAlignment="1">
      <alignment vertical="center" wrapText="1"/>
    </xf>
    <xf numFmtId="0" fontId="193" fillId="0" borderId="267" xfId="0" applyFont="1" applyFill="1" applyBorder="1" applyAlignment="1">
      <alignment vertical="center" wrapText="1"/>
    </xf>
    <xf numFmtId="0" fontId="193" fillId="0" borderId="0" xfId="0" applyFont="1" applyFill="1" applyBorder="1">
      <alignment vertical="center"/>
    </xf>
    <xf numFmtId="0" fontId="193" fillId="0" borderId="86" xfId="0" applyFont="1" applyFill="1" applyBorder="1">
      <alignment vertical="center"/>
    </xf>
    <xf numFmtId="0" fontId="193" fillId="0" borderId="0" xfId="0" applyFont="1" applyFill="1">
      <alignment vertical="center"/>
    </xf>
    <xf numFmtId="0" fontId="196" fillId="0" borderId="268" xfId="0" applyFont="1" applyBorder="1" applyAlignment="1">
      <alignment horizontal="center" vertical="center" wrapText="1"/>
    </xf>
    <xf numFmtId="0" fontId="0" fillId="0" borderId="103" xfId="0" applyBorder="1">
      <alignment vertical="center"/>
    </xf>
    <xf numFmtId="0" fontId="0" fillId="0" borderId="269" xfId="0" applyBorder="1">
      <alignment vertical="center"/>
    </xf>
    <xf numFmtId="0" fontId="0" fillId="0" borderId="270" xfId="0" applyBorder="1">
      <alignment vertical="center"/>
    </xf>
    <xf numFmtId="186" fontId="27" fillId="0" borderId="131" xfId="0" applyNumberFormat="1" applyFont="1" applyFill="1" applyBorder="1" applyProtection="1">
      <alignment vertical="center"/>
      <protection locked="0"/>
    </xf>
    <xf numFmtId="38" fontId="27" fillId="0" borderId="131" xfId="35" applyFont="1" applyFill="1" applyBorder="1" applyAlignment="1" applyProtection="1">
      <alignment horizontal="center" vertical="center"/>
      <protection locked="0"/>
    </xf>
    <xf numFmtId="38" fontId="27" fillId="0" borderId="114" xfId="35" applyFont="1" applyFill="1" applyBorder="1" applyAlignment="1" applyProtection="1">
      <alignment horizontal="right" vertical="center"/>
      <protection locked="0"/>
    </xf>
    <xf numFmtId="38" fontId="27" fillId="0" borderId="116" xfId="35" applyFont="1" applyFill="1" applyBorder="1" applyAlignment="1" applyProtection="1">
      <alignment horizontal="right" vertical="center"/>
      <protection locked="0"/>
    </xf>
    <xf numFmtId="38" fontId="27" fillId="0" borderId="143" xfId="35" applyFont="1" applyFill="1" applyBorder="1" applyAlignment="1" applyProtection="1">
      <alignment horizontal="right" vertical="center"/>
      <protection locked="0"/>
    </xf>
    <xf numFmtId="38" fontId="27" fillId="0" borderId="82" xfId="35" applyFont="1" applyFill="1" applyBorder="1" applyAlignment="1" applyProtection="1">
      <alignment horizontal="right" vertical="center"/>
      <protection locked="0"/>
    </xf>
    <xf numFmtId="0" fontId="0" fillId="0" borderId="0" xfId="0">
      <alignment vertical="center"/>
    </xf>
    <xf numFmtId="0" fontId="193" fillId="0" borderId="268" xfId="0" applyFont="1" applyBorder="1" applyAlignment="1">
      <alignment horizontal="center" vertical="center"/>
    </xf>
    <xf numFmtId="0" fontId="193" fillId="0" borderId="268" xfId="0" applyFont="1" applyBorder="1" applyAlignment="1">
      <alignment horizontal="center" vertical="center" wrapText="1"/>
    </xf>
    <xf numFmtId="38" fontId="193" fillId="0" borderId="262" xfId="35" applyFont="1" applyFill="1" applyBorder="1" applyAlignment="1">
      <alignment horizontal="center" vertical="center"/>
    </xf>
    <xf numFmtId="38" fontId="193" fillId="50" borderId="262" xfId="35" applyFont="1" applyFill="1" applyBorder="1" applyAlignment="1">
      <alignment horizontal="center" vertical="center"/>
    </xf>
    <xf numFmtId="38" fontId="193" fillId="50" borderId="268" xfId="35" applyFont="1" applyFill="1" applyBorder="1" applyAlignment="1">
      <alignment horizontal="center" vertical="center"/>
    </xf>
    <xf numFmtId="38" fontId="193" fillId="0" borderId="268" xfId="35" applyFont="1" applyFill="1" applyBorder="1" applyAlignment="1">
      <alignment horizontal="center" vertical="center"/>
    </xf>
    <xf numFmtId="0" fontId="197" fillId="0" borderId="10" xfId="0" applyFont="1" applyBorder="1">
      <alignment vertical="center"/>
    </xf>
    <xf numFmtId="0" fontId="198" fillId="0" borderId="0" xfId="0" applyFont="1">
      <alignment vertical="center"/>
    </xf>
    <xf numFmtId="215" fontId="197" fillId="0" borderId="10" xfId="0" applyNumberFormat="1" applyFont="1" applyBorder="1">
      <alignment vertical="center"/>
    </xf>
    <xf numFmtId="0" fontId="197" fillId="0" borderId="0" xfId="0" applyFont="1">
      <alignment vertical="center"/>
    </xf>
    <xf numFmtId="0" fontId="197" fillId="0" borderId="49" xfId="0" applyFont="1" applyBorder="1">
      <alignment vertical="center"/>
    </xf>
    <xf numFmtId="0" fontId="197" fillId="0" borderId="0" xfId="0" applyFont="1" applyBorder="1">
      <alignment vertical="center"/>
    </xf>
    <xf numFmtId="216" fontId="198" fillId="0" borderId="0" xfId="0" applyNumberFormat="1" applyFont="1" applyAlignment="1">
      <alignment vertical="center" shrinkToFit="1"/>
    </xf>
    <xf numFmtId="31" fontId="198" fillId="0" borderId="10" xfId="0" applyNumberFormat="1" applyFont="1" applyBorder="1">
      <alignment vertical="center"/>
    </xf>
    <xf numFmtId="0" fontId="198" fillId="0" borderId="20" xfId="0" applyFont="1" applyBorder="1">
      <alignment vertical="center"/>
    </xf>
    <xf numFmtId="0" fontId="0" fillId="0" borderId="0" xfId="0">
      <alignment vertical="center"/>
    </xf>
    <xf numFmtId="0" fontId="0" fillId="0" borderId="0" xfId="0" applyAlignment="1">
      <alignment horizontal="center" vertical="center"/>
    </xf>
    <xf numFmtId="0" fontId="27" fillId="0" borderId="10" xfId="0" applyFont="1" applyFill="1" applyBorder="1" applyAlignment="1" applyProtection="1">
      <alignment horizontal="left" vertical="center"/>
      <protection locked="0"/>
    </xf>
    <xf numFmtId="0" fontId="0" fillId="0" borderId="48" xfId="0" applyBorder="1" applyAlignment="1" applyProtection="1">
      <alignment horizontal="left" vertical="center"/>
      <protection locked="0"/>
    </xf>
    <xf numFmtId="0" fontId="0" fillId="0" borderId="49" xfId="0" applyBorder="1" applyAlignment="1" applyProtection="1">
      <alignment horizontal="left" vertical="center"/>
      <protection locked="0"/>
    </xf>
    <xf numFmtId="0" fontId="0" fillId="0" borderId="50" xfId="0" applyBorder="1" applyAlignment="1" applyProtection="1">
      <alignment horizontal="left" vertical="center"/>
      <protection locked="0"/>
    </xf>
    <xf numFmtId="0" fontId="0" fillId="0" borderId="0" xfId="0" applyFill="1" applyBorder="1" applyAlignment="1">
      <alignment horizontal="center" vertical="center"/>
    </xf>
    <xf numFmtId="176" fontId="189" fillId="27" borderId="0" xfId="0" applyNumberFormat="1" applyFont="1" applyFill="1" applyBorder="1" applyAlignment="1">
      <alignment horizontal="center" vertical="center"/>
    </xf>
    <xf numFmtId="0" fontId="0" fillId="0" borderId="0" xfId="0" applyAlignment="1">
      <alignment horizontal="center" vertical="center"/>
    </xf>
    <xf numFmtId="0" fontId="0" fillId="27" borderId="48" xfId="0" applyFill="1" applyBorder="1" applyAlignment="1">
      <alignment horizontal="center" vertical="center"/>
    </xf>
    <xf numFmtId="0" fontId="0" fillId="27" borderId="49" xfId="0" applyFill="1" applyBorder="1" applyAlignment="1">
      <alignment horizontal="center" vertical="center"/>
    </xf>
    <xf numFmtId="0" fontId="0" fillId="27" borderId="50" xfId="0" applyFill="1" applyBorder="1" applyAlignment="1">
      <alignment horizontal="center" vertical="center"/>
    </xf>
    <xf numFmtId="0" fontId="0" fillId="0" borderId="48" xfId="0" applyBorder="1" applyAlignment="1">
      <alignment horizontal="left" vertical="center"/>
    </xf>
    <xf numFmtId="0" fontId="0" fillId="0" borderId="50" xfId="0" applyBorder="1" applyAlignment="1">
      <alignment horizontal="left" vertical="center"/>
    </xf>
    <xf numFmtId="0" fontId="0" fillId="0" borderId="48" xfId="0" applyBorder="1" applyAlignment="1" applyProtection="1">
      <alignment vertical="top"/>
      <protection locked="0"/>
    </xf>
    <xf numFmtId="0" fontId="0" fillId="0" borderId="49" xfId="0" applyBorder="1" applyAlignment="1" applyProtection="1">
      <alignment vertical="top"/>
      <protection locked="0"/>
    </xf>
    <xf numFmtId="0" fontId="0" fillId="0" borderId="50" xfId="0" applyBorder="1" applyAlignment="1" applyProtection="1">
      <alignment vertical="top"/>
      <protection locked="0"/>
    </xf>
    <xf numFmtId="0" fontId="0" fillId="53" borderId="48" xfId="0" applyFill="1" applyBorder="1" applyAlignment="1">
      <alignment horizontal="center" vertical="center"/>
    </xf>
    <xf numFmtId="0" fontId="0" fillId="53" borderId="49" xfId="0" applyFill="1" applyBorder="1" applyAlignment="1">
      <alignment horizontal="center" vertical="center"/>
    </xf>
    <xf numFmtId="0" fontId="0" fillId="53" borderId="50" xfId="0" applyFill="1" applyBorder="1" applyAlignment="1">
      <alignment horizontal="center" vertical="center"/>
    </xf>
    <xf numFmtId="0" fontId="0" fillId="41" borderId="48" xfId="0" applyFill="1" applyBorder="1" applyAlignment="1">
      <alignment horizontal="center" vertical="center"/>
    </xf>
    <xf numFmtId="0" fontId="0" fillId="41" borderId="49" xfId="0" applyFill="1" applyBorder="1" applyAlignment="1">
      <alignment horizontal="center" vertical="center"/>
    </xf>
    <xf numFmtId="0" fontId="0" fillId="41" borderId="50" xfId="0" applyFill="1" applyBorder="1" applyAlignment="1">
      <alignment horizontal="center" vertical="center"/>
    </xf>
    <xf numFmtId="55" fontId="27" fillId="0" borderId="241" xfId="0" applyNumberFormat="1" applyFont="1" applyFill="1" applyBorder="1" applyAlignment="1" applyProtection="1">
      <alignment horizontal="left" vertical="center"/>
      <protection hidden="1"/>
    </xf>
    <xf numFmtId="0" fontId="6" fillId="0" borderId="44" xfId="0" applyFont="1" applyBorder="1" applyAlignment="1">
      <alignment vertical="center"/>
    </xf>
    <xf numFmtId="0" fontId="70" fillId="0" borderId="218" xfId="0" applyNumberFormat="1" applyFont="1" applyFill="1" applyBorder="1" applyAlignment="1" applyProtection="1">
      <alignment horizontal="center" vertical="center"/>
      <protection hidden="1"/>
    </xf>
    <xf numFmtId="0" fontId="70" fillId="0" borderId="219" xfId="0" applyNumberFormat="1" applyFont="1" applyFill="1" applyBorder="1" applyAlignment="1" applyProtection="1">
      <alignment horizontal="center" vertical="center"/>
      <protection hidden="1"/>
    </xf>
    <xf numFmtId="0" fontId="70" fillId="0" borderId="220" xfId="0" applyNumberFormat="1" applyFont="1" applyFill="1" applyBorder="1" applyAlignment="1" applyProtection="1">
      <alignment horizontal="center" vertical="center"/>
      <protection hidden="1"/>
    </xf>
    <xf numFmtId="0" fontId="27" fillId="0" borderId="244" xfId="0" applyFont="1" applyFill="1" applyBorder="1" applyAlignment="1" applyProtection="1">
      <alignment horizontal="center" vertical="center" shrinkToFit="1"/>
      <protection hidden="1"/>
    </xf>
    <xf numFmtId="0" fontId="27" fillId="0" borderId="183" xfId="0" applyFont="1" applyFill="1" applyBorder="1" applyAlignment="1" applyProtection="1">
      <alignment horizontal="center" vertical="center" shrinkToFit="1"/>
      <protection hidden="1"/>
    </xf>
    <xf numFmtId="0" fontId="28" fillId="0" borderId="245" xfId="0" applyFont="1" applyFill="1" applyBorder="1" applyAlignment="1" applyProtection="1">
      <alignment vertical="top" wrapText="1"/>
      <protection hidden="1"/>
    </xf>
    <xf numFmtId="0" fontId="6" fillId="0" borderId="198" xfId="0" applyFont="1" applyBorder="1" applyAlignment="1">
      <alignment vertical="center" wrapText="1"/>
    </xf>
    <xf numFmtId="0" fontId="6" fillId="0" borderId="180" xfId="0" applyFont="1" applyBorder="1" applyAlignment="1">
      <alignment vertical="center" wrapText="1"/>
    </xf>
    <xf numFmtId="0" fontId="6" fillId="0" borderId="86" xfId="0" applyFont="1" applyBorder="1" applyAlignment="1">
      <alignment vertical="center" wrapText="1"/>
    </xf>
    <xf numFmtId="0" fontId="6" fillId="0" borderId="244" xfId="0" applyFont="1" applyBorder="1" applyAlignment="1">
      <alignment vertical="center" wrapText="1"/>
    </xf>
    <xf numFmtId="0" fontId="6" fillId="0" borderId="183" xfId="0" applyFont="1" applyBorder="1" applyAlignment="1">
      <alignment vertical="center" wrapText="1"/>
    </xf>
    <xf numFmtId="31" fontId="27" fillId="0" borderId="245" xfId="0" applyNumberFormat="1" applyFont="1" applyFill="1" applyBorder="1" applyAlignment="1" applyProtection="1">
      <alignment vertical="top" wrapText="1" shrinkToFit="1"/>
      <protection hidden="1"/>
    </xf>
    <xf numFmtId="0" fontId="6" fillId="0" borderId="198" xfId="0" applyFont="1" applyBorder="1" applyAlignment="1">
      <alignment vertical="top" wrapText="1" shrinkToFit="1"/>
    </xf>
    <xf numFmtId="0" fontId="6" fillId="0" borderId="180" xfId="0" applyFont="1" applyBorder="1" applyAlignment="1">
      <alignment vertical="top" wrapText="1"/>
    </xf>
    <xf numFmtId="0" fontId="6" fillId="0" borderId="86" xfId="0" applyFont="1" applyBorder="1" applyAlignment="1">
      <alignment vertical="top" wrapText="1"/>
    </xf>
    <xf numFmtId="0" fontId="6" fillId="0" borderId="244" xfId="0" applyFont="1" applyBorder="1" applyAlignment="1">
      <alignment vertical="top" wrapText="1"/>
    </xf>
    <xf numFmtId="0" fontId="6" fillId="0" borderId="183" xfId="0" applyFont="1" applyBorder="1" applyAlignment="1">
      <alignment vertical="top" wrapText="1"/>
    </xf>
    <xf numFmtId="0" fontId="47" fillId="0" borderId="103" xfId="0" applyFont="1" applyFill="1" applyBorder="1" applyAlignment="1" applyProtection="1">
      <alignment horizontal="left" vertical="top" wrapText="1"/>
      <protection hidden="1"/>
    </xf>
    <xf numFmtId="0" fontId="0" fillId="0" borderId="154" xfId="0" applyBorder="1" applyAlignment="1">
      <alignment horizontal="left" vertical="top" wrapText="1"/>
    </xf>
    <xf numFmtId="0" fontId="0" fillId="0" borderId="175" xfId="0" applyBorder="1" applyAlignment="1">
      <alignment horizontal="left" vertical="top" wrapText="1"/>
    </xf>
    <xf numFmtId="0" fontId="47" fillId="0" borderId="118" xfId="0" applyFont="1" applyFill="1" applyBorder="1" applyAlignment="1" applyProtection="1">
      <alignment horizontal="left" vertical="top" wrapText="1"/>
      <protection hidden="1"/>
    </xf>
    <xf numFmtId="0" fontId="47" fillId="42" borderId="154" xfId="0" applyFont="1" applyFill="1" applyBorder="1" applyAlignment="1" applyProtection="1">
      <alignment horizontal="left" vertical="top" wrapText="1"/>
      <protection hidden="1"/>
    </xf>
    <xf numFmtId="0" fontId="47" fillId="42" borderId="175" xfId="0" applyFont="1" applyFill="1" applyBorder="1" applyAlignment="1" applyProtection="1">
      <alignment horizontal="left" vertical="top" wrapText="1"/>
      <protection hidden="1"/>
    </xf>
    <xf numFmtId="0" fontId="47" fillId="42" borderId="110" xfId="0" applyFont="1" applyFill="1" applyBorder="1" applyAlignment="1" applyProtection="1">
      <alignment horizontal="left" vertical="top" wrapText="1"/>
      <protection hidden="1"/>
    </xf>
    <xf numFmtId="55" fontId="27" fillId="0" borderId="186" xfId="0" applyNumberFormat="1" applyFont="1" applyFill="1" applyBorder="1" applyAlignment="1" applyProtection="1">
      <alignment horizontal="left" vertical="center"/>
      <protection hidden="1"/>
    </xf>
    <xf numFmtId="0" fontId="6" fillId="0" borderId="154" xfId="0" applyFont="1" applyBorder="1" applyAlignment="1">
      <alignment vertical="center"/>
    </xf>
    <xf numFmtId="0" fontId="84" fillId="0" borderId="88" xfId="0" applyFont="1" applyFill="1" applyBorder="1" applyAlignment="1" applyProtection="1">
      <alignment horizontal="left" wrapText="1"/>
      <protection hidden="1"/>
    </xf>
    <xf numFmtId="0" fontId="84" fillId="0" borderId="0" xfId="0" applyFont="1" applyFill="1" applyBorder="1" applyAlignment="1" applyProtection="1">
      <alignment horizontal="left" wrapText="1"/>
      <protection hidden="1"/>
    </xf>
    <xf numFmtId="0" fontId="84" fillId="0" borderId="86" xfId="0" applyFont="1" applyFill="1" applyBorder="1" applyAlignment="1" applyProtection="1">
      <alignment horizontal="left" wrapText="1"/>
      <protection hidden="1"/>
    </xf>
    <xf numFmtId="0" fontId="84" fillId="0" borderId="103" xfId="0" applyFont="1" applyFill="1" applyBorder="1" applyAlignment="1" applyProtection="1">
      <alignment horizontal="left" wrapText="1"/>
      <protection hidden="1"/>
    </xf>
    <xf numFmtId="0" fontId="84" fillId="0" borderId="154" xfId="0" applyFont="1" applyFill="1" applyBorder="1" applyAlignment="1" applyProtection="1">
      <alignment horizontal="left" wrapText="1"/>
      <protection hidden="1"/>
    </xf>
    <xf numFmtId="0" fontId="84" fillId="0" borderId="110" xfId="0" applyFont="1" applyFill="1" applyBorder="1" applyAlignment="1" applyProtection="1">
      <alignment horizontal="left" wrapText="1"/>
      <protection hidden="1"/>
    </xf>
    <xf numFmtId="0" fontId="47" fillId="0" borderId="81" xfId="0" applyFont="1" applyFill="1" applyBorder="1" applyAlignment="1">
      <alignment horizontal="left" vertical="top" wrapText="1"/>
    </xf>
    <xf numFmtId="0" fontId="0" fillId="0" borderId="57" xfId="0" applyBorder="1" applyAlignment="1">
      <alignment horizontal="left" vertical="top" wrapText="1"/>
    </xf>
    <xf numFmtId="0" fontId="0" fillId="0" borderId="58" xfId="0" applyBorder="1" applyAlignment="1">
      <alignment horizontal="left" vertical="top" wrapText="1"/>
    </xf>
    <xf numFmtId="0" fontId="47" fillId="0" borderId="57" xfId="0" applyFont="1" applyFill="1" applyBorder="1" applyAlignment="1" applyProtection="1">
      <alignment horizontal="left" vertical="top" wrapText="1"/>
      <protection hidden="1"/>
    </xf>
    <xf numFmtId="0" fontId="47" fillId="42" borderId="57" xfId="0" applyFont="1" applyFill="1" applyBorder="1" applyAlignment="1" applyProtection="1">
      <alignment horizontal="left" vertical="top" wrapText="1"/>
      <protection hidden="1"/>
    </xf>
    <xf numFmtId="0" fontId="47" fillId="42" borderId="117" xfId="0" applyFont="1" applyFill="1" applyBorder="1" applyAlignment="1" applyProtection="1">
      <alignment horizontal="left" vertical="top" wrapText="1"/>
      <protection hidden="1"/>
    </xf>
    <xf numFmtId="0" fontId="47" fillId="0" borderId="81" xfId="0" applyFont="1" applyFill="1" applyBorder="1" applyAlignment="1" applyProtection="1">
      <alignment horizontal="left" vertical="top" wrapText="1"/>
      <protection hidden="1"/>
    </xf>
    <xf numFmtId="0" fontId="0" fillId="0" borderId="57" xfId="0" applyBorder="1" applyAlignment="1">
      <alignment horizontal="left" vertical="center" wrapText="1"/>
    </xf>
    <xf numFmtId="0" fontId="0" fillId="0" borderId="58" xfId="0" applyBorder="1" applyAlignment="1">
      <alignment horizontal="left" vertical="center" wrapText="1"/>
    </xf>
    <xf numFmtId="0" fontId="47" fillId="0" borderId="24" xfId="0" applyFont="1" applyFill="1" applyBorder="1" applyAlignment="1" applyProtection="1">
      <alignment horizontal="left" vertical="top" wrapText="1"/>
      <protection hidden="1"/>
    </xf>
    <xf numFmtId="0" fontId="7" fillId="24" borderId="44" xfId="29" applyFill="1" applyBorder="1" applyProtection="1">
      <alignment horizontal="left" vertical="center" indent="1"/>
      <protection hidden="1"/>
    </xf>
    <xf numFmtId="0" fontId="47" fillId="0" borderId="57" xfId="0" applyFont="1" applyFill="1" applyBorder="1" applyAlignment="1">
      <alignment horizontal="left" vertical="top" wrapText="1"/>
    </xf>
    <xf numFmtId="0" fontId="47" fillId="0" borderId="58" xfId="0" applyFont="1" applyFill="1" applyBorder="1" applyAlignment="1">
      <alignment horizontal="left" vertical="top" wrapText="1"/>
    </xf>
    <xf numFmtId="0" fontId="28" fillId="0" borderId="0" xfId="0" applyFont="1" applyFill="1" applyBorder="1" applyAlignment="1" applyProtection="1">
      <alignment vertical="top" shrinkToFit="1"/>
      <protection hidden="1"/>
    </xf>
    <xf numFmtId="0" fontId="0" fillId="0" borderId="0" xfId="0" applyAlignment="1">
      <alignment vertical="top" shrinkToFit="1"/>
    </xf>
    <xf numFmtId="40" fontId="27" fillId="0" borderId="249" xfId="0" quotePrefix="1" applyNumberFormat="1" applyFont="1" applyFill="1" applyBorder="1" applyAlignment="1" applyProtection="1">
      <alignment vertical="top" wrapText="1"/>
      <protection hidden="1"/>
    </xf>
    <xf numFmtId="0" fontId="0" fillId="0" borderId="79" xfId="0" applyBorder="1">
      <alignment vertical="center"/>
    </xf>
    <xf numFmtId="0" fontId="0" fillId="0" borderId="180" xfId="0" applyBorder="1">
      <alignment vertical="center"/>
    </xf>
    <xf numFmtId="0" fontId="0" fillId="0" borderId="0" xfId="0">
      <alignment vertical="center"/>
    </xf>
    <xf numFmtId="0" fontId="0" fillId="0" borderId="186" xfId="0" applyBorder="1">
      <alignment vertical="center"/>
    </xf>
    <xf numFmtId="0" fontId="0" fillId="0" borderId="154" xfId="0" applyBorder="1">
      <alignment vertical="center"/>
    </xf>
    <xf numFmtId="0" fontId="47" fillId="0" borderId="88" xfId="0" applyFont="1" applyFill="1" applyBorder="1" applyAlignment="1" applyProtection="1">
      <alignment horizontal="left" vertical="center" wrapText="1"/>
      <protection hidden="1"/>
    </xf>
    <xf numFmtId="0" fontId="47" fillId="0" borderId="0" xfId="0" applyFont="1" applyFill="1" applyBorder="1" applyAlignment="1" applyProtection="1">
      <alignment horizontal="left" vertical="center" wrapText="1"/>
      <protection hidden="1"/>
    </xf>
    <xf numFmtId="0" fontId="47" fillId="0" borderId="86" xfId="0" applyFont="1" applyFill="1" applyBorder="1" applyAlignment="1" applyProtection="1">
      <alignment horizontal="left" vertical="center" wrapText="1"/>
      <protection hidden="1"/>
    </xf>
    <xf numFmtId="0" fontId="47" fillId="0" borderId="103" xfId="0" applyFont="1" applyFill="1" applyBorder="1" applyAlignment="1" applyProtection="1">
      <alignment horizontal="left" vertical="center" wrapText="1"/>
      <protection hidden="1"/>
    </xf>
    <xf numFmtId="0" fontId="47" fillId="0" borderId="154" xfId="0" applyFont="1" applyFill="1" applyBorder="1" applyAlignment="1" applyProtection="1">
      <alignment horizontal="left" vertical="center" wrapText="1"/>
      <protection hidden="1"/>
    </xf>
    <xf numFmtId="0" fontId="47" fillId="0" borderId="110" xfId="0" applyFont="1" applyFill="1" applyBorder="1" applyAlignment="1" applyProtection="1">
      <alignment horizontal="left" vertical="center" wrapText="1"/>
      <protection hidden="1"/>
    </xf>
    <xf numFmtId="0" fontId="79" fillId="0" borderId="0" xfId="0" applyFont="1" applyFill="1" applyBorder="1" applyAlignment="1" applyProtection="1">
      <alignment horizontal="right" vertical="center" shrinkToFit="1"/>
      <protection hidden="1"/>
    </xf>
    <xf numFmtId="0" fontId="79" fillId="42" borderId="0" xfId="0" applyFont="1" applyFill="1" applyBorder="1" applyAlignment="1" applyProtection="1">
      <alignment horizontal="right" vertical="center" shrinkToFit="1"/>
      <protection hidden="1"/>
    </xf>
    <xf numFmtId="0" fontId="79" fillId="42" borderId="154" xfId="0" applyFont="1" applyFill="1" applyBorder="1" applyAlignment="1" applyProtection="1">
      <alignment horizontal="right" vertical="center" shrinkToFit="1"/>
      <protection hidden="1"/>
    </xf>
    <xf numFmtId="0" fontId="41" fillId="0" borderId="0" xfId="0" applyFont="1" applyFill="1" applyBorder="1" applyAlignment="1" applyProtection="1">
      <alignment horizontal="center" vertical="center"/>
      <protection hidden="1"/>
    </xf>
    <xf numFmtId="0" fontId="41" fillId="42" borderId="154" xfId="0" applyFont="1" applyFill="1" applyBorder="1" applyAlignment="1" applyProtection="1">
      <alignment horizontal="center" vertical="center"/>
      <protection hidden="1"/>
    </xf>
    <xf numFmtId="176" fontId="159" fillId="0" borderId="0" xfId="35" applyNumberFormat="1" applyFont="1" applyFill="1" applyBorder="1" applyAlignment="1" applyProtection="1">
      <alignment horizontal="center" vertical="center"/>
      <protection hidden="1"/>
    </xf>
    <xf numFmtId="176" fontId="159" fillId="42" borderId="154" xfId="35" applyNumberFormat="1" applyFont="1" applyFill="1" applyBorder="1" applyAlignment="1" applyProtection="1">
      <alignment horizontal="center" vertical="center"/>
      <protection hidden="1"/>
    </xf>
    <xf numFmtId="0" fontId="0" fillId="0" borderId="154" xfId="0" applyBorder="1" applyAlignment="1">
      <alignment horizontal="left" vertical="center" wrapText="1"/>
    </xf>
    <xf numFmtId="0" fontId="0" fillId="0" borderId="175" xfId="0" applyBorder="1" applyAlignment="1">
      <alignment horizontal="left" vertical="center" wrapText="1"/>
    </xf>
    <xf numFmtId="0" fontId="150" fillId="0" borderId="0" xfId="0" applyFont="1" applyFill="1" applyBorder="1" applyAlignment="1" applyProtection="1">
      <alignment horizontal="right" vertical="center"/>
      <protection hidden="1"/>
    </xf>
    <xf numFmtId="0" fontId="151" fillId="42" borderId="0" xfId="0" applyFont="1" applyFill="1" applyBorder="1" applyAlignment="1">
      <alignment horizontal="right" vertical="center"/>
    </xf>
    <xf numFmtId="0" fontId="41" fillId="42" borderId="0" xfId="0" applyFont="1" applyFill="1" applyBorder="1" applyAlignment="1" applyProtection="1">
      <alignment horizontal="center" vertical="center"/>
      <protection hidden="1"/>
    </xf>
    <xf numFmtId="0" fontId="150" fillId="0" borderId="0" xfId="0" applyFont="1" applyFill="1" applyBorder="1" applyAlignment="1">
      <alignment horizontal="right" vertical="center"/>
    </xf>
    <xf numFmtId="176" fontId="157" fillId="0" borderId="0" xfId="35" applyNumberFormat="1" applyFont="1" applyFill="1" applyBorder="1" applyAlignment="1" applyProtection="1">
      <alignment horizontal="center" vertical="center"/>
      <protection hidden="1"/>
    </xf>
    <xf numFmtId="176" fontId="157" fillId="42" borderId="0" xfId="35" applyNumberFormat="1" applyFont="1" applyFill="1" applyBorder="1" applyAlignment="1" applyProtection="1">
      <alignment horizontal="center" vertical="center"/>
      <protection hidden="1"/>
    </xf>
    <xf numFmtId="0" fontId="27" fillId="0" borderId="255" xfId="0" applyNumberFormat="1" applyFont="1" applyFill="1" applyBorder="1" applyAlignment="1" applyProtection="1">
      <alignment vertical="top" wrapText="1"/>
      <protection hidden="1"/>
    </xf>
    <xf numFmtId="0" fontId="27" fillId="0" borderId="112" xfId="0" applyNumberFormat="1" applyFont="1" applyFill="1" applyBorder="1" applyAlignment="1" applyProtection="1">
      <alignment vertical="top" wrapText="1"/>
      <protection hidden="1"/>
    </xf>
    <xf numFmtId="0" fontId="27" fillId="0" borderId="180" xfId="0" applyNumberFormat="1" applyFont="1" applyFill="1" applyBorder="1" applyAlignment="1" applyProtection="1">
      <alignment vertical="top" wrapText="1"/>
      <protection hidden="1"/>
    </xf>
    <xf numFmtId="0" fontId="27" fillId="0" borderId="86" xfId="0" applyNumberFormat="1" applyFont="1" applyFill="1" applyBorder="1" applyAlignment="1" applyProtection="1">
      <alignment vertical="top" wrapText="1"/>
      <protection hidden="1"/>
    </xf>
    <xf numFmtId="55" fontId="27" fillId="0" borderId="258" xfId="0" applyNumberFormat="1" applyFont="1" applyFill="1" applyBorder="1" applyAlignment="1" applyProtection="1">
      <alignment horizontal="left" vertical="center"/>
      <protection locked="0"/>
    </xf>
    <xf numFmtId="0" fontId="6" fillId="0" borderId="259" xfId="0" applyFont="1" applyBorder="1">
      <alignment vertical="center"/>
    </xf>
    <xf numFmtId="55" fontId="27" fillId="0" borderId="258" xfId="0" applyNumberFormat="1" applyFont="1" applyFill="1" applyBorder="1" applyAlignment="1" applyProtection="1">
      <alignment horizontal="left" vertical="center"/>
    </xf>
    <xf numFmtId="0" fontId="6" fillId="0" borderId="259" xfId="0" applyFont="1" applyBorder="1" applyAlignment="1">
      <alignment horizontal="left" vertical="center"/>
    </xf>
    <xf numFmtId="0" fontId="27" fillId="0" borderId="247" xfId="0" applyNumberFormat="1" applyFont="1" applyFill="1" applyBorder="1" applyAlignment="1" applyProtection="1">
      <alignment vertical="center"/>
      <protection hidden="1"/>
    </xf>
    <xf numFmtId="0" fontId="6" fillId="0" borderId="240" xfId="0" applyFont="1" applyBorder="1" applyAlignment="1">
      <alignment vertical="center"/>
    </xf>
    <xf numFmtId="0" fontId="6" fillId="0" borderId="248" xfId="0" applyFont="1" applyBorder="1" applyAlignment="1">
      <alignment vertical="center"/>
    </xf>
    <xf numFmtId="0" fontId="27" fillId="0" borderId="245" xfId="0" applyNumberFormat="1" applyFont="1" applyFill="1" applyBorder="1" applyAlignment="1" applyProtection="1">
      <alignment vertical="center"/>
      <protection hidden="1"/>
    </xf>
    <xf numFmtId="0" fontId="27" fillId="0" borderId="199" xfId="0" applyNumberFormat="1" applyFont="1" applyFill="1" applyBorder="1" applyAlignment="1" applyProtection="1">
      <alignment vertical="center"/>
      <protection hidden="1"/>
    </xf>
    <xf numFmtId="0" fontId="27" fillId="0" borderId="198" xfId="0" applyNumberFormat="1" applyFont="1" applyFill="1" applyBorder="1" applyAlignment="1" applyProtection="1">
      <alignment vertical="center"/>
      <protection hidden="1"/>
    </xf>
    <xf numFmtId="0" fontId="27" fillId="0" borderId="0" xfId="0" applyNumberFormat="1" applyFont="1" applyFill="1" applyBorder="1" applyAlignment="1" applyProtection="1">
      <alignment vertical="center" shrinkToFit="1"/>
      <protection hidden="1"/>
    </xf>
    <xf numFmtId="0" fontId="27" fillId="0" borderId="86" xfId="0" applyNumberFormat="1" applyFont="1" applyFill="1" applyBorder="1" applyAlignment="1" applyProtection="1">
      <alignment vertical="center" shrinkToFit="1"/>
      <protection hidden="1"/>
    </xf>
    <xf numFmtId="0" fontId="84" fillId="0" borderId="88" xfId="0" applyFont="1" applyFill="1" applyBorder="1" applyAlignment="1" applyProtection="1">
      <alignment horizontal="left" vertical="center" wrapText="1"/>
      <protection hidden="1"/>
    </xf>
    <xf numFmtId="0" fontId="0" fillId="0" borderId="0" xfId="0" applyAlignment="1">
      <alignment horizontal="left" vertical="center" wrapText="1"/>
    </xf>
    <xf numFmtId="0" fontId="0" fillId="0" borderId="86" xfId="0" applyBorder="1" applyAlignment="1">
      <alignment horizontal="left" vertical="center" wrapText="1"/>
    </xf>
    <xf numFmtId="0" fontId="0" fillId="0" borderId="103" xfId="0" applyBorder="1" applyAlignment="1">
      <alignment horizontal="left" vertical="center" wrapText="1"/>
    </xf>
    <xf numFmtId="0" fontId="0" fillId="0" borderId="110" xfId="0" applyBorder="1" applyAlignment="1">
      <alignment horizontal="left" vertical="center" wrapText="1"/>
    </xf>
    <xf numFmtId="0" fontId="55" fillId="24" borderId="200" xfId="0" applyNumberFormat="1" applyFont="1" applyFill="1" applyBorder="1" applyAlignment="1" applyProtection="1">
      <alignment horizontal="left" vertical="top" wrapText="1"/>
    </xf>
    <xf numFmtId="0" fontId="27" fillId="0" borderId="48" xfId="0" applyFont="1" applyFill="1" applyBorder="1" applyAlignment="1" applyProtection="1">
      <alignment horizontal="left" vertical="center" shrinkToFit="1"/>
      <protection locked="0"/>
    </xf>
    <xf numFmtId="0" fontId="27" fillId="42" borderId="49" xfId="0" applyFont="1" applyFill="1" applyBorder="1" applyAlignment="1" applyProtection="1">
      <alignment horizontal="left" vertical="center" shrinkToFit="1"/>
      <protection locked="0"/>
    </xf>
    <xf numFmtId="0" fontId="27" fillId="42" borderId="50" xfId="0" applyFont="1" applyFill="1" applyBorder="1" applyAlignment="1" applyProtection="1">
      <alignment horizontal="left" vertical="center" shrinkToFit="1"/>
      <protection locked="0"/>
    </xf>
    <xf numFmtId="0" fontId="27" fillId="42" borderId="227" xfId="0" applyFont="1" applyFill="1" applyBorder="1" applyAlignment="1" applyProtection="1">
      <alignment horizontal="left" vertical="center" shrinkToFit="1"/>
      <protection locked="0"/>
    </xf>
    <xf numFmtId="0" fontId="27" fillId="0" borderId="10" xfId="0" applyFont="1" applyFill="1" applyBorder="1" applyAlignment="1" applyProtection="1">
      <alignment horizontal="left" vertical="center"/>
      <protection locked="0"/>
    </xf>
    <xf numFmtId="0" fontId="27" fillId="42" borderId="48" xfId="0" applyFont="1" applyFill="1" applyBorder="1" applyAlignment="1" applyProtection="1">
      <alignment horizontal="left" vertical="center"/>
      <protection locked="0"/>
    </xf>
    <xf numFmtId="0" fontId="27" fillId="42" borderId="36" xfId="0" applyFont="1" applyFill="1" applyBorder="1" applyAlignment="1" applyProtection="1">
      <alignment horizontal="left" vertical="center"/>
      <protection locked="0"/>
    </xf>
    <xf numFmtId="0" fontId="33" fillId="0" borderId="24" xfId="0" applyFont="1" applyFill="1" applyBorder="1" applyAlignment="1" applyProtection="1">
      <alignment horizontal="center" vertical="center"/>
      <protection locked="0" hidden="1"/>
    </xf>
    <xf numFmtId="0" fontId="33" fillId="0" borderId="57" xfId="0" applyFont="1" applyFill="1" applyBorder="1" applyAlignment="1" applyProtection="1">
      <alignment horizontal="center" vertical="center"/>
      <protection locked="0" hidden="1"/>
    </xf>
    <xf numFmtId="0" fontId="33" fillId="42" borderId="21" xfId="0" applyFont="1" applyFill="1" applyBorder="1" applyAlignment="1" applyProtection="1">
      <alignment horizontal="center" vertical="center"/>
      <protection locked="0" hidden="1"/>
    </xf>
    <xf numFmtId="0" fontId="39" fillId="24" borderId="211" xfId="0" applyFont="1" applyFill="1" applyBorder="1" applyAlignment="1" applyProtection="1">
      <alignment vertical="center" wrapText="1"/>
      <protection hidden="1"/>
    </xf>
    <xf numFmtId="0" fontId="39" fillId="24" borderId="200" xfId="0" applyFont="1" applyFill="1" applyBorder="1" applyAlignment="1" applyProtection="1">
      <alignment vertical="center" wrapText="1"/>
      <protection hidden="1"/>
    </xf>
    <xf numFmtId="0" fontId="39" fillId="24" borderId="201" xfId="0" applyFont="1" applyFill="1" applyBorder="1" applyAlignment="1" applyProtection="1">
      <alignment vertical="center" wrapText="1"/>
      <protection hidden="1"/>
    </xf>
    <xf numFmtId="0" fontId="27" fillId="0" borderId="51" xfId="0" applyFont="1" applyFill="1" applyBorder="1" applyAlignment="1" applyProtection="1">
      <alignment vertical="top" wrapText="1"/>
      <protection locked="0"/>
    </xf>
    <xf numFmtId="0" fontId="27" fillId="42" borderId="52" xfId="0" applyFont="1" applyFill="1" applyBorder="1" applyAlignment="1" applyProtection="1">
      <alignment vertical="top"/>
      <protection locked="0"/>
    </xf>
    <xf numFmtId="0" fontId="27" fillId="42" borderId="210" xfId="0" applyFont="1" applyFill="1" applyBorder="1" applyAlignment="1" applyProtection="1">
      <alignment vertical="top"/>
      <protection locked="0"/>
    </xf>
    <xf numFmtId="0" fontId="27" fillId="42" borderId="20" xfId="0" applyFont="1" applyFill="1" applyBorder="1" applyAlignment="1" applyProtection="1">
      <alignment vertical="top"/>
      <protection locked="0"/>
    </xf>
    <xf numFmtId="0" fontId="27" fillId="42" borderId="0" xfId="0" applyFont="1" applyFill="1" applyBorder="1" applyAlignment="1" applyProtection="1">
      <alignment vertical="top"/>
      <protection locked="0"/>
    </xf>
    <xf numFmtId="0" fontId="27" fillId="42" borderId="18" xfId="0" applyFont="1" applyFill="1" applyBorder="1" applyAlignment="1" applyProtection="1">
      <alignment vertical="top"/>
      <protection locked="0"/>
    </xf>
    <xf numFmtId="0" fontId="27" fillId="42" borderId="24" xfId="0" applyFont="1" applyFill="1" applyBorder="1" applyAlignment="1" applyProtection="1">
      <alignment vertical="top"/>
      <protection locked="0"/>
    </xf>
    <xf numFmtId="0" fontId="27" fillId="42" borderId="57" xfId="0" applyFont="1" applyFill="1" applyBorder="1" applyAlignment="1" applyProtection="1">
      <alignment vertical="top"/>
      <protection locked="0"/>
    </xf>
    <xf numFmtId="0" fontId="27" fillId="42" borderId="21" xfId="0" applyFont="1" applyFill="1" applyBorder="1" applyAlignment="1" applyProtection="1">
      <alignment vertical="top"/>
      <protection locked="0"/>
    </xf>
    <xf numFmtId="0" fontId="27" fillId="0" borderId="232" xfId="0" applyFont="1" applyFill="1" applyBorder="1" applyAlignment="1" applyProtection="1">
      <alignment vertical="center"/>
      <protection locked="0"/>
    </xf>
    <xf numFmtId="0" fontId="27" fillId="0" borderId="233" xfId="0" applyFont="1" applyFill="1" applyBorder="1" applyAlignment="1" applyProtection="1">
      <alignment vertical="center"/>
      <protection locked="0"/>
    </xf>
    <xf numFmtId="0" fontId="27" fillId="0" borderId="234" xfId="0" applyFont="1" applyFill="1" applyBorder="1" applyAlignment="1" applyProtection="1">
      <alignment vertical="center"/>
      <protection locked="0"/>
    </xf>
    <xf numFmtId="0" fontId="27" fillId="0" borderId="48" xfId="0" applyFont="1" applyFill="1" applyBorder="1" applyAlignment="1" applyProtection="1">
      <alignment vertical="center"/>
      <protection locked="0"/>
    </xf>
    <xf numFmtId="0" fontId="27" fillId="0" borderId="49" xfId="0" applyFont="1" applyFill="1" applyBorder="1" applyAlignment="1" applyProtection="1">
      <alignment vertical="center"/>
      <protection locked="0"/>
    </xf>
    <xf numFmtId="0" fontId="27" fillId="0" borderId="227" xfId="0" applyFont="1" applyFill="1" applyBorder="1" applyAlignment="1" applyProtection="1">
      <alignment vertical="center"/>
      <protection locked="0"/>
    </xf>
    <xf numFmtId="0" fontId="27" fillId="0" borderId="229" xfId="0" applyFont="1" applyFill="1" applyBorder="1" applyAlignment="1" applyProtection="1">
      <alignment vertical="center"/>
      <protection locked="0"/>
    </xf>
    <xf numFmtId="0" fontId="27" fillId="0" borderId="230" xfId="0" applyFont="1" applyFill="1" applyBorder="1" applyAlignment="1" applyProtection="1">
      <alignment vertical="center"/>
      <protection locked="0"/>
    </xf>
    <xf numFmtId="0" fontId="27" fillId="0" borderId="231" xfId="0" applyFont="1" applyFill="1" applyBorder="1" applyAlignment="1" applyProtection="1">
      <alignment vertical="center"/>
      <protection locked="0"/>
    </xf>
    <xf numFmtId="0" fontId="27" fillId="0" borderId="51" xfId="0" applyFont="1" applyFill="1" applyBorder="1" applyAlignment="1" applyProtection="1">
      <alignment horizontal="left" vertical="center"/>
      <protection locked="0"/>
    </xf>
    <xf numFmtId="0" fontId="27" fillId="42" borderId="52" xfId="0" applyFont="1" applyFill="1" applyBorder="1" applyAlignment="1" applyProtection="1">
      <alignment horizontal="left" vertical="center"/>
      <protection locked="0"/>
    </xf>
    <xf numFmtId="0" fontId="27" fillId="42" borderId="210" xfId="0" applyFont="1" applyFill="1" applyBorder="1" applyAlignment="1" applyProtection="1">
      <alignment horizontal="left" vertical="center"/>
      <protection locked="0"/>
    </xf>
    <xf numFmtId="0" fontId="27" fillId="24" borderId="10" xfId="0" applyFont="1" applyFill="1" applyBorder="1" applyAlignment="1" applyProtection="1">
      <alignment horizontal="left" vertical="center" shrinkToFit="1"/>
    </xf>
    <xf numFmtId="0" fontId="27" fillId="24" borderId="48" xfId="0" applyFont="1" applyFill="1" applyBorder="1" applyAlignment="1" applyProtection="1">
      <alignment horizontal="left" vertical="center" shrinkToFit="1"/>
    </xf>
    <xf numFmtId="0" fontId="27" fillId="24" borderId="36" xfId="0" applyFont="1" applyFill="1" applyBorder="1" applyAlignment="1" applyProtection="1">
      <alignment horizontal="left" vertical="center" shrinkToFit="1"/>
    </xf>
    <xf numFmtId="0" fontId="29" fillId="25" borderId="17" xfId="0" applyFont="1" applyFill="1" applyBorder="1" applyAlignment="1" applyProtection="1">
      <alignment vertical="center" shrinkToFit="1"/>
      <protection hidden="1"/>
    </xf>
    <xf numFmtId="0" fontId="29" fillId="25" borderId="0" xfId="0" applyFont="1" applyFill="1" applyBorder="1" applyAlignment="1" applyProtection="1">
      <alignment vertical="center" shrinkToFit="1"/>
      <protection hidden="1"/>
    </xf>
    <xf numFmtId="0" fontId="29" fillId="25" borderId="18" xfId="0" applyFont="1" applyFill="1" applyBorder="1" applyAlignment="1" applyProtection="1">
      <alignment vertical="center" shrinkToFit="1"/>
      <protection hidden="1"/>
    </xf>
    <xf numFmtId="31" fontId="33" fillId="0" borderId="20" xfId="0" applyNumberFormat="1" applyFont="1" applyFill="1" applyBorder="1" applyAlignment="1" applyProtection="1">
      <alignment horizontal="center" vertical="center"/>
      <protection locked="0"/>
    </xf>
    <xf numFmtId="31" fontId="33" fillId="0" borderId="0" xfId="0" applyNumberFormat="1" applyFont="1" applyFill="1" applyBorder="1" applyAlignment="1" applyProtection="1">
      <alignment horizontal="center" vertical="center"/>
      <protection locked="0"/>
    </xf>
    <xf numFmtId="31" fontId="33" fillId="0" borderId="18" xfId="0" applyNumberFormat="1" applyFont="1" applyFill="1" applyBorder="1" applyAlignment="1" applyProtection="1">
      <alignment horizontal="center" vertical="center"/>
      <protection locked="0"/>
    </xf>
    <xf numFmtId="0" fontId="29" fillId="25" borderId="51" xfId="0" applyFont="1" applyFill="1" applyBorder="1" applyAlignment="1" applyProtection="1">
      <alignment vertical="center"/>
      <protection hidden="1"/>
    </xf>
    <xf numFmtId="0" fontId="29" fillId="25" borderId="52" xfId="0" applyFont="1" applyFill="1" applyBorder="1" applyAlignment="1" applyProtection="1">
      <alignment vertical="center"/>
      <protection hidden="1"/>
    </xf>
    <xf numFmtId="0" fontId="29" fillId="25" borderId="210" xfId="0" applyFont="1" applyFill="1" applyBorder="1" applyAlignment="1" applyProtection="1">
      <alignment vertical="center"/>
      <protection hidden="1"/>
    </xf>
    <xf numFmtId="219" fontId="0" fillId="0" borderId="262" xfId="0" applyNumberFormat="1" applyFill="1" applyBorder="1" applyAlignment="1" applyProtection="1">
      <alignment horizontal="center" vertical="center" shrinkToFit="1"/>
      <protection locked="0"/>
    </xf>
    <xf numFmtId="219" fontId="0" fillId="0" borderId="263" xfId="0" applyNumberFormat="1" applyFill="1" applyBorder="1" applyAlignment="1" applyProtection="1">
      <alignment horizontal="center" vertical="center" shrinkToFit="1"/>
      <protection locked="0"/>
    </xf>
    <xf numFmtId="0" fontId="0" fillId="27" borderId="48" xfId="0" applyFill="1" applyBorder="1" applyAlignment="1" applyProtection="1">
      <alignment horizontal="left" vertical="top" wrapText="1"/>
      <protection locked="0"/>
    </xf>
    <xf numFmtId="0" fontId="0" fillId="27" borderId="50" xfId="0" applyFill="1" applyBorder="1" applyAlignment="1" applyProtection="1">
      <alignment horizontal="left" vertical="top" wrapText="1"/>
      <protection locked="0"/>
    </xf>
    <xf numFmtId="0" fontId="0" fillId="27" borderId="146" xfId="0" applyFill="1" applyBorder="1" applyAlignment="1" applyProtection="1">
      <alignment horizontal="left" vertical="top" wrapText="1"/>
      <protection locked="0"/>
    </xf>
    <xf numFmtId="0" fontId="0" fillId="27" borderId="147" xfId="0" applyFill="1" applyBorder="1" applyAlignment="1" applyProtection="1">
      <alignment horizontal="left" vertical="top" wrapText="1"/>
      <protection locked="0"/>
    </xf>
    <xf numFmtId="0" fontId="0" fillId="27" borderId="212" xfId="0" applyFill="1" applyBorder="1" applyAlignment="1" applyProtection="1">
      <alignment horizontal="left" vertical="top" wrapText="1"/>
      <protection locked="0"/>
    </xf>
    <xf numFmtId="0" fontId="0" fillId="27" borderId="213" xfId="0" applyFill="1" applyBorder="1" applyAlignment="1" applyProtection="1">
      <alignment horizontal="left" vertical="top" wrapText="1"/>
      <protection locked="0"/>
    </xf>
    <xf numFmtId="0" fontId="27" fillId="24" borderId="48" xfId="0" applyFont="1" applyFill="1" applyBorder="1" applyAlignment="1" applyProtection="1">
      <alignment horizontal="left" vertical="top" wrapText="1"/>
    </xf>
    <xf numFmtId="0" fontId="27" fillId="24" borderId="49" xfId="0" applyFont="1" applyFill="1" applyBorder="1" applyAlignment="1" applyProtection="1">
      <alignment horizontal="left" vertical="top" wrapText="1"/>
    </xf>
    <xf numFmtId="0" fontId="27" fillId="24" borderId="50" xfId="0" applyFont="1" applyFill="1" applyBorder="1" applyAlignment="1" applyProtection="1">
      <alignment horizontal="left" vertical="top" wrapText="1"/>
    </xf>
    <xf numFmtId="0" fontId="0" fillId="27" borderId="214" xfId="0" applyFill="1" applyBorder="1" applyAlignment="1" applyProtection="1">
      <alignment horizontal="left" vertical="top" wrapText="1"/>
      <protection locked="0"/>
    </xf>
    <xf numFmtId="0" fontId="0" fillId="27" borderId="215" xfId="0" applyFill="1" applyBorder="1" applyAlignment="1" applyProtection="1">
      <alignment horizontal="left" vertical="top" wrapText="1"/>
      <protection locked="0"/>
    </xf>
    <xf numFmtId="0" fontId="195" fillId="0" borderId="268" xfId="0" applyFont="1" applyBorder="1" applyAlignment="1">
      <alignment horizontal="center" vertical="center"/>
    </xf>
    <xf numFmtId="0" fontId="193" fillId="0" borderId="268" xfId="0" applyFont="1" applyBorder="1" applyAlignment="1">
      <alignment horizontal="center" vertical="center"/>
    </xf>
    <xf numFmtId="0" fontId="193" fillId="0" borderId="48" xfId="0" applyFont="1" applyBorder="1" applyAlignment="1">
      <alignment horizontal="center" vertical="center"/>
    </xf>
    <xf numFmtId="0" fontId="193" fillId="0" borderId="50" xfId="0" applyFont="1" applyBorder="1" applyAlignment="1">
      <alignment horizontal="center" vertical="center"/>
    </xf>
    <xf numFmtId="0" fontId="193" fillId="0" borderId="262" xfId="0" applyFont="1" applyBorder="1" applyAlignment="1">
      <alignment horizontal="center" vertical="center"/>
    </xf>
    <xf numFmtId="0" fontId="193" fillId="50" borderId="48" xfId="0" applyFont="1" applyFill="1" applyBorder="1" applyAlignment="1">
      <alignment horizontal="center" vertical="center" wrapText="1"/>
    </xf>
    <xf numFmtId="0" fontId="193" fillId="50" borderId="50" xfId="0" applyFont="1" applyFill="1" applyBorder="1" applyAlignment="1">
      <alignment horizontal="center" vertical="center" wrapText="1"/>
    </xf>
    <xf numFmtId="0" fontId="193" fillId="0" borderId="49" xfId="0" applyFont="1" applyBorder="1" applyAlignment="1">
      <alignment horizontal="center" vertical="center"/>
    </xf>
    <xf numFmtId="0" fontId="27" fillId="0" borderId="71" xfId="0" applyNumberFormat="1" applyFont="1" applyFill="1" applyBorder="1" applyAlignment="1" applyProtection="1">
      <alignment horizontal="left" vertical="center"/>
      <protection locked="0"/>
    </xf>
    <xf numFmtId="0" fontId="27" fillId="0" borderId="72" xfId="0" applyNumberFormat="1" applyFont="1" applyFill="1" applyBorder="1" applyAlignment="1" applyProtection="1">
      <alignment horizontal="left" vertical="center"/>
      <protection locked="0"/>
    </xf>
    <xf numFmtId="0" fontId="27" fillId="0" borderId="133" xfId="0" applyNumberFormat="1" applyFont="1" applyFill="1" applyBorder="1" applyAlignment="1" applyProtection="1">
      <alignment horizontal="left" vertical="center"/>
      <protection locked="0"/>
    </xf>
    <xf numFmtId="0" fontId="27" fillId="0" borderId="71" xfId="0" applyFont="1" applyFill="1" applyBorder="1" applyAlignment="1" applyProtection="1">
      <alignment horizontal="left" vertical="center"/>
      <protection locked="0"/>
    </xf>
    <xf numFmtId="0" fontId="27" fillId="0" borderId="72" xfId="0" applyFont="1" applyFill="1" applyBorder="1" applyAlignment="1" applyProtection="1">
      <alignment horizontal="left" vertical="center"/>
      <protection locked="0"/>
    </xf>
    <xf numFmtId="0" fontId="27" fillId="0" borderId="133" xfId="0" applyFont="1" applyFill="1" applyBorder="1" applyAlignment="1" applyProtection="1">
      <alignment horizontal="left" vertical="center"/>
      <protection locked="0"/>
    </xf>
    <xf numFmtId="0" fontId="28" fillId="24" borderId="0" xfId="0" applyFont="1" applyFill="1" applyBorder="1" applyAlignment="1" applyProtection="1">
      <alignment horizontal="left" vertical="top" wrapText="1"/>
    </xf>
    <xf numFmtId="211" fontId="41" fillId="43" borderId="71" xfId="0" applyNumberFormat="1" applyFont="1" applyFill="1" applyBorder="1" applyAlignment="1" applyProtection="1">
      <alignment horizontal="center" vertical="center"/>
      <protection locked="0" hidden="1"/>
    </xf>
    <xf numFmtId="211" fontId="41" fillId="43" borderId="72" xfId="0" applyNumberFormat="1" applyFont="1" applyFill="1" applyBorder="1" applyAlignment="1" applyProtection="1">
      <alignment horizontal="center" vertical="center"/>
      <protection locked="0" hidden="1"/>
    </xf>
    <xf numFmtId="211" fontId="41" fillId="43" borderId="133" xfId="0" applyNumberFormat="1" applyFont="1" applyFill="1" applyBorder="1" applyAlignment="1" applyProtection="1">
      <alignment horizontal="center" vertical="center"/>
      <protection locked="0" hidden="1"/>
    </xf>
    <xf numFmtId="0" fontId="193" fillId="50" borderId="48" xfId="0" applyFont="1" applyFill="1" applyBorder="1" applyAlignment="1">
      <alignment horizontal="center" vertical="center"/>
    </xf>
    <xf numFmtId="0" fontId="193" fillId="50" borderId="50" xfId="0" applyFont="1" applyFill="1" applyBorder="1" applyAlignment="1">
      <alignment horizontal="center" vertical="center"/>
    </xf>
    <xf numFmtId="0" fontId="196" fillId="0" borderId="268" xfId="0" applyFont="1" applyBorder="1" applyAlignment="1">
      <alignment horizontal="center" vertical="center" wrapText="1"/>
    </xf>
    <xf numFmtId="0" fontId="193" fillId="0" borderId="48" xfId="0" applyFont="1" applyBorder="1" applyAlignment="1">
      <alignment horizontal="center" vertical="center" shrinkToFit="1"/>
    </xf>
    <xf numFmtId="0" fontId="193" fillId="0" borderId="49" xfId="0" applyFont="1" applyBorder="1" applyAlignment="1">
      <alignment horizontal="center" vertical="center" shrinkToFit="1"/>
    </xf>
    <xf numFmtId="0" fontId="193" fillId="0" borderId="50" xfId="0" applyFont="1" applyBorder="1" applyAlignment="1">
      <alignment horizontal="center" vertical="center" shrinkToFit="1"/>
    </xf>
    <xf numFmtId="0" fontId="193" fillId="0" borderId="267" xfId="0" applyFont="1" applyFill="1" applyBorder="1" applyAlignment="1">
      <alignment horizontal="left" vertical="center" wrapText="1"/>
    </xf>
    <xf numFmtId="0" fontId="193" fillId="0" borderId="0" xfId="0" applyFont="1" applyFill="1" applyBorder="1" applyAlignment="1">
      <alignment horizontal="left" vertical="center" wrapText="1"/>
    </xf>
    <xf numFmtId="0" fontId="28" fillId="0" borderId="0" xfId="0" applyNumberFormat="1" applyFont="1" applyFill="1" applyBorder="1" applyAlignment="1" applyProtection="1">
      <alignment vertical="center" shrinkToFit="1"/>
      <protection hidden="1"/>
    </xf>
    <xf numFmtId="179" fontId="28" fillId="0" borderId="129" xfId="0" applyNumberFormat="1" applyFont="1" applyFill="1" applyBorder="1" applyAlignment="1" applyProtection="1">
      <alignment horizontal="left" vertical="top" wrapText="1"/>
      <protection locked="0"/>
    </xf>
    <xf numFmtId="179" fontId="28" fillId="0" borderId="97" xfId="0" applyNumberFormat="1" applyFont="1" applyFill="1" applyBorder="1" applyAlignment="1" applyProtection="1">
      <alignment horizontal="left" vertical="top" wrapText="1"/>
      <protection locked="0"/>
    </xf>
    <xf numFmtId="179" fontId="28" fillId="0" borderId="216" xfId="0" applyNumberFormat="1" applyFont="1" applyFill="1" applyBorder="1" applyAlignment="1" applyProtection="1">
      <alignment horizontal="left" vertical="top" wrapText="1"/>
      <protection locked="0"/>
    </xf>
    <xf numFmtId="179" fontId="28" fillId="0" borderId="88" xfId="0" applyNumberFormat="1" applyFont="1" applyFill="1" applyBorder="1" applyAlignment="1" applyProtection="1">
      <alignment horizontal="left" vertical="top" wrapText="1"/>
      <protection locked="0"/>
    </xf>
    <xf numFmtId="179" fontId="28" fillId="0" borderId="0" xfId="0" applyNumberFormat="1" applyFont="1" applyFill="1" applyBorder="1" applyAlignment="1" applyProtection="1">
      <alignment horizontal="left" vertical="top" wrapText="1"/>
      <protection locked="0"/>
    </xf>
    <xf numFmtId="179" fontId="28" fillId="0" borderId="86" xfId="0" applyNumberFormat="1" applyFont="1" applyFill="1" applyBorder="1" applyAlignment="1" applyProtection="1">
      <alignment horizontal="left" vertical="top" wrapText="1"/>
      <protection locked="0"/>
    </xf>
    <xf numFmtId="179" fontId="28" fillId="0" borderId="151" xfId="0" applyNumberFormat="1" applyFont="1" applyFill="1" applyBorder="1" applyAlignment="1" applyProtection="1">
      <alignment horizontal="left" vertical="top" wrapText="1"/>
      <protection locked="0"/>
    </xf>
    <xf numFmtId="179" fontId="28" fillId="0" borderId="81" xfId="0" applyNumberFormat="1" applyFont="1" applyFill="1" applyBorder="1" applyAlignment="1" applyProtection="1">
      <alignment horizontal="left" vertical="top" wrapText="1"/>
      <protection locked="0"/>
    </xf>
    <xf numFmtId="179" fontId="28" fillId="0" borderId="57" xfId="0" applyNumberFormat="1" applyFont="1" applyFill="1" applyBorder="1" applyAlignment="1" applyProtection="1">
      <alignment horizontal="left" vertical="top" wrapText="1"/>
      <protection locked="0"/>
    </xf>
    <xf numFmtId="179" fontId="28" fillId="0" borderId="117" xfId="0" applyNumberFormat="1" applyFont="1" applyFill="1" applyBorder="1" applyAlignment="1" applyProtection="1">
      <alignment horizontal="left" vertical="top" wrapText="1"/>
      <protection locked="0"/>
    </xf>
    <xf numFmtId="179" fontId="28" fillId="0" borderId="84" xfId="0" applyNumberFormat="1" applyFont="1" applyFill="1" applyBorder="1" applyAlignment="1" applyProtection="1">
      <alignment horizontal="left" vertical="center" wrapText="1"/>
      <protection locked="0"/>
    </xf>
    <xf numFmtId="0" fontId="7" fillId="24" borderId="41" xfId="29" applyFill="1" applyBorder="1" applyAlignment="1" applyProtection="1">
      <alignment horizontal="left" vertical="center" wrapText="1" indent="1"/>
      <protection hidden="1"/>
    </xf>
    <xf numFmtId="179" fontId="28" fillId="0" borderId="50" xfId="0" applyNumberFormat="1" applyFont="1" applyFill="1" applyBorder="1" applyAlignment="1" applyProtection="1">
      <alignment horizontal="left" vertical="center" wrapText="1"/>
      <protection locked="0"/>
    </xf>
    <xf numFmtId="179" fontId="28" fillId="0" borderId="102" xfId="0" applyNumberFormat="1" applyFont="1" applyFill="1" applyBorder="1" applyAlignment="1" applyProtection="1">
      <alignment horizontal="left" vertical="top" wrapText="1"/>
      <protection locked="0"/>
    </xf>
    <xf numFmtId="179" fontId="28" fillId="0" borderId="52" xfId="0" applyNumberFormat="1" applyFont="1" applyFill="1" applyBorder="1" applyAlignment="1" applyProtection="1">
      <alignment horizontal="left" vertical="top" wrapText="1"/>
      <protection locked="0"/>
    </xf>
    <xf numFmtId="179" fontId="28" fillId="0" borderId="53" xfId="0" applyNumberFormat="1" applyFont="1" applyFill="1" applyBorder="1" applyAlignment="1" applyProtection="1">
      <alignment horizontal="left" vertical="top" wrapText="1"/>
      <protection locked="0"/>
    </xf>
    <xf numFmtId="179" fontId="28" fillId="0" borderId="103" xfId="0" applyNumberFormat="1" applyFont="1" applyFill="1" applyBorder="1" applyAlignment="1" applyProtection="1">
      <alignment horizontal="left" vertical="top" wrapText="1"/>
      <protection locked="0"/>
    </xf>
    <xf numFmtId="179" fontId="28" fillId="0" borderId="154" xfId="0" applyNumberFormat="1" applyFont="1" applyFill="1" applyBorder="1" applyAlignment="1" applyProtection="1">
      <alignment horizontal="left" vertical="top" wrapText="1"/>
      <protection locked="0"/>
    </xf>
    <xf numFmtId="179" fontId="28" fillId="0" borderId="110" xfId="0" applyNumberFormat="1" applyFont="1" applyFill="1" applyBorder="1" applyAlignment="1" applyProtection="1">
      <alignment horizontal="left" vertical="top" wrapText="1"/>
      <protection locked="0"/>
    </xf>
    <xf numFmtId="179" fontId="37" fillId="26" borderId="121" xfId="0" applyNumberFormat="1" applyFont="1" applyFill="1" applyBorder="1" applyAlignment="1" applyProtection="1">
      <alignment horizontal="left" vertical="center"/>
      <protection hidden="1"/>
    </xf>
    <xf numFmtId="179" fontId="37" fillId="26" borderId="122" xfId="0" applyNumberFormat="1" applyFont="1" applyFill="1" applyBorder="1" applyAlignment="1" applyProtection="1">
      <alignment horizontal="left" vertical="center"/>
      <protection hidden="1"/>
    </xf>
    <xf numFmtId="179" fontId="37" fillId="26" borderId="172" xfId="0" applyNumberFormat="1" applyFont="1" applyFill="1" applyBorder="1" applyAlignment="1" applyProtection="1">
      <alignment horizontal="left" vertical="center"/>
      <protection hidden="1"/>
    </xf>
    <xf numFmtId="179" fontId="28" fillId="0" borderId="84" xfId="0" applyNumberFormat="1" applyFont="1" applyFill="1" applyBorder="1" applyAlignment="1" applyProtection="1">
      <alignment horizontal="left" vertical="top" wrapText="1"/>
      <protection locked="0"/>
    </xf>
    <xf numFmtId="179" fontId="28" fillId="0" borderId="49" xfId="0" applyNumberFormat="1" applyFont="1" applyFill="1" applyBorder="1" applyAlignment="1" applyProtection="1">
      <alignment horizontal="left" vertical="top" wrapText="1"/>
      <protection locked="0"/>
    </xf>
    <xf numFmtId="179" fontId="28" fillId="0" borderId="50" xfId="0" applyNumberFormat="1" applyFont="1" applyFill="1" applyBorder="1" applyAlignment="1" applyProtection="1">
      <alignment horizontal="left" vertical="top" wrapText="1"/>
      <protection locked="0"/>
    </xf>
    <xf numFmtId="179" fontId="37" fillId="0" borderId="103" xfId="0" applyNumberFormat="1" applyFont="1" applyFill="1" applyBorder="1" applyAlignment="1" applyProtection="1">
      <alignment horizontal="left" vertical="center"/>
      <protection locked="0"/>
    </xf>
    <xf numFmtId="179" fontId="37" fillId="46" borderId="154" xfId="0" applyNumberFormat="1" applyFont="1" applyFill="1" applyBorder="1" applyAlignment="1" applyProtection="1">
      <alignment horizontal="left" vertical="center"/>
      <protection locked="0"/>
    </xf>
    <xf numFmtId="179" fontId="37" fillId="46" borderId="175" xfId="0" applyNumberFormat="1" applyFont="1" applyFill="1" applyBorder="1" applyAlignment="1" applyProtection="1">
      <alignment horizontal="left" vertical="center"/>
      <protection locked="0"/>
    </xf>
    <xf numFmtId="179" fontId="37" fillId="30" borderId="73" xfId="0" applyNumberFormat="1" applyFont="1" applyFill="1" applyBorder="1" applyAlignment="1" applyProtection="1">
      <alignment horizontal="left" vertical="center"/>
      <protection hidden="1"/>
    </xf>
    <xf numFmtId="179" fontId="37" fillId="30" borderId="79" xfId="0" applyNumberFormat="1" applyFont="1" applyFill="1" applyBorder="1" applyAlignment="1" applyProtection="1">
      <alignment horizontal="left" vertical="center"/>
      <protection hidden="1"/>
    </xf>
    <xf numFmtId="179" fontId="37" fillId="30" borderId="138" xfId="0" applyNumberFormat="1" applyFont="1" applyFill="1" applyBorder="1" applyAlignment="1" applyProtection="1">
      <alignment horizontal="left" vertical="center"/>
      <protection hidden="1"/>
    </xf>
    <xf numFmtId="179" fontId="28" fillId="0" borderId="83" xfId="0" applyNumberFormat="1" applyFont="1" applyFill="1" applyBorder="1" applyAlignment="1" applyProtection="1">
      <alignment horizontal="left" vertical="top" wrapText="1"/>
      <protection locked="0"/>
    </xf>
    <xf numFmtId="179" fontId="28" fillId="0" borderId="129" xfId="0" applyNumberFormat="1" applyFont="1" applyFill="1" applyBorder="1" applyAlignment="1" applyProtection="1">
      <alignment horizontal="left" vertical="center" wrapText="1"/>
      <protection locked="0"/>
    </xf>
    <xf numFmtId="179" fontId="28" fillId="0" borderId="97" xfId="0" applyNumberFormat="1" applyFont="1" applyFill="1" applyBorder="1" applyAlignment="1" applyProtection="1">
      <alignment horizontal="left" vertical="center" wrapText="1"/>
      <protection locked="0"/>
    </xf>
    <xf numFmtId="179" fontId="28" fillId="0" borderId="216" xfId="0" applyNumberFormat="1" applyFont="1" applyFill="1" applyBorder="1" applyAlignment="1" applyProtection="1">
      <alignment horizontal="left" vertical="center" wrapText="1"/>
      <protection locked="0"/>
    </xf>
    <xf numFmtId="179" fontId="37" fillId="28" borderId="71" xfId="0" applyNumberFormat="1" applyFont="1" applyFill="1" applyBorder="1" applyAlignment="1" applyProtection="1">
      <alignment horizontal="center" vertical="center"/>
      <protection hidden="1"/>
    </xf>
    <xf numFmtId="179" fontId="37" fillId="28" borderId="133" xfId="0" applyNumberFormat="1" applyFont="1" applyFill="1" applyBorder="1" applyAlignment="1" applyProtection="1">
      <alignment horizontal="center" vertical="center"/>
      <protection hidden="1"/>
    </xf>
    <xf numFmtId="182" fontId="15" fillId="24" borderId="73" xfId="0" applyNumberFormat="1" applyFont="1" applyFill="1" applyBorder="1" applyAlignment="1" applyProtection="1">
      <alignment horizontal="center" vertical="top"/>
      <protection hidden="1"/>
    </xf>
    <xf numFmtId="182" fontId="15" fillId="24" borderId="108" xfId="0" applyNumberFormat="1" applyFont="1" applyFill="1" applyBorder="1" applyAlignment="1" applyProtection="1">
      <alignment horizontal="center" vertical="top"/>
      <protection hidden="1"/>
    </xf>
    <xf numFmtId="179" fontId="28" fillId="0" borderId="102" xfId="0" applyNumberFormat="1" applyFont="1" applyFill="1" applyBorder="1" applyAlignment="1" applyProtection="1">
      <alignment horizontal="left" vertical="center" wrapText="1"/>
      <protection locked="0"/>
    </xf>
    <xf numFmtId="179" fontId="28" fillId="0" borderId="52" xfId="0" applyNumberFormat="1" applyFont="1" applyFill="1" applyBorder="1" applyAlignment="1" applyProtection="1">
      <alignment horizontal="left" vertical="center" wrapText="1"/>
      <protection locked="0"/>
    </xf>
    <xf numFmtId="179" fontId="28" fillId="0" borderId="53" xfId="0" applyNumberFormat="1" applyFont="1" applyFill="1" applyBorder="1" applyAlignment="1" applyProtection="1">
      <alignment horizontal="left" vertical="center" wrapText="1"/>
      <protection locked="0"/>
    </xf>
    <xf numFmtId="179" fontId="28" fillId="0" borderId="112" xfId="0" applyNumberFormat="1" applyFont="1" applyFill="1" applyBorder="1" applyAlignment="1" applyProtection="1">
      <alignment horizontal="left" vertical="top" wrapText="1"/>
      <protection locked="0"/>
    </xf>
    <xf numFmtId="179" fontId="37" fillId="26" borderId="90" xfId="0" applyNumberFormat="1" applyFont="1" applyFill="1" applyBorder="1" applyAlignment="1" applyProtection="1">
      <alignment horizontal="left" vertical="center"/>
      <protection hidden="1"/>
    </xf>
    <xf numFmtId="179" fontId="37" fillId="26" borderId="125" xfId="0" applyNumberFormat="1" applyFont="1" applyFill="1" applyBorder="1" applyAlignment="1" applyProtection="1">
      <alignment horizontal="left" vertical="center"/>
      <protection hidden="1"/>
    </xf>
    <xf numFmtId="179" fontId="37" fillId="26" borderId="217" xfId="0" applyNumberFormat="1" applyFont="1" applyFill="1" applyBorder="1" applyAlignment="1" applyProtection="1">
      <alignment horizontal="left" vertical="center"/>
      <protection hidden="1"/>
    </xf>
    <xf numFmtId="0" fontId="0" fillId="0" borderId="0" xfId="0" applyAlignment="1" applyProtection="1">
      <alignment horizontal="left" vertical="top" wrapText="1"/>
      <protection locked="0"/>
    </xf>
    <xf numFmtId="0" fontId="0" fillId="0" borderId="86" xfId="0" applyBorder="1" applyAlignment="1" applyProtection="1">
      <alignment horizontal="left" vertical="top" wrapText="1"/>
      <protection locked="0"/>
    </xf>
    <xf numFmtId="0" fontId="86" fillId="0" borderId="103" xfId="0" applyNumberFormat="1" applyFont="1" applyFill="1" applyBorder="1" applyAlignment="1" applyProtection="1">
      <alignment horizontal="left" vertical="center" shrinkToFit="1"/>
      <protection hidden="1"/>
    </xf>
    <xf numFmtId="0" fontId="86" fillId="0" borderId="154" xfId="0" applyNumberFormat="1" applyFont="1" applyFill="1" applyBorder="1" applyAlignment="1" applyProtection="1">
      <alignment horizontal="left" vertical="center" shrinkToFit="1"/>
      <protection hidden="1"/>
    </xf>
    <xf numFmtId="0" fontId="86" fillId="0" borderId="110" xfId="0" applyNumberFormat="1" applyFont="1" applyFill="1" applyBorder="1" applyAlignment="1" applyProtection="1">
      <alignment horizontal="left" vertical="center" shrinkToFit="1"/>
      <protection hidden="1"/>
    </xf>
    <xf numFmtId="0" fontId="27" fillId="24" borderId="49" xfId="0" applyFont="1" applyFill="1" applyBorder="1" applyAlignment="1" applyProtection="1">
      <alignment vertical="center" shrinkToFit="1"/>
      <protection hidden="1"/>
    </xf>
    <xf numFmtId="0" fontId="0" fillId="0" borderId="49" xfId="0" applyBorder="1" applyAlignment="1">
      <alignment vertical="center" shrinkToFit="1"/>
    </xf>
    <xf numFmtId="0" fontId="27" fillId="24" borderId="206" xfId="0" applyFont="1" applyFill="1" applyBorder="1" applyAlignment="1" applyProtection="1">
      <alignment vertical="center" shrinkToFit="1"/>
      <protection hidden="1"/>
    </xf>
    <xf numFmtId="0" fontId="0" fillId="0" borderId="120" xfId="0" applyBorder="1" applyAlignment="1">
      <alignment vertical="center" shrinkToFit="1"/>
    </xf>
    <xf numFmtId="0" fontId="27" fillId="24" borderId="48" xfId="0" applyFont="1" applyFill="1" applyBorder="1" applyAlignment="1" applyProtection="1">
      <alignment vertical="center" shrinkToFit="1"/>
      <protection hidden="1"/>
    </xf>
    <xf numFmtId="0" fontId="0" fillId="0" borderId="49" xfId="0" applyBorder="1" applyAlignment="1">
      <alignment vertical="center"/>
    </xf>
    <xf numFmtId="0" fontId="27" fillId="24" borderId="48" xfId="0" applyFont="1" applyFill="1" applyBorder="1" applyAlignment="1" applyProtection="1">
      <alignment vertical="center"/>
      <protection hidden="1"/>
    </xf>
    <xf numFmtId="0" fontId="27" fillId="24" borderId="48" xfId="0" applyFont="1" applyFill="1" applyBorder="1" applyAlignment="1" applyProtection="1">
      <alignment horizontal="left" vertical="center" shrinkToFit="1"/>
      <protection hidden="1"/>
    </xf>
    <xf numFmtId="0" fontId="27" fillId="24" borderId="49" xfId="0" applyFont="1" applyFill="1" applyBorder="1" applyAlignment="1" applyProtection="1">
      <alignment horizontal="left" vertical="center" shrinkToFit="1"/>
      <protection hidden="1"/>
    </xf>
    <xf numFmtId="179" fontId="28" fillId="34" borderId="81" xfId="0" applyNumberFormat="1" applyFont="1" applyFill="1" applyBorder="1" applyAlignment="1" applyProtection="1">
      <alignment horizontal="left" vertical="center" wrapText="1"/>
      <protection locked="0"/>
    </xf>
    <xf numFmtId="179" fontId="28" fillId="34" borderId="57" xfId="0" applyNumberFormat="1" applyFont="1" applyFill="1" applyBorder="1" applyAlignment="1" applyProtection="1">
      <alignment horizontal="left" vertical="center" wrapText="1"/>
      <protection locked="0"/>
    </xf>
    <xf numFmtId="179" fontId="28" fillId="34" borderId="58" xfId="0" applyNumberFormat="1" applyFont="1" applyFill="1" applyBorder="1" applyAlignment="1" applyProtection="1">
      <alignment horizontal="left" vertical="center" wrapText="1"/>
      <protection locked="0"/>
    </xf>
    <xf numFmtId="182" fontId="25" fillId="24" borderId="77" xfId="0" applyNumberFormat="1" applyFont="1" applyFill="1" applyBorder="1" applyAlignment="1" applyProtection="1">
      <alignment horizontal="center" vertical="center" wrapText="1"/>
      <protection hidden="1"/>
    </xf>
    <xf numFmtId="182" fontId="25" fillId="24" borderId="78" xfId="0" applyNumberFormat="1" applyFont="1" applyFill="1" applyBorder="1" applyAlignment="1" applyProtection="1">
      <alignment horizontal="center" vertical="center" wrapText="1"/>
      <protection hidden="1"/>
    </xf>
    <xf numFmtId="182" fontId="28" fillId="24" borderId="80" xfId="0" applyNumberFormat="1" applyFont="1" applyFill="1" applyBorder="1" applyAlignment="1" applyProtection="1">
      <alignment horizontal="center" vertical="center" wrapText="1"/>
      <protection hidden="1"/>
    </xf>
    <xf numFmtId="182" fontId="28" fillId="24" borderId="78" xfId="0" applyNumberFormat="1" applyFont="1" applyFill="1" applyBorder="1" applyAlignment="1" applyProtection="1">
      <alignment horizontal="center" vertical="center" wrapText="1"/>
      <protection hidden="1"/>
    </xf>
    <xf numFmtId="0" fontId="6" fillId="24" borderId="0" xfId="0" applyFont="1" applyFill="1" applyBorder="1" applyAlignment="1">
      <alignment horizontal="left" vertical="top" wrapText="1"/>
    </xf>
    <xf numFmtId="0" fontId="27" fillId="0" borderId="57" xfId="0" applyFont="1" applyBorder="1" applyAlignment="1" applyProtection="1">
      <alignment horizontal="right" vertical="center" shrinkToFit="1"/>
    </xf>
    <xf numFmtId="0" fontId="27" fillId="27" borderId="23" xfId="0" applyFont="1" applyFill="1" applyBorder="1" applyAlignment="1" applyProtection="1">
      <alignment horizontal="center" vertical="center"/>
      <protection locked="0"/>
    </xf>
    <xf numFmtId="0" fontId="27" fillId="27" borderId="59" xfId="0" applyFont="1" applyFill="1" applyBorder="1" applyAlignment="1" applyProtection="1">
      <alignment horizontal="center" vertical="center"/>
      <protection locked="0"/>
    </xf>
    <xf numFmtId="0" fontId="27" fillId="27" borderId="22" xfId="0" applyFont="1" applyFill="1" applyBorder="1" applyAlignment="1" applyProtection="1">
      <alignment horizontal="center" vertical="center"/>
      <protection locked="0"/>
    </xf>
    <xf numFmtId="0" fontId="27" fillId="24" borderId="59" xfId="0" applyFont="1" applyFill="1" applyBorder="1" applyAlignment="1">
      <alignment horizontal="center" vertical="center" wrapText="1"/>
    </xf>
    <xf numFmtId="0" fontId="27" fillId="24" borderId="20" xfId="0" applyFont="1" applyFill="1" applyBorder="1" applyAlignment="1">
      <alignment horizontal="center" vertical="center" wrapText="1"/>
    </xf>
    <xf numFmtId="0" fontId="27" fillId="24" borderId="10" xfId="0" applyFont="1" applyFill="1" applyBorder="1" applyAlignment="1">
      <alignment horizontal="center" vertical="center"/>
    </xf>
    <xf numFmtId="0" fontId="27" fillId="24" borderId="48" xfId="0" applyFont="1" applyFill="1" applyBorder="1" applyAlignment="1">
      <alignment horizontal="center" vertical="center"/>
    </xf>
    <xf numFmtId="0" fontId="27" fillId="24" borderId="50" xfId="0" applyFont="1" applyFill="1" applyBorder="1" applyAlignment="1">
      <alignment horizontal="center" vertical="center"/>
    </xf>
    <xf numFmtId="0" fontId="27" fillId="24" borderId="23" xfId="0" applyFont="1" applyFill="1" applyBorder="1" applyAlignment="1">
      <alignment horizontal="center" vertical="center" wrapText="1"/>
    </xf>
    <xf numFmtId="0" fontId="27" fillId="24" borderId="59" xfId="0" applyFont="1" applyFill="1" applyBorder="1" applyAlignment="1">
      <alignment horizontal="center" vertical="center"/>
    </xf>
    <xf numFmtId="0" fontId="27" fillId="24" borderId="22" xfId="0" applyFont="1" applyFill="1" applyBorder="1" applyAlignment="1">
      <alignment horizontal="center" vertical="center"/>
    </xf>
    <xf numFmtId="0" fontId="28" fillId="0" borderId="0" xfId="0" applyFont="1" applyFill="1" applyBorder="1" applyAlignment="1" applyProtection="1">
      <alignment horizontal="left" vertical="center"/>
    </xf>
    <xf numFmtId="0" fontId="28"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28" fillId="42" borderId="0" xfId="0" applyFont="1" applyFill="1" applyBorder="1" applyAlignment="1" applyProtection="1">
      <alignment horizontal="left" vertical="center"/>
    </xf>
    <xf numFmtId="0" fontId="86" fillId="0" borderId="103" xfId="0" applyNumberFormat="1" applyFont="1" applyFill="1" applyBorder="1" applyAlignment="1" applyProtection="1">
      <alignment horizontal="left" vertical="center" shrinkToFit="1"/>
    </xf>
    <xf numFmtId="0" fontId="86" fillId="0" borderId="154" xfId="0" applyNumberFormat="1" applyFont="1" applyFill="1" applyBorder="1" applyAlignment="1" applyProtection="1">
      <alignment horizontal="left" vertical="center" shrinkToFit="1"/>
    </xf>
    <xf numFmtId="0" fontId="86" fillId="0" borderId="110" xfId="0" applyNumberFormat="1" applyFont="1" applyFill="1" applyBorder="1" applyAlignment="1" applyProtection="1">
      <alignment horizontal="left" vertical="center" shrinkToFit="1"/>
    </xf>
    <xf numFmtId="2" fontId="27" fillId="38" borderId="10" xfId="0" applyNumberFormat="1" applyFont="1" applyFill="1" applyBorder="1" applyAlignment="1" applyProtection="1">
      <alignment horizontal="center"/>
      <protection hidden="1"/>
    </xf>
    <xf numFmtId="2" fontId="27" fillId="38" borderId="23" xfId="0" applyNumberFormat="1" applyFont="1" applyFill="1" applyBorder="1" applyAlignment="1" applyProtection="1">
      <alignment horizontal="center"/>
      <protection hidden="1"/>
    </xf>
    <xf numFmtId="0" fontId="6" fillId="38" borderId="51" xfId="0" applyFont="1" applyFill="1" applyBorder="1" applyAlignment="1" applyProtection="1">
      <alignment horizontal="center" vertical="center"/>
      <protection hidden="1"/>
    </xf>
    <xf numFmtId="0" fontId="6" fillId="38" borderId="53" xfId="0" applyFont="1" applyFill="1" applyBorder="1" applyAlignment="1" applyProtection="1">
      <alignment horizontal="center" vertical="center"/>
      <protection hidden="1"/>
    </xf>
    <xf numFmtId="0" fontId="6" fillId="38" borderId="24" xfId="0" applyFont="1" applyFill="1" applyBorder="1" applyAlignment="1" applyProtection="1">
      <alignment horizontal="center" vertical="center"/>
      <protection hidden="1"/>
    </xf>
    <xf numFmtId="0" fontId="6" fillId="38" borderId="58" xfId="0" applyFont="1" applyFill="1" applyBorder="1" applyAlignment="1" applyProtection="1">
      <alignment horizontal="center" vertical="center"/>
      <protection hidden="1"/>
    </xf>
    <xf numFmtId="0" fontId="193" fillId="50" borderId="48" xfId="0" applyFont="1" applyFill="1" applyBorder="1" applyAlignment="1" applyProtection="1">
      <alignment horizontal="center" vertical="center"/>
      <protection locked="0"/>
    </xf>
    <xf numFmtId="0" fontId="193" fillId="50" borderId="50" xfId="0" applyFont="1" applyFill="1" applyBorder="1" applyAlignment="1" applyProtection="1">
      <alignment horizontal="center" vertical="center"/>
      <protection locked="0"/>
    </xf>
    <xf numFmtId="38" fontId="193" fillId="0" borderId="262" xfId="35" applyFont="1" applyFill="1" applyBorder="1" applyAlignment="1" applyProtection="1">
      <alignment horizontal="center" vertical="center"/>
      <protection locked="0"/>
    </xf>
    <xf numFmtId="0" fontId="193" fillId="0" borderId="262" xfId="0" applyFont="1" applyFill="1" applyBorder="1" applyAlignment="1" applyProtection="1">
      <alignment horizontal="center" vertical="center"/>
      <protection locked="0"/>
    </xf>
    <xf numFmtId="0" fontId="193" fillId="0" borderId="262" xfId="0" applyFont="1" applyBorder="1" applyAlignment="1" applyProtection="1">
      <alignment horizontal="center" vertical="center"/>
      <protection locked="0"/>
    </xf>
    <xf numFmtId="38" fontId="193" fillId="50" borderId="262" xfId="35" applyFont="1" applyFill="1" applyBorder="1" applyAlignment="1" applyProtection="1">
      <alignment horizontal="center" vertical="center"/>
      <protection locked="0"/>
    </xf>
    <xf numFmtId="0" fontId="193" fillId="0" borderId="262" xfId="0" applyFont="1" applyBorder="1" applyAlignment="1" applyProtection="1">
      <alignment horizontal="center" vertical="center"/>
      <protection locked="0"/>
    </xf>
    <xf numFmtId="0" fontId="193" fillId="50" borderId="48" xfId="0" applyFont="1" applyFill="1" applyBorder="1" applyAlignment="1" applyProtection="1">
      <alignment horizontal="center" vertical="center" wrapText="1"/>
      <protection locked="0"/>
    </xf>
    <xf numFmtId="0" fontId="193" fillId="50" borderId="50" xfId="0" applyFont="1" applyFill="1" applyBorder="1" applyAlignment="1" applyProtection="1">
      <alignment horizontal="center" vertical="center" wrapText="1"/>
      <protection locked="0"/>
    </xf>
    <xf numFmtId="38" fontId="193" fillId="50" borderId="268" xfId="35" applyFont="1" applyFill="1" applyBorder="1" applyAlignment="1" applyProtection="1">
      <alignment horizontal="center" vertical="center"/>
      <protection locked="0"/>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_070627LCCO2計算" xfId="44"/>
    <cellStyle name="標準_070627LCCO2計算_100308事業者別CO2排出係数シート案" xfId="45"/>
    <cellStyle name="標準_HPサンプル" xfId="48"/>
    <cellStyle name="表示済みのハイパーリンク" xfId="46" builtinId="9"/>
    <cellStyle name="良い" xfId="47" builtinId="26" customBuiltin="1"/>
  </cellStyles>
  <dxfs count="101">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rgb="FFFFFF00"/>
        </patternFill>
      </fill>
    </dxf>
    <dxf>
      <fill>
        <patternFill>
          <bgColor indexed="10"/>
        </patternFill>
      </fill>
    </dxf>
    <dxf>
      <fill>
        <patternFill>
          <bgColor indexed="10"/>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indexed="22"/>
        </patternFill>
      </fill>
    </dxf>
    <dxf>
      <fill>
        <patternFill patternType="lightTrellis"/>
      </fill>
    </dxf>
    <dxf>
      <fill>
        <patternFill>
          <bgColor rgb="FFCCFFFF"/>
        </patternFill>
      </fill>
    </dxf>
    <dxf>
      <fill>
        <patternFill>
          <bgColor rgb="FFCCFFFF"/>
        </patternFill>
      </fill>
    </dxf>
    <dxf>
      <fill>
        <patternFill patternType="lightTrellis"/>
      </fill>
    </dxf>
    <dxf>
      <fill>
        <patternFill patternType="lightTrellis"/>
      </fill>
    </dxf>
    <dxf>
      <fill>
        <patternFill>
          <bgColor rgb="FFCCFFFF"/>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rgb="FFCCFFFF"/>
        </patternFill>
      </fill>
    </dxf>
    <dxf>
      <fill>
        <patternFill>
          <bgColor rgb="FFCCFFFF"/>
        </patternFill>
      </fill>
    </dxf>
    <dxf>
      <fill>
        <patternFill patternType="lightTrellis"/>
      </fill>
    </dxf>
    <dxf>
      <fill>
        <patternFill patternType="lightTrellis"/>
      </fill>
    </dxf>
    <dxf>
      <fill>
        <patternFill>
          <bgColor rgb="FFCCFFFF"/>
        </patternFill>
      </fill>
    </dxf>
    <dxf>
      <fill>
        <patternFill>
          <bgColor rgb="FFCCFFFF"/>
        </patternFill>
      </fill>
    </dxf>
    <dxf>
      <fill>
        <patternFill patternType="lightTrellis"/>
      </fill>
    </dxf>
    <dxf>
      <fill>
        <patternFill>
          <bgColor theme="0" tint="-0.34998626667073579"/>
        </patternFill>
      </fill>
    </dxf>
    <dxf>
      <fill>
        <patternFill>
          <bgColor theme="0" tint="-0.34998626667073579"/>
        </patternFill>
      </fill>
    </dxf>
    <dxf>
      <fill>
        <patternFill>
          <bgColor theme="0" tint="-0.34998626667073579"/>
        </patternFill>
      </fill>
    </dxf>
    <dxf>
      <fill>
        <patternFill>
          <bgColor indexed="22"/>
        </patternFill>
      </fill>
    </dxf>
    <dxf>
      <fill>
        <patternFill>
          <bgColor indexed="27"/>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indexed="22"/>
        </patternFill>
      </fill>
    </dxf>
    <dxf>
      <fill>
        <patternFill patternType="lightTrellis"/>
      </fill>
    </dxf>
    <dxf>
      <fill>
        <patternFill>
          <bgColor rgb="FFCCFFFF"/>
        </patternFill>
      </fill>
    </dxf>
    <dxf>
      <fill>
        <patternFill>
          <bgColor rgb="FFCCFFFF"/>
        </patternFill>
      </fill>
    </dxf>
    <dxf>
      <fill>
        <patternFill patternType="lightTrellis"/>
      </fill>
    </dxf>
    <dxf>
      <fill>
        <patternFill patternType="lightTrellis"/>
      </fill>
    </dxf>
    <dxf>
      <fill>
        <patternFill>
          <bgColor rgb="FFCCFFFF"/>
        </patternFill>
      </fill>
    </dxf>
    <dxf>
      <fill>
        <patternFill>
          <bgColor rgb="FFCCFFFF"/>
        </patternFill>
      </fill>
    </dxf>
    <dxf>
      <fill>
        <patternFill patternType="lightTrellis"/>
      </fill>
    </dxf>
    <dxf>
      <fill>
        <patternFill>
          <bgColor indexed="27"/>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ont>
        <condense val="0"/>
        <extend val="0"/>
      </font>
      <fill>
        <patternFill>
          <bgColor indexed="47"/>
        </patternFill>
      </fill>
    </dxf>
    <dxf>
      <font>
        <condense val="0"/>
        <extend val="0"/>
      </font>
      <fill>
        <patternFill>
          <bgColor indexed="47"/>
        </patternFill>
      </fill>
    </dxf>
    <dxf>
      <font>
        <condense val="0"/>
        <extend val="0"/>
      </font>
      <fill>
        <patternFill>
          <bgColor indexed="47"/>
        </patternFill>
      </fill>
    </dxf>
    <dxf>
      <fill>
        <patternFill patternType="gray125"/>
      </fill>
    </dxf>
    <dxf>
      <fill>
        <patternFill patternType="gray125"/>
      </fill>
    </dxf>
  </dxfs>
  <tableStyles count="0" defaultTableStyle="TableStyleMedium2" defaultPivotStyle="PivotStyleLight16"/>
  <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charts/_rels/chart10.xml.rels><?xml version="1.0" encoding="UTF-8" standalone="yes"?>
<Relationships xmlns="http://schemas.openxmlformats.org/package/2006/relationships"><Relationship Id="rId1" Type="http://schemas.openxmlformats.org/officeDocument/2006/relationships/image" Target="../media/image9.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charts/_rels/chart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3.png"/><Relationship Id="rId1" Type="http://schemas.openxmlformats.org/officeDocument/2006/relationships/image" Target="../media/image12.jpe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image" Target="../media/image9.png"/></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charts/_rels/chart2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3.png"/><Relationship Id="rId1" Type="http://schemas.openxmlformats.org/officeDocument/2006/relationships/image" Target="../media/image12.jpeg"/></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charts/_rels/chart3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7.xml.rels><?xml version="1.0" encoding="UTF-8" standalone="yes"?>
<Relationships xmlns="http://schemas.openxmlformats.org/package/2006/relationships"><Relationship Id="rId1" Type="http://schemas.openxmlformats.org/officeDocument/2006/relationships/image" Target="../media/image9.png"/></Relationships>
</file>

<file path=xl/charts/_rels/chart3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3.png"/><Relationship Id="rId1" Type="http://schemas.openxmlformats.org/officeDocument/2006/relationships/image" Target="../media/image12.jpeg"/></Relationships>
</file>

<file path=xl/charts/_rels/chart3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3.png"/><Relationship Id="rId1" Type="http://schemas.openxmlformats.org/officeDocument/2006/relationships/image" Target="../media/image12.jpeg"/></Relationships>
</file>

<file path=xl/charts/_rels/chart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0655737704918032"/>
          <c:y val="0.14285880369702961"/>
          <c:w val="0.78688524590163922"/>
          <c:h val="0.80953322094983438"/>
        </c:manualLayout>
      </c:layout>
      <c:barChart>
        <c:barDir val="bar"/>
        <c:grouping val="percentStacked"/>
        <c:ser>
          <c:idx val="0"/>
          <c:order val="0"/>
          <c:tx>
            <c:strRef>
              <c:f>ラベル!$C$1</c:f>
              <c:strCache>
                <c:ptCount val="1"/>
                <c:pt idx="0">
                  <c:v>PINKCHERRY</c:v>
                </c:pt>
              </c:strCache>
            </c:strRef>
          </c:tx>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ラベル!$B$2:$B$4</c:f>
              <c:strCache>
                <c:ptCount val="3"/>
                <c:pt idx="0">
                  <c:v>みどり</c:v>
                </c:pt>
                <c:pt idx="1">
                  <c:v>省エネ</c:v>
                </c:pt>
                <c:pt idx="2">
                  <c:v>CO2</c:v>
                </c:pt>
              </c:strCache>
            </c:strRef>
          </c:cat>
          <c:val>
            <c:numRef>
              <c:f>ラベル!$C$2:$C$4</c:f>
              <c:numCache>
                <c:formatCode>0_);[Red]\(0\)</c:formatCode>
                <c:ptCount val="3"/>
                <c:pt idx="0">
                  <c:v>3</c:v>
                </c:pt>
                <c:pt idx="1">
                  <c:v>2</c:v>
                </c:pt>
                <c:pt idx="2">
                  <c:v>0</c:v>
                </c:pt>
              </c:numCache>
            </c:numRef>
          </c:val>
        </c:ser>
        <c:ser>
          <c:idx val="1"/>
          <c:order val="1"/>
          <c:tx>
            <c:strRef>
              <c:f>ラベル!$D$1</c:f>
              <c:strCache>
                <c:ptCount val="1"/>
                <c:pt idx="0">
                  <c:v>WHITECHERRY</c:v>
                </c:pt>
              </c:strCache>
            </c:strRef>
          </c:tx>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ラベル!$B$2:$B$4</c:f>
              <c:strCache>
                <c:ptCount val="3"/>
                <c:pt idx="0">
                  <c:v>みどり</c:v>
                </c:pt>
                <c:pt idx="1">
                  <c:v>省エネ</c:v>
                </c:pt>
                <c:pt idx="2">
                  <c:v>CO2</c:v>
                </c:pt>
              </c:strCache>
            </c:strRef>
          </c:cat>
          <c:val>
            <c:numRef>
              <c:f>ラベル!$D$2:$D$4</c:f>
              <c:numCache>
                <c:formatCode>0_);[Red]\(0\)</c:formatCode>
                <c:ptCount val="3"/>
                <c:pt idx="0">
                  <c:v>2</c:v>
                </c:pt>
                <c:pt idx="1">
                  <c:v>3</c:v>
                </c:pt>
                <c:pt idx="2">
                  <c:v>0</c:v>
                </c:pt>
              </c:numCache>
            </c:numRef>
          </c:val>
        </c:ser>
        <c:dLbls/>
        <c:gapWidth val="30"/>
        <c:overlap val="100"/>
        <c:axId val="97804672"/>
        <c:axId val="97806208"/>
      </c:barChart>
      <c:catAx>
        <c:axId val="97804672"/>
        <c:scaling>
          <c:orientation val="minMax"/>
        </c:scaling>
        <c:delete val="1"/>
        <c:axPos val="l"/>
        <c:tickLblPos val="none"/>
        <c:crossAx val="97806208"/>
        <c:crosses val="autoZero"/>
        <c:auto val="1"/>
        <c:lblAlgn val="ctr"/>
        <c:lblOffset val="100"/>
      </c:catAx>
      <c:valAx>
        <c:axId val="97806208"/>
        <c:scaling>
          <c:orientation val="minMax"/>
        </c:scaling>
        <c:delete val="1"/>
        <c:axPos val="b"/>
        <c:numFmt formatCode="0%" sourceLinked="1"/>
        <c:tickLblPos val="none"/>
        <c:crossAx val="97804672"/>
        <c:crosses val="autoZero"/>
        <c:crossBetween val="between"/>
      </c:valAx>
      <c:spPr>
        <a:noFill/>
        <a:ln w="25400">
          <a:noFill/>
        </a:ln>
      </c:spPr>
    </c:plotArea>
    <c:plotVisOnly val="1"/>
    <c:dispBlanksAs val="gap"/>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9896691034528008"/>
          <c:y val="0.16000024038497654"/>
          <c:w val="0.59690073103584018"/>
          <c:h val="0.71077029863326124"/>
        </c:manualLayout>
      </c:layout>
      <c:radarChart>
        <c:radarStyle val="filled"/>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'計画概要書(改修後)'!$V$9:$V$14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'計画概要書(改修後)'!$W$9:$W$14</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'計画概要書(改修後)'!$V$9:$V$14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'計画概要書(改修後)'!$X$9:$X$14</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'計画概要書(改修後)'!$V$9:$V$14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'計画概要書(改修後)'!$Y$9:$Y$14</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'計画概要書(改修後)'!$V$9:$V$14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'計画概要書(改修後)'!$Z$9:$Z$14</c:f>
              <c:numCache>
                <c:formatCode>General</c:formatCode>
                <c:ptCount val="6"/>
                <c:pt idx="0">
                  <c:v>3</c:v>
                </c:pt>
                <c:pt idx="1">
                  <c:v>3</c:v>
                </c:pt>
                <c:pt idx="2">
                  <c:v>0</c:v>
                </c:pt>
                <c:pt idx="3">
                  <c:v>3</c:v>
                </c:pt>
                <c:pt idx="4">
                  <c:v>1.5</c:v>
                </c:pt>
                <c:pt idx="5">
                  <c:v>3</c:v>
                </c:pt>
              </c:numCache>
            </c:numRef>
          </c:val>
        </c:ser>
        <c:ser>
          <c:idx val="4"/>
          <c:order val="4"/>
          <c:spPr>
            <a:noFill/>
            <a:ln w="12700">
              <a:solidFill>
                <a:srgbClr val="FF0000"/>
              </a:solidFill>
              <a:prstDash val="solid"/>
            </a:ln>
          </c:spPr>
          <c:cat>
            <c:strRef>
              <c:f>'計画概要書(改修後)'!$V$9:$V$14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'計画概要書(改修後)'!$AA$9:$AA$14</c:f>
              <c:numCache>
                <c:formatCode>General</c:formatCode>
                <c:ptCount val="6"/>
                <c:pt idx="0">
                  <c:v>3</c:v>
                </c:pt>
                <c:pt idx="1">
                  <c:v>3</c:v>
                </c:pt>
                <c:pt idx="2">
                  <c:v>3</c:v>
                </c:pt>
                <c:pt idx="3">
                  <c:v>3</c:v>
                </c:pt>
                <c:pt idx="4">
                  <c:v>3</c:v>
                </c:pt>
                <c:pt idx="5">
                  <c:v>3</c:v>
                </c:pt>
              </c:numCache>
            </c:numRef>
          </c:val>
        </c:ser>
        <c:dLbls/>
        <c:axId val="108947712"/>
        <c:axId val="108957696"/>
      </c:radarChart>
      <c:catAx>
        <c:axId val="108947712"/>
        <c:scaling>
          <c:orientation val="minMax"/>
        </c:scaling>
        <c:axPos val="b"/>
        <c:majorGridlines>
          <c:spPr>
            <a:ln w="3175">
              <a:solidFill>
                <a:srgbClr val="000000"/>
              </a:solidFill>
              <a:prstDash val="solid"/>
            </a:ln>
          </c:spPr>
        </c:majorGridlines>
        <c:numFmt formatCode="General" sourceLinked="1"/>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08957696"/>
        <c:crosses val="autoZero"/>
        <c:lblAlgn val="ctr"/>
        <c:lblOffset val="100"/>
      </c:catAx>
      <c:valAx>
        <c:axId val="108957696"/>
        <c:scaling>
          <c:orientation val="minMax"/>
          <c:max val="5"/>
          <c:min val="1"/>
        </c:scaling>
        <c:axPos val="l"/>
        <c:majorGridlines>
          <c:spPr>
            <a:ln w="3175">
              <a:solidFill>
                <a:srgbClr val="000000"/>
              </a:solidFill>
              <a:prstDash val="solid"/>
            </a:ln>
          </c:spPr>
        </c:majorGridlines>
        <c:numFmt formatCode="#,##0_);[Red]\(#,##0\)" sourceLinked="0"/>
        <c:majorTickMark val="cross"/>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08947712"/>
        <c:crosses val="autoZero"/>
        <c:crossBetween val="between"/>
        <c:majorUnit val="1"/>
      </c:valAx>
      <c:spPr>
        <a:noFill/>
        <a:ln w="25400">
          <a:noFill/>
        </a:ln>
      </c:spPr>
    </c:plotArea>
    <c:dispBlanksAs val="gap"/>
  </c:chart>
  <c:spPr>
    <a:noFill/>
    <a:ln w="9525">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7524115755627015E-2"/>
          <c:y val="8.4337597472695897E-2"/>
          <c:w val="0.91639871382636651"/>
          <c:h val="0.7289178067283002"/>
        </c:manualLayout>
      </c:layout>
      <c:barChart>
        <c:barDir val="col"/>
        <c:grouping val="clustered"/>
        <c:ser>
          <c:idx val="0"/>
          <c:order val="0"/>
          <c:spPr>
            <a:solidFill>
              <a:srgbClr val="FFFF99"/>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'計画概要書(改修後)'!$U$48:$U$50</c:f>
              <c:strCache>
                <c:ptCount val="3"/>
                <c:pt idx="0">
                  <c:v>機能性</c:v>
                </c:pt>
                <c:pt idx="1">
                  <c:v>耐用性・信頼性</c:v>
                </c:pt>
                <c:pt idx="2">
                  <c:v>対応性･更新性</c:v>
                </c:pt>
              </c:strCache>
            </c:strRef>
          </c:cat>
          <c:val>
            <c:numRef>
              <c:f>'計画概要書(改修後)'!$V$48:$V$50</c:f>
              <c:numCache>
                <c:formatCode>0.0_ </c:formatCode>
                <c:ptCount val="3"/>
                <c:pt idx="0">
                  <c:v>3</c:v>
                </c:pt>
                <c:pt idx="1">
                  <c:v>3</c:v>
                </c:pt>
                <c:pt idx="2">
                  <c:v>3</c:v>
                </c:pt>
              </c:numCache>
            </c:numRef>
          </c:val>
        </c:ser>
        <c:dLbls>
          <c:showVal val="1"/>
        </c:dLbls>
        <c:gapWidth val="70"/>
        <c:axId val="108985344"/>
        <c:axId val="108602112"/>
      </c:barChart>
      <c:catAx>
        <c:axId val="108985344"/>
        <c:scaling>
          <c:orientation val="minMax"/>
        </c:scaling>
        <c:axPos val="b"/>
        <c:majorTickMark val="none"/>
        <c:tickLblPos val="none"/>
        <c:spPr>
          <a:ln w="3175">
            <a:solidFill>
              <a:srgbClr val="000000"/>
            </a:solidFill>
            <a:prstDash val="solid"/>
          </a:ln>
        </c:spPr>
        <c:crossAx val="108602112"/>
        <c:crossesAt val="0"/>
        <c:auto val="1"/>
        <c:lblAlgn val="ctr"/>
        <c:lblOffset val="100"/>
        <c:tickMarkSkip val="1"/>
      </c:catAx>
      <c:valAx>
        <c:axId val="108602112"/>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8985344"/>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9795221843003416"/>
          <c:y val="9.842519685039372E-2"/>
          <c:w val="0.69965870307167244"/>
          <c:h val="0.70078740157480324"/>
        </c:manualLayout>
      </c:layout>
      <c:areaChart>
        <c:grouping val="standard"/>
        <c:ser>
          <c:idx val="4"/>
          <c:order val="0"/>
          <c:tx>
            <c:strRef>
              <c:f>'計画概要書(改修後)'!$S$29</c:f>
              <c:strCache>
                <c:ptCount val="1"/>
                <c:pt idx="0">
                  <c:v>S</c:v>
                </c:pt>
              </c:strCache>
            </c:strRef>
          </c:tx>
          <c:spPr>
            <a:pattFill prst="pct70">
              <a:fgClr>
                <a:srgbClr val="339966"/>
              </a:fgClr>
              <a:bgClr>
                <a:srgbClr val="FFFFFF"/>
              </a:bgClr>
            </a:pattFill>
            <a:ln w="12700">
              <a:solidFill>
                <a:srgbClr val="000000"/>
              </a:solidFill>
              <a:prstDash val="solid"/>
            </a:ln>
          </c:spPr>
          <c:cat>
            <c:numRef>
              <c:f>'計画概要書(改修後)'!$T$23:$U$23</c:f>
              <c:numCache>
                <c:formatCode>#,##0;[Red]\-#,##0</c:formatCode>
                <c:ptCount val="2"/>
                <c:pt idx="0">
                  <c:v>0</c:v>
                </c:pt>
                <c:pt idx="1">
                  <c:v>0</c:v>
                </c:pt>
              </c:numCache>
            </c:numRef>
          </c:cat>
          <c:val>
            <c:numRef>
              <c:f>'計画概要書(改修後)'!$T$29:$Z$29</c:f>
              <c:numCache>
                <c:formatCode>General</c:formatCode>
                <c:ptCount val="7"/>
                <c:pt idx="0">
                  <c:v>100</c:v>
                </c:pt>
                <c:pt idx="1">
                  <c:v>100</c:v>
                </c:pt>
                <c:pt idx="2">
                  <c:v>100</c:v>
                </c:pt>
                <c:pt idx="3">
                  <c:v>100</c:v>
                </c:pt>
                <c:pt idx="4">
                  <c:v>100</c:v>
                </c:pt>
                <c:pt idx="5">
                  <c:v>100</c:v>
                </c:pt>
                <c:pt idx="6">
                  <c:v>100</c:v>
                </c:pt>
              </c:numCache>
            </c:numRef>
          </c:val>
        </c:ser>
        <c:ser>
          <c:idx val="3"/>
          <c:order val="1"/>
          <c:tx>
            <c:strRef>
              <c:f>'計画概要書(改修後)'!$S$30</c:f>
              <c:strCache>
                <c:ptCount val="1"/>
                <c:pt idx="0">
                  <c:v>A</c:v>
                </c:pt>
              </c:strCache>
            </c:strRef>
          </c:tx>
          <c:spPr>
            <a:pattFill prst="pct90">
              <a:fgClr>
                <a:srgbClr val="CCFFCC"/>
              </a:fgClr>
              <a:bgClr>
                <a:srgbClr val="FFFFFF"/>
              </a:bgClr>
            </a:pattFill>
            <a:ln w="12700">
              <a:solidFill>
                <a:srgbClr val="000000"/>
              </a:solidFill>
              <a:prstDash val="solid"/>
            </a:ln>
          </c:spPr>
          <c:cat>
            <c:numRef>
              <c:f>'計画概要書(改修後)'!$T$23:$U$23</c:f>
              <c:numCache>
                <c:formatCode>#,##0;[Red]\-#,##0</c:formatCode>
                <c:ptCount val="2"/>
                <c:pt idx="0">
                  <c:v>0</c:v>
                </c:pt>
                <c:pt idx="1">
                  <c:v>0</c:v>
                </c:pt>
              </c:numCache>
            </c:numRef>
          </c:cat>
          <c:val>
            <c:numRef>
              <c:f>'計画概要書(改修後)'!$T$30:$Z$30</c:f>
              <c:numCache>
                <c:formatCode>General</c:formatCode>
                <c:ptCount val="7"/>
                <c:pt idx="0">
                  <c:v>50</c:v>
                </c:pt>
                <c:pt idx="1">
                  <c:v>50</c:v>
                </c:pt>
                <c:pt idx="2">
                  <c:v>100</c:v>
                </c:pt>
                <c:pt idx="3">
                  <c:v>100</c:v>
                </c:pt>
                <c:pt idx="4">
                  <c:v>100</c:v>
                </c:pt>
                <c:pt idx="5">
                  <c:v>100</c:v>
                </c:pt>
                <c:pt idx="6">
                  <c:v>100</c:v>
                </c:pt>
              </c:numCache>
            </c:numRef>
          </c:val>
        </c:ser>
        <c:ser>
          <c:idx val="2"/>
          <c:order val="2"/>
          <c:tx>
            <c:strRef>
              <c:f>'計画概要書(改修後)'!$S$31</c:f>
              <c:strCache>
                <c:ptCount val="1"/>
                <c:pt idx="0">
                  <c:v>B+</c:v>
                </c:pt>
              </c:strCache>
            </c:strRef>
          </c:tx>
          <c:spPr>
            <a:solidFill>
              <a:srgbClr val="FFFFCC"/>
            </a:solidFill>
            <a:ln w="12700">
              <a:solidFill>
                <a:srgbClr val="000000"/>
              </a:solidFill>
              <a:prstDash val="solid"/>
            </a:ln>
          </c:spPr>
          <c:cat>
            <c:numRef>
              <c:f>'計画概要書(改修後)'!$T$23:$U$23</c:f>
              <c:numCache>
                <c:formatCode>#,##0;[Red]\-#,##0</c:formatCode>
                <c:ptCount val="2"/>
                <c:pt idx="0">
                  <c:v>0</c:v>
                </c:pt>
                <c:pt idx="1">
                  <c:v>0</c:v>
                </c:pt>
              </c:numCache>
            </c:numRef>
          </c:cat>
          <c:val>
            <c:numRef>
              <c:f>'計画概要書(改修後)'!$T$31:$Z$31</c:f>
              <c:numCache>
                <c:formatCode>General</c:formatCode>
                <c:ptCount val="7"/>
                <c:pt idx="0">
                  <c:v>0</c:v>
                </c:pt>
                <c:pt idx="1">
                  <c:v>25</c:v>
                </c:pt>
                <c:pt idx="2">
                  <c:v>50</c:v>
                </c:pt>
                <c:pt idx="3">
                  <c:v>75</c:v>
                </c:pt>
                <c:pt idx="4">
                  <c:v>100</c:v>
                </c:pt>
                <c:pt idx="5">
                  <c:v>100</c:v>
                </c:pt>
                <c:pt idx="6">
                  <c:v>100</c:v>
                </c:pt>
              </c:numCache>
            </c:numRef>
          </c:val>
        </c:ser>
        <c:ser>
          <c:idx val="1"/>
          <c:order val="3"/>
          <c:tx>
            <c:strRef>
              <c:f>'計画概要書(改修後)'!$S$33</c:f>
              <c:strCache>
                <c:ptCount val="1"/>
                <c:pt idx="0">
                  <c:v>B-</c:v>
                </c:pt>
              </c:strCache>
            </c:strRef>
          </c:tx>
          <c:spPr>
            <a:solidFill>
              <a:srgbClr val="FFFFFF"/>
            </a:solidFill>
            <a:ln w="12700">
              <a:solidFill>
                <a:srgbClr val="000000"/>
              </a:solidFill>
              <a:prstDash val="solid"/>
            </a:ln>
          </c:spPr>
          <c:cat>
            <c:numRef>
              <c:f>'計画概要書(改修後)'!$T$23:$U$23</c:f>
              <c:numCache>
                <c:formatCode>#,##0;[Red]\-#,##0</c:formatCode>
                <c:ptCount val="2"/>
                <c:pt idx="0">
                  <c:v>0</c:v>
                </c:pt>
                <c:pt idx="1">
                  <c:v>0</c:v>
                </c:pt>
              </c:numCache>
            </c:numRef>
          </c:cat>
          <c:val>
            <c:numRef>
              <c:f>'計画概要書(改修後)'!$T$33:$Z$33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5"/>
          <c:tx>
            <c:strRef>
              <c:f>'計画概要書(改修後)'!$S$32</c:f>
              <c:strCache>
                <c:ptCount val="1"/>
                <c:pt idx="0">
                  <c:v>B</c:v>
                </c:pt>
              </c:strCache>
            </c:strRef>
          </c:tx>
          <c:spPr>
            <a:noFill/>
            <a:ln w="12700">
              <a:solidFill>
                <a:srgbClr val="000000"/>
              </a:solidFill>
              <a:prstDash val="solid"/>
            </a:ln>
          </c:spPr>
          <c:cat>
            <c:numRef>
              <c:f>'計画概要書(改修後)'!$T$23:$U$23</c:f>
              <c:numCache>
                <c:formatCode>#,##0;[Red]\-#,##0</c:formatCode>
                <c:ptCount val="2"/>
                <c:pt idx="0">
                  <c:v>0</c:v>
                </c:pt>
                <c:pt idx="1">
                  <c:v>0</c:v>
                </c:pt>
              </c:numCache>
            </c:numRef>
          </c:cat>
          <c:val>
            <c:numRef>
              <c:f>'計画概要書(改修後)'!$T$32:$Z$32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axId val="109184512"/>
        <c:axId val="109186048"/>
      </c:areaChart>
      <c:scatterChart>
        <c:scatterStyle val="lineMarker"/>
        <c:ser>
          <c:idx val="5"/>
          <c:order val="4"/>
          <c:tx>
            <c:strRef>
              <c:f>'計画概要書(改修後)'!$S$13</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dPt>
          <c:dPt>
            <c:idx val="1"/>
            <c:marker>
              <c:symbol val="triangle"/>
              <c:size val="20"/>
              <c:spPr>
                <a:solidFill>
                  <a:srgbClr val="339966"/>
                </a:solidFill>
                <a:ln>
                  <a:solidFill>
                    <a:srgbClr val="000000"/>
                  </a:solidFill>
                  <a:prstDash val="solid"/>
                </a:ln>
              </c:spPr>
            </c:marker>
            <c:spPr>
              <a:ln w="28575">
                <a:noFill/>
              </a:ln>
            </c:spPr>
          </c:dPt>
          <c:dPt>
            <c:idx val="2"/>
            <c:spPr>
              <a:ln w="38100">
                <a:solidFill>
                  <a:srgbClr val="008000"/>
                </a:solidFill>
                <a:prstDash val="solid"/>
              </a:ln>
            </c:spPr>
          </c:dPt>
          <c:dLbls>
            <c:dLbl>
              <c:idx val="1"/>
              <c:layout>
                <c:manualLayout>
                  <c:x val="-1.6037551620040693E-2"/>
                  <c:y val="-5.0183727034120752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SerName val="1"/>
            </c:dLbl>
            <c:delete val="1"/>
          </c:dLbls>
          <c:xVal>
            <c:numRef>
              <c:f>'計画概要書(改修後)'!$S$23:$U$23</c:f>
              <c:numCache>
                <c:formatCode>#,##0;[Red]\-#,##0</c:formatCode>
                <c:ptCount val="3"/>
                <c:pt idx="1">
                  <c:v>0</c:v>
                </c:pt>
                <c:pt idx="2">
                  <c:v>0</c:v>
                </c:pt>
              </c:numCache>
            </c:numRef>
          </c:xVal>
          <c:yVal>
            <c:numRef>
              <c:f>'計画概要書(改修後)'!$S$24:$U$24</c:f>
              <c:numCache>
                <c:formatCode>#,##0;[Red]\-#,##0</c:formatCode>
                <c:ptCount val="3"/>
                <c:pt idx="1">
                  <c:v>50.000000000000014</c:v>
                </c:pt>
                <c:pt idx="2">
                  <c:v>0</c:v>
                </c:pt>
              </c:numCache>
            </c:numRef>
          </c:yVal>
        </c:ser>
        <c:ser>
          <c:idx val="7"/>
          <c:order val="6"/>
          <c:spPr>
            <a:ln w="25400">
              <a:solidFill>
                <a:srgbClr val="008000"/>
              </a:solidFill>
              <a:prstDash val="sysDash"/>
            </a:ln>
          </c:spPr>
          <c:marker>
            <c:symbol val="none"/>
          </c:marker>
          <c:dPt>
            <c:idx val="1"/>
            <c:spPr>
              <a:ln w="28575">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CatName val="1"/>
            </c:dLbl>
            <c:dLbl>
              <c:idx val="3"/>
              <c:layout>
                <c:manualLayout>
                  <c:x val="-5.2504187829763493E-3"/>
                  <c:y val="-3.963254593175855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Val val="1"/>
            </c:dLbl>
            <c:delete val="1"/>
          </c:dLbls>
          <c:xVal>
            <c:numRef>
              <c:f>'計画概要書(改修後)'!$R$25:$U$25</c:f>
              <c:numCache>
                <c:formatCode>#,##0;[Red]\-#,##0</c:formatCode>
                <c:ptCount val="4"/>
                <c:pt idx="0" formatCode="General">
                  <c:v>0</c:v>
                </c:pt>
                <c:pt idx="1">
                  <c:v>0</c:v>
                </c:pt>
                <c:pt idx="2">
                  <c:v>0</c:v>
                </c:pt>
                <c:pt idx="3">
                  <c:v>0.1</c:v>
                </c:pt>
              </c:numCache>
            </c:numRef>
          </c:xVal>
          <c:yVal>
            <c:numRef>
              <c:f>'計画概要書(改修後)'!$R$26:$U$26</c:f>
              <c:numCache>
                <c:formatCode>#,##0;[Red]\-#,##0</c:formatCode>
                <c:ptCount val="4"/>
                <c:pt idx="0" formatCode="General">
                  <c:v>0</c:v>
                </c:pt>
                <c:pt idx="1">
                  <c:v>0</c:v>
                </c:pt>
                <c:pt idx="2">
                  <c:v>50.000000000000014</c:v>
                </c:pt>
                <c:pt idx="3">
                  <c:v>50.000000000000014</c:v>
                </c:pt>
              </c:numCache>
            </c:numRef>
          </c:yVal>
        </c:ser>
        <c:ser>
          <c:idx val="8"/>
          <c:order val="7"/>
          <c:spPr>
            <a:ln w="28575">
              <a:noFill/>
            </a:ln>
          </c:spPr>
          <c:marker>
            <c:symbol val="none"/>
          </c:marker>
          <c:dPt>
            <c:idx val="1"/>
            <c:marker>
              <c:symbol val="circle"/>
              <c:size val="6"/>
              <c:spPr>
                <a:solidFill>
                  <a:srgbClr val="008000"/>
                </a:solidFill>
                <a:ln>
                  <a:solidFill>
                    <a:srgbClr val="000000"/>
                  </a:solidFill>
                  <a:prstDash val="solid"/>
                </a:ln>
              </c:spPr>
            </c:marker>
          </c:dPt>
          <c:dPt>
            <c:idx val="3"/>
            <c:marker>
              <c:symbol val="circle"/>
              <c:size val="6"/>
              <c:spPr>
                <a:solidFill>
                  <a:srgbClr val="008000"/>
                </a:solidFill>
                <a:ln>
                  <a:solidFill>
                    <a:srgbClr val="000000"/>
                  </a:solidFill>
                  <a:prstDash val="solid"/>
                </a:ln>
              </c:spPr>
            </c:marker>
          </c:dPt>
          <c:xVal>
            <c:numRef>
              <c:f>'計画概要書(改修後)'!$R$25:$U$25</c:f>
              <c:numCache>
                <c:formatCode>#,##0;[Red]\-#,##0</c:formatCode>
                <c:ptCount val="4"/>
                <c:pt idx="0" formatCode="General">
                  <c:v>0</c:v>
                </c:pt>
                <c:pt idx="1">
                  <c:v>0</c:v>
                </c:pt>
                <c:pt idx="2">
                  <c:v>0</c:v>
                </c:pt>
                <c:pt idx="3">
                  <c:v>0.1</c:v>
                </c:pt>
              </c:numCache>
            </c:numRef>
          </c:xVal>
          <c:yVal>
            <c:numRef>
              <c:f>'計画概要書(改修後)'!$R$26:$U$26</c:f>
              <c:numCache>
                <c:formatCode>#,##0;[Red]\-#,##0</c:formatCode>
                <c:ptCount val="4"/>
                <c:pt idx="0" formatCode="General">
                  <c:v>0</c:v>
                </c:pt>
                <c:pt idx="1">
                  <c:v>0</c:v>
                </c:pt>
                <c:pt idx="2">
                  <c:v>50.000000000000014</c:v>
                </c:pt>
                <c:pt idx="3">
                  <c:v>50.000000000000014</c:v>
                </c:pt>
              </c:numCache>
            </c:numRef>
          </c:yVal>
        </c:ser>
        <c:dLbls/>
        <c:axId val="109208320"/>
        <c:axId val="109209856"/>
      </c:scatterChart>
      <c:catAx>
        <c:axId val="109184512"/>
        <c:scaling>
          <c:orientation val="minMax"/>
        </c:scaling>
        <c:axPos val="b"/>
        <c:numFmt formatCode="#,##0;[Red]\-#,##0" sourceLinked="1"/>
        <c:majorTickMark val="none"/>
        <c:tickLblPos val="none"/>
        <c:spPr>
          <a:ln w="3175">
            <a:solidFill>
              <a:srgbClr val="000000"/>
            </a:solidFill>
            <a:prstDash val="solid"/>
          </a:ln>
        </c:spPr>
        <c:crossAx val="109186048"/>
        <c:crosses val="autoZero"/>
        <c:lblAlgn val="ctr"/>
        <c:lblOffset val="100"/>
        <c:tickLblSkip val="50"/>
        <c:tickMarkSkip val="50"/>
      </c:catAx>
      <c:valAx>
        <c:axId val="109186048"/>
        <c:scaling>
          <c:orientation val="minMax"/>
          <c:max val="100"/>
          <c:min val="0"/>
        </c:scaling>
        <c:axPos val="l"/>
        <c:numFmt formatCode="General" sourceLinked="1"/>
        <c:maj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9184512"/>
        <c:crosses val="autoZero"/>
        <c:crossBetween val="midCat"/>
        <c:majorUnit val="50"/>
      </c:valAx>
      <c:valAx>
        <c:axId val="109208320"/>
        <c:scaling>
          <c:orientation val="minMax"/>
          <c:max val="100"/>
          <c:min val="0"/>
        </c:scaling>
        <c:axPos val="t"/>
        <c:numFmt formatCode="#,##0;[Red]\-#,##0" sourceLinked="1"/>
        <c:maj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9209856"/>
        <c:crosses val="max"/>
        <c:crossBetween val="midCat"/>
        <c:majorUnit val="50"/>
      </c:valAx>
      <c:valAx>
        <c:axId val="109209856"/>
        <c:scaling>
          <c:orientation val="minMax"/>
          <c:max val="100"/>
        </c:scaling>
        <c:axPos val="r"/>
        <c:numFmt formatCode="#,##0;[Red]\-#,##0" sourceLinked="1"/>
        <c:majorTickMark val="in"/>
        <c:tickLblPos val="none"/>
        <c:spPr>
          <a:ln w="3175">
            <a:solidFill>
              <a:srgbClr val="000000"/>
            </a:solidFill>
            <a:prstDash val="solid"/>
          </a:ln>
        </c:spPr>
        <c:crossAx val="109208320"/>
        <c:crosses val="max"/>
        <c:crossBetween val="midCat"/>
        <c:majorUnit val="50"/>
      </c:valAx>
      <c:spPr>
        <a:solidFill>
          <a:srgbClr val="C0C0C0"/>
        </a:solidFill>
        <a:ln w="12700">
          <a:solidFill>
            <a:srgbClr val="80808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1.9011406844106463E-2"/>
          <c:y val="8.3334463629335248E-2"/>
          <c:w val="0.93916349809885935"/>
          <c:h val="0.86112279083646426"/>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'計画概要書(改修後)'!$R$15</c:f>
              <c:strCache>
                <c:ptCount val="1"/>
                <c:pt idx="0">
                  <c:v>Rank(red star)</c:v>
                </c:pt>
              </c:strCache>
            </c:strRef>
          </c:cat>
          <c:val>
            <c:numRef>
              <c:f>'計画概要書(改修後)'!$S$15</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'計画概要書(改修後)'!$R$15</c:f>
              <c:strCache>
                <c:ptCount val="1"/>
                <c:pt idx="0">
                  <c:v>Rank(red star)</c:v>
                </c:pt>
              </c:strCache>
            </c:strRef>
          </c:cat>
          <c:val>
            <c:numRef>
              <c:f>'計画概要書(改修後)'!$S$16</c:f>
              <c:numCache>
                <c:formatCode>#,##0.0;[Red]\-#,##0.0</c:formatCode>
                <c:ptCount val="1"/>
                <c:pt idx="0">
                  <c:v>0</c:v>
                </c:pt>
              </c:numCache>
            </c:numRef>
          </c:val>
        </c:ser>
        <c:dLbls/>
        <c:gapWidth val="50"/>
        <c:overlap val="100"/>
        <c:axId val="109367296"/>
        <c:axId val="109368832"/>
      </c:barChart>
      <c:catAx>
        <c:axId val="109367296"/>
        <c:scaling>
          <c:orientation val="minMax"/>
        </c:scaling>
        <c:delete val="1"/>
        <c:axPos val="l"/>
        <c:tickLblPos val="none"/>
        <c:crossAx val="109368832"/>
        <c:crosses val="autoZero"/>
        <c:auto val="1"/>
        <c:lblAlgn val="ctr"/>
        <c:lblOffset val="100"/>
      </c:catAx>
      <c:valAx>
        <c:axId val="109368832"/>
        <c:scaling>
          <c:orientation val="minMax"/>
        </c:scaling>
        <c:delete val="1"/>
        <c:axPos val="b"/>
        <c:numFmt formatCode="0%" sourceLinked="1"/>
        <c:tickLblPos val="none"/>
        <c:crossAx val="109367296"/>
        <c:crosses val="autoZero"/>
        <c:crossBetween val="between"/>
      </c:valAx>
      <c:spPr>
        <a:noFill/>
        <a:ln w="25400">
          <a:noFill/>
        </a:ln>
      </c:spPr>
    </c:plotArea>
    <c:dispBlanksAs val="gap"/>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1.6891891891891893E-2"/>
          <c:y val="5.681849708416796E-2"/>
          <c:w val="0.96283783783783783"/>
          <c:h val="0.8409137568456857"/>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idx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'計画概要書(改修後)'!$R$35</c:f>
              <c:strCache>
                <c:ptCount val="1"/>
                <c:pt idx="0">
                  <c:v>Rank(green star)</c:v>
                </c:pt>
              </c:strCache>
            </c:strRef>
          </c:cat>
          <c:val>
            <c:numRef>
              <c:f>'計画概要書(改修後)'!$S$35</c:f>
              <c:numCache>
                <c:formatCode>#,##0.0;[Red]\-#,##0.0</c:formatCode>
                <c:ptCount val="1"/>
                <c:pt idx="0">
                  <c:v>0</c:v>
                </c:pt>
              </c:numCache>
            </c:numRef>
          </c:val>
        </c:ser>
        <c:ser>
          <c:idx val="1"/>
          <c:order val="1"/>
          <c:spPr>
            <a:blipFill dpi="0" rotWithShape="0">
              <a:blip xmlns:r="http://schemas.openxmlformats.org/officeDocument/2006/relationships" r:embed="rId3"/>
              <a:srcRect/>
              <a:stretch>
                <a:fillRect/>
              </a:stretch>
            </a:blipFill>
            <a:ln w="25400">
              <a:noFill/>
            </a:ln>
          </c:spPr>
          <c:pictureOptions>
            <c:pictureFormat val="stackScale"/>
            <c:pictureStackUnit val="20"/>
          </c:pictureOptions>
          <c:cat>
            <c:strRef>
              <c:f>'計画概要書(改修後)'!$R$35</c:f>
              <c:strCache>
                <c:ptCount val="1"/>
                <c:pt idx="0">
                  <c:v>Rank(green star)</c:v>
                </c:pt>
              </c:strCache>
            </c:strRef>
          </c:cat>
          <c:val>
            <c:numRef>
              <c:f>'計画概要書(改修後)'!$S$36</c:f>
              <c:numCache>
                <c:formatCode>#,##0.0;[Red]\-#,##0.0</c:formatCode>
                <c:ptCount val="1"/>
                <c:pt idx="0">
                  <c:v>0</c:v>
                </c:pt>
              </c:numCache>
            </c:numRef>
          </c:val>
        </c:ser>
        <c:dLbls/>
        <c:gapWidth val="50"/>
        <c:overlap val="100"/>
        <c:axId val="109386368"/>
        <c:axId val="109400448"/>
      </c:barChart>
      <c:catAx>
        <c:axId val="109386368"/>
        <c:scaling>
          <c:orientation val="minMax"/>
        </c:scaling>
        <c:delete val="1"/>
        <c:axPos val="l"/>
        <c:tickLblPos val="none"/>
        <c:crossAx val="109400448"/>
        <c:crosses val="autoZero"/>
        <c:auto val="1"/>
        <c:lblAlgn val="ctr"/>
        <c:lblOffset val="100"/>
      </c:catAx>
      <c:valAx>
        <c:axId val="109400448"/>
        <c:scaling>
          <c:orientation val="minMax"/>
        </c:scaling>
        <c:delete val="1"/>
        <c:axPos val="b"/>
        <c:numFmt formatCode="0%" sourceLinked="1"/>
        <c:tickLblPos val="none"/>
        <c:crossAx val="109386368"/>
        <c:crosses val="autoZero"/>
        <c:crossBetween val="between"/>
      </c:valAx>
      <c:spPr>
        <a:noFill/>
        <a:ln w="25400">
          <a:noFill/>
        </a:ln>
      </c:spPr>
    </c:plotArea>
    <c:dispBlanksAs val="gap"/>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4885617108512331E-2"/>
          <c:y val="0.13294797687861271"/>
          <c:w val="0.87404743046172495"/>
          <c:h val="0.68208092485549132"/>
        </c:manualLayout>
      </c:layout>
      <c:barChart>
        <c:barDir val="bar"/>
        <c:grouping val="stacked"/>
        <c:ser>
          <c:idx val="0"/>
          <c:order val="0"/>
          <c:tx>
            <c:strRef>
              <c:f>'計画概要書(改修後)'!$S$38</c:f>
              <c:strCache>
                <c:ptCount val="1"/>
                <c:pt idx="0">
                  <c:v>建設</c:v>
                </c:pt>
              </c:strCache>
            </c:strRef>
          </c:tx>
          <c:spPr>
            <a:solidFill>
              <a:srgbClr val="9999FF"/>
            </a:solidFill>
            <a:ln w="12700">
              <a:solidFill>
                <a:srgbClr val="000000"/>
              </a:solidFill>
              <a:prstDash val="solid"/>
            </a:ln>
          </c:spPr>
          <c:dPt>
            <c:idx val="0"/>
            <c:spPr>
              <a:solidFill>
                <a:srgbClr val="9999FF"/>
              </a:solidFill>
              <a:ln w="12700">
                <a:solidFill>
                  <a:srgbClr val="000000"/>
                </a:solidFill>
                <a:prstDash val="sysDash"/>
              </a:ln>
            </c:spPr>
          </c:dPt>
          <c:val>
            <c:numRef>
              <c:f>'計画概要書(改修後)'!$S$39:$S$42</c:f>
              <c:numCache>
                <c:formatCode>General</c:formatCode>
                <c:ptCount val="4"/>
                <c:pt idx="0">
                  <c:v>15.490086161879896</c:v>
                </c:pt>
                <c:pt idx="1">
                  <c:v>13.071952219321147</c:v>
                </c:pt>
              </c:numCache>
            </c:numRef>
          </c:val>
        </c:ser>
        <c:ser>
          <c:idx val="1"/>
          <c:order val="1"/>
          <c:tx>
            <c:strRef>
              <c:f>'計画概要書(改修後)'!$T$38</c:f>
              <c:strCache>
                <c:ptCount val="1"/>
                <c:pt idx="0">
                  <c:v>修繕・更新・解体</c:v>
                </c:pt>
              </c:strCache>
            </c:strRef>
          </c:tx>
          <c:spPr>
            <a:solidFill>
              <a:srgbClr val="99CC00"/>
            </a:solidFill>
            <a:ln w="12700">
              <a:solidFill>
                <a:srgbClr val="000000"/>
              </a:solidFill>
              <a:prstDash val="solid"/>
            </a:ln>
          </c:spPr>
          <c:dPt>
            <c:idx val="0"/>
            <c:spPr>
              <a:solidFill>
                <a:srgbClr val="99CC00"/>
              </a:solidFill>
              <a:ln w="12700">
                <a:solidFill>
                  <a:srgbClr val="000000"/>
                </a:solidFill>
                <a:prstDash val="sysDash"/>
              </a:ln>
            </c:spPr>
          </c:dPt>
          <c:val>
            <c:numRef>
              <c:f>'計画概要書(改修後)'!$T$39:$T$42</c:f>
              <c:numCache>
                <c:formatCode>General</c:formatCode>
                <c:ptCount val="4"/>
                <c:pt idx="0">
                  <c:v>13.907772845953003</c:v>
                </c:pt>
                <c:pt idx="1">
                  <c:v>13.907772845953003</c:v>
                </c:pt>
              </c:numCache>
            </c:numRef>
          </c:val>
        </c:ser>
        <c:ser>
          <c:idx val="2"/>
          <c:order val="2"/>
          <c:tx>
            <c:strRef>
              <c:f>'計画概要書(改修後)'!$U$38</c:f>
              <c:strCache>
                <c:ptCount val="1"/>
                <c:pt idx="0">
                  <c:v>運用</c:v>
                </c:pt>
              </c:strCache>
            </c:strRef>
          </c:tx>
          <c:spPr>
            <a:solidFill>
              <a:srgbClr val="FFFFCC"/>
            </a:solidFill>
            <a:ln w="12700">
              <a:solidFill>
                <a:srgbClr val="000000"/>
              </a:solidFill>
              <a:prstDash val="solid"/>
            </a:ln>
          </c:spPr>
          <c:dPt>
            <c:idx val="0"/>
            <c:spPr>
              <a:solidFill>
                <a:srgbClr val="FFFFCC"/>
              </a:solidFill>
              <a:ln w="12700">
                <a:solidFill>
                  <a:srgbClr val="000000"/>
                </a:solidFill>
                <a:prstDash val="sysDash"/>
              </a:ln>
            </c:spPr>
          </c:dPt>
          <c:val>
            <c:numRef>
              <c:f>'計画概要書(改修後)'!$U$39:$U$42</c:f>
              <c:numCache>
                <c:formatCode>General</c:formatCode>
                <c:ptCount val="4"/>
                <c:pt idx="0">
                  <c:v>0</c:v>
                </c:pt>
                <c:pt idx="1">
                  <c:v>0</c:v>
                </c:pt>
              </c:numCache>
            </c:numRef>
          </c:val>
        </c:ser>
        <c:ser>
          <c:idx val="3"/>
          <c:order val="3"/>
          <c:tx>
            <c:strRef>
              <c:f>'計画概要書(改修後)'!$V$38</c:f>
              <c:strCache>
                <c:ptCount val="1"/>
                <c:pt idx="0">
                  <c:v>オンサイト</c:v>
                </c:pt>
              </c:strCache>
            </c:strRef>
          </c:tx>
          <c:spPr>
            <a:solidFill>
              <a:srgbClr val="969696"/>
            </a:solidFill>
            <a:ln w="12700">
              <a:solidFill>
                <a:srgbClr val="000000"/>
              </a:solidFill>
              <a:prstDash val="solid"/>
            </a:ln>
          </c:spPr>
          <c:val>
            <c:numRef>
              <c:f>'計画概要書(改修後)'!$V$39:$V$42</c:f>
              <c:numCache>
                <c:formatCode>General</c:formatCode>
                <c:ptCount val="4"/>
                <c:pt idx="2">
                  <c:v>0</c:v>
                </c:pt>
              </c:numCache>
            </c:numRef>
          </c:val>
        </c:ser>
        <c:ser>
          <c:idx val="4"/>
          <c:order val="4"/>
          <c:tx>
            <c:strRef>
              <c:f>'計画概要書(改修後)'!$W$38</c:f>
              <c:strCache>
                <c:ptCount val="1"/>
                <c:pt idx="0">
                  <c:v>オフサイト</c:v>
                </c:pt>
              </c:strCache>
            </c:strRef>
          </c:tx>
          <c:spPr>
            <a:pattFill prst="pct60">
              <a:fgClr>
                <a:srgbClr val="C0C0C0"/>
              </a:fgClr>
              <a:bgClr>
                <a:srgbClr val="FFFFFF"/>
              </a:bgClr>
            </a:pattFill>
            <a:ln w="12700">
              <a:solidFill>
                <a:srgbClr val="000000"/>
              </a:solidFill>
              <a:prstDash val="solid"/>
            </a:ln>
          </c:spPr>
          <c:val>
            <c:numRef>
              <c:f>'計画概要書(改修後)'!$W$39:$W$42</c:f>
              <c:numCache>
                <c:formatCode>General</c:formatCode>
                <c:ptCount val="4"/>
                <c:pt idx="3">
                  <c:v>0</c:v>
                </c:pt>
              </c:numCache>
            </c:numRef>
          </c:val>
        </c:ser>
        <c:dLbls/>
        <c:gapWidth val="50"/>
        <c:overlap val="100"/>
        <c:axId val="109495808"/>
        <c:axId val="109497344"/>
      </c:barChart>
      <c:catAx>
        <c:axId val="109495808"/>
        <c:scaling>
          <c:orientation val="maxMin"/>
        </c:scaling>
        <c:delete val="1"/>
        <c:axPos val="l"/>
        <c:tickLblPos val="none"/>
        <c:crossAx val="109497344"/>
        <c:crosses val="autoZero"/>
        <c:auto val="1"/>
        <c:lblAlgn val="ctr"/>
        <c:lblOffset val="100"/>
      </c:catAx>
      <c:valAx>
        <c:axId val="109497344"/>
        <c:scaling>
          <c:orientation val="minMax"/>
        </c:scaling>
        <c:axPos val="b"/>
        <c:majorGridlines>
          <c:spPr>
            <a:ln w="3175">
              <a:solidFill>
                <a:srgbClr val="80808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9495808"/>
        <c:crosses val="max"/>
        <c:crossBetween val="between"/>
      </c:valAx>
      <c:spPr>
        <a:noFill/>
        <a:ln w="3175">
          <a:solidFill>
            <a:srgbClr val="000000"/>
          </a:solidFill>
          <a:prstDash val="solid"/>
        </a:ln>
      </c:spPr>
    </c:plotArea>
    <c:legend>
      <c:legendPos val="t"/>
      <c:layout>
        <c:manualLayout>
          <c:xMode val="edge"/>
          <c:yMode val="edge"/>
          <c:x val="3.4351145038167948E-2"/>
          <c:y val="2.8901734104046239E-2"/>
          <c:w val="0.95038328224239144"/>
          <c:h val="8.0924855491329536E-2"/>
        </c:manualLayout>
      </c:layout>
      <c:spPr>
        <a:noFill/>
        <a:ln w="25400">
          <a:noFill/>
        </a:ln>
      </c:spPr>
      <c:txPr>
        <a:bodyPr/>
        <a:lstStyle/>
        <a:p>
          <a:pPr>
            <a:defRPr sz="505" b="0" i="0" u="none" strike="noStrike" baseline="0">
              <a:solidFill>
                <a:srgbClr val="000000"/>
              </a:solidFill>
              <a:latin typeface="ＭＳ Ｐゴシック"/>
              <a:ea typeface="ＭＳ Ｐゴシック"/>
              <a:cs typeface="ＭＳ Ｐゴシック"/>
            </a:defRPr>
          </a:pPr>
          <a:endParaRPr lang="ja-JP"/>
        </a:p>
      </c:txPr>
    </c:legend>
    <c:dispBlanksAs val="gap"/>
  </c:chart>
  <c:spPr>
    <a:no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7524115755627015E-2"/>
          <c:y val="8.3333817742151123E-2"/>
          <c:w val="0.91639871382636651"/>
          <c:h val="0.72619469746731702"/>
        </c:manualLayout>
      </c:layout>
      <c:barChart>
        <c:barDir val="col"/>
        <c:grouping val="clustered"/>
        <c:ser>
          <c:idx val="0"/>
          <c:order val="0"/>
          <c:spPr>
            <a:solidFill>
              <a:srgbClr val="99CC00"/>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'計画概要書(改修前)'!$X$59:$X$61</c:f>
              <c:strCache>
                <c:ptCount val="3"/>
                <c:pt idx="0">
                  <c:v>地球温暖化への配慮</c:v>
                </c:pt>
                <c:pt idx="1">
                  <c:v>地域環境への配慮</c:v>
                </c:pt>
                <c:pt idx="2">
                  <c:v>周辺環境への配慮</c:v>
                </c:pt>
              </c:strCache>
            </c:strRef>
          </c:cat>
          <c:val>
            <c:numRef>
              <c:f>'計画概要書(改修前)'!$Y$59:$Y$61</c:f>
              <c:numCache>
                <c:formatCode>0.0_ </c:formatCode>
                <c:ptCount val="3"/>
                <c:pt idx="0">
                  <c:v>0</c:v>
                </c:pt>
                <c:pt idx="1">
                  <c:v>3</c:v>
                </c:pt>
                <c:pt idx="2">
                  <c:v>3</c:v>
                </c:pt>
              </c:numCache>
            </c:numRef>
          </c:val>
        </c:ser>
        <c:dLbls>
          <c:showVal val="1"/>
        </c:dLbls>
        <c:gapWidth val="70"/>
        <c:axId val="109509632"/>
        <c:axId val="109904640"/>
      </c:barChart>
      <c:catAx>
        <c:axId val="109509632"/>
        <c:scaling>
          <c:orientation val="minMax"/>
        </c:scaling>
        <c:axPos val="b"/>
        <c:majorTickMark val="none"/>
        <c:tickLblPos val="none"/>
        <c:spPr>
          <a:ln w="3175">
            <a:solidFill>
              <a:srgbClr val="000000"/>
            </a:solidFill>
            <a:prstDash val="solid"/>
          </a:ln>
        </c:spPr>
        <c:crossAx val="109904640"/>
        <c:crossesAt val="0"/>
        <c:auto val="1"/>
        <c:lblAlgn val="ctr"/>
        <c:lblOffset val="100"/>
        <c:tickMarkSkip val="1"/>
      </c:catAx>
      <c:valAx>
        <c:axId val="109904640"/>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9509632"/>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7.3954983922829592E-2"/>
          <c:y val="8.2840476032255528E-2"/>
          <c:w val="0.909967845659164"/>
          <c:h val="0.7278127537119593"/>
        </c:manualLayout>
      </c:layout>
      <c:barChart>
        <c:barDir val="col"/>
        <c:grouping val="clustered"/>
        <c:ser>
          <c:idx val="0"/>
          <c:order val="0"/>
          <c:spPr>
            <a:solidFill>
              <a:srgbClr val="99CC00"/>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'計画概要書(改修前)'!$U$59:$U$61</c:f>
              <c:strCache>
                <c:ptCount val="3"/>
                <c:pt idx="0">
                  <c:v>水資源</c:v>
                </c:pt>
                <c:pt idx="1">
                  <c:v>非再生性材料の削減</c:v>
                </c:pt>
                <c:pt idx="2">
                  <c:v>汚染物質回避</c:v>
                </c:pt>
              </c:strCache>
            </c:strRef>
          </c:cat>
          <c:val>
            <c:numRef>
              <c:f>'計画概要書(改修前)'!$V$59:$V$61</c:f>
              <c:numCache>
                <c:formatCode>0.0_ </c:formatCode>
                <c:ptCount val="3"/>
                <c:pt idx="0">
                  <c:v>3</c:v>
                </c:pt>
                <c:pt idx="1">
                  <c:v>3</c:v>
                </c:pt>
                <c:pt idx="2">
                  <c:v>3</c:v>
                </c:pt>
              </c:numCache>
            </c:numRef>
          </c:val>
        </c:ser>
        <c:dLbls>
          <c:showVal val="1"/>
        </c:dLbls>
        <c:gapWidth val="70"/>
        <c:axId val="109936640"/>
        <c:axId val="109938176"/>
      </c:barChart>
      <c:catAx>
        <c:axId val="109936640"/>
        <c:scaling>
          <c:orientation val="minMax"/>
        </c:scaling>
        <c:axPos val="b"/>
        <c:majorTickMark val="none"/>
        <c:tickLblPos val="none"/>
        <c:spPr>
          <a:ln w="3175">
            <a:solidFill>
              <a:srgbClr val="000000"/>
            </a:solidFill>
            <a:prstDash val="solid"/>
          </a:ln>
        </c:spPr>
        <c:crossAx val="109938176"/>
        <c:crossesAt val="0"/>
        <c:auto val="1"/>
        <c:lblAlgn val="ctr"/>
        <c:lblOffset val="100"/>
        <c:tickMarkSkip val="1"/>
      </c:catAx>
      <c:valAx>
        <c:axId val="109938176"/>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9936640"/>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4896942111858494E-2"/>
          <c:y val="8.2352941176470601E-2"/>
          <c:w val="0.92330649459144132"/>
          <c:h val="0.72352941176470598"/>
        </c:manualLayout>
      </c:layout>
      <c:barChart>
        <c:barDir val="col"/>
        <c:grouping val="clustered"/>
        <c:ser>
          <c:idx val="0"/>
          <c:order val="0"/>
          <c:spPr>
            <a:solidFill>
              <a:srgbClr val="99CC00"/>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'計画概要書(改修前)'!$R$59:$R$62</c:f>
              <c:strCache>
                <c:ptCount val="4"/>
                <c:pt idx="0">
                  <c:v>熱負荷抑制</c:v>
                </c:pt>
                <c:pt idx="1">
                  <c:v>自然ｴﾈﾙｷﾞｰ</c:v>
                </c:pt>
                <c:pt idx="2">
                  <c:v>設備の効率的利用</c:v>
                </c:pt>
                <c:pt idx="3">
                  <c:v>運用ﾏﾈｼﾞﾒﾝﾄ</c:v>
                </c:pt>
              </c:strCache>
            </c:strRef>
          </c:cat>
          <c:val>
            <c:numRef>
              <c:f>'計画概要書(改修前)'!$S$59:$S$62</c:f>
              <c:numCache>
                <c:formatCode>0.0_ </c:formatCode>
                <c:ptCount val="4"/>
                <c:pt idx="0">
                  <c:v>0.1</c:v>
                </c:pt>
                <c:pt idx="1">
                  <c:v>3</c:v>
                </c:pt>
                <c:pt idx="2">
                  <c:v>0.9</c:v>
                </c:pt>
                <c:pt idx="3">
                  <c:v>3</c:v>
                </c:pt>
              </c:numCache>
            </c:numRef>
          </c:val>
        </c:ser>
        <c:dLbls>
          <c:showVal val="1"/>
        </c:dLbls>
        <c:gapWidth val="40"/>
        <c:axId val="109978368"/>
        <c:axId val="109979904"/>
      </c:barChart>
      <c:catAx>
        <c:axId val="109978368"/>
        <c:scaling>
          <c:orientation val="minMax"/>
        </c:scaling>
        <c:axPos val="b"/>
        <c:majorTickMark val="none"/>
        <c:tickLblPos val="none"/>
        <c:spPr>
          <a:ln w="3175">
            <a:solidFill>
              <a:srgbClr val="000000"/>
            </a:solidFill>
            <a:prstDash val="solid"/>
          </a:ln>
        </c:spPr>
        <c:crossAx val="109979904"/>
        <c:crossesAt val="0"/>
        <c:auto val="1"/>
        <c:lblAlgn val="ctr"/>
        <c:lblOffset val="100"/>
        <c:tickMarkSkip val="1"/>
      </c:catAx>
      <c:valAx>
        <c:axId val="109979904"/>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9978368"/>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8.0924969694061752E-2"/>
          <c:y val="8.4337597472695897E-2"/>
          <c:w val="0.9046255540800473"/>
          <c:h val="0.72289369262310788"/>
        </c:manualLayout>
      </c:layout>
      <c:barChart>
        <c:barDir val="col"/>
        <c:grouping val="clustered"/>
        <c:ser>
          <c:idx val="0"/>
          <c:order val="0"/>
          <c:spPr>
            <a:solidFill>
              <a:srgbClr val="FFFF99"/>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'計画概要書(改修前)'!$R$48:$R$51</c:f>
              <c:strCache>
                <c:ptCount val="4"/>
                <c:pt idx="0">
                  <c:v>音環境</c:v>
                </c:pt>
                <c:pt idx="1">
                  <c:v>温熱環境</c:v>
                </c:pt>
                <c:pt idx="2">
                  <c:v>光・視環境</c:v>
                </c:pt>
                <c:pt idx="3">
                  <c:v>空気質環境</c:v>
                </c:pt>
              </c:strCache>
            </c:strRef>
          </c:cat>
          <c:val>
            <c:numRef>
              <c:f>'計画概要書(改修前)'!$S$48:$S$51</c:f>
              <c:numCache>
                <c:formatCode>0.0_ </c:formatCode>
                <c:ptCount val="4"/>
                <c:pt idx="0">
                  <c:v>3</c:v>
                </c:pt>
                <c:pt idx="1">
                  <c:v>3</c:v>
                </c:pt>
                <c:pt idx="2">
                  <c:v>3</c:v>
                </c:pt>
                <c:pt idx="3">
                  <c:v>3</c:v>
                </c:pt>
              </c:numCache>
            </c:numRef>
          </c:val>
        </c:ser>
        <c:dLbls>
          <c:showVal val="1"/>
        </c:dLbls>
        <c:gapWidth val="40"/>
        <c:axId val="110028288"/>
        <c:axId val="110029824"/>
      </c:barChart>
      <c:catAx>
        <c:axId val="110028288"/>
        <c:scaling>
          <c:orientation val="minMax"/>
        </c:scaling>
        <c:axPos val="b"/>
        <c:majorTickMark val="none"/>
        <c:tickLblPos val="none"/>
        <c:spPr>
          <a:ln w="3175">
            <a:solidFill>
              <a:srgbClr val="000000"/>
            </a:solidFill>
            <a:prstDash val="solid"/>
          </a:ln>
        </c:spPr>
        <c:crossAx val="110029824"/>
        <c:crossesAt val="0"/>
        <c:auto val="1"/>
        <c:lblAlgn val="ctr"/>
        <c:lblOffset val="100"/>
        <c:tickMarkSkip val="1"/>
      </c:catAx>
      <c:valAx>
        <c:axId val="110029824"/>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0028288"/>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0599102190520124"/>
          <c:y val="0.29730122071923465"/>
          <c:w val="0.72350393213550412"/>
          <c:h val="0.67568459254371516"/>
        </c:manualLayout>
      </c:layout>
      <c:barChart>
        <c:barDir val="bar"/>
        <c:grouping val="percentStacked"/>
        <c:ser>
          <c:idx val="0"/>
          <c:order val="0"/>
          <c:tx>
            <c:strRef>
              <c:f>ラベル!$C$6</c:f>
              <c:strCache>
                <c:ptCount val="1"/>
                <c:pt idx="0">
                  <c:v>STAR</c:v>
                </c:pt>
              </c:strCache>
            </c:strRef>
          </c:tx>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ラベル!$B$7</c:f>
              <c:strCache>
                <c:ptCount val="1"/>
                <c:pt idx="0">
                  <c:v>BEE(after)</c:v>
                </c:pt>
              </c:strCache>
            </c:strRef>
          </c:cat>
          <c:val>
            <c:numRef>
              <c:f>ラベル!$C$7</c:f>
              <c:numCache>
                <c:formatCode>General</c:formatCode>
                <c:ptCount val="1"/>
                <c:pt idx="0">
                  <c:v>0</c:v>
                </c:pt>
              </c:numCache>
            </c:numRef>
          </c:val>
        </c:ser>
        <c:ser>
          <c:idx val="1"/>
          <c:order val="1"/>
          <c:tx>
            <c:strRef>
              <c:f>ラベル!$D$6</c:f>
              <c:strCache>
                <c:ptCount val="1"/>
                <c:pt idx="0">
                  <c:v>BLANKSTAR</c:v>
                </c:pt>
              </c:strCache>
            </c:strRef>
          </c:tx>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ラベル!$B$7</c:f>
              <c:strCache>
                <c:ptCount val="1"/>
                <c:pt idx="0">
                  <c:v>BEE(after)</c:v>
                </c:pt>
              </c:strCache>
            </c:strRef>
          </c:cat>
          <c:val>
            <c:numRef>
              <c:f>ラベル!$D$7</c:f>
              <c:numCache>
                <c:formatCode>General</c:formatCode>
                <c:ptCount val="1"/>
                <c:pt idx="0">
                  <c:v>0</c:v>
                </c:pt>
              </c:numCache>
            </c:numRef>
          </c:val>
        </c:ser>
        <c:dLbls/>
        <c:gapWidth val="20"/>
        <c:overlap val="100"/>
        <c:axId val="97843456"/>
        <c:axId val="99688448"/>
      </c:barChart>
      <c:catAx>
        <c:axId val="97843456"/>
        <c:scaling>
          <c:orientation val="minMax"/>
        </c:scaling>
        <c:delete val="1"/>
        <c:axPos val="l"/>
        <c:tickLblPos val="none"/>
        <c:crossAx val="99688448"/>
        <c:crosses val="autoZero"/>
        <c:auto val="1"/>
        <c:lblAlgn val="ctr"/>
        <c:lblOffset val="100"/>
      </c:catAx>
      <c:valAx>
        <c:axId val="99688448"/>
        <c:scaling>
          <c:orientation val="minMax"/>
        </c:scaling>
        <c:delete val="1"/>
        <c:axPos val="b"/>
        <c:numFmt formatCode="0%" sourceLinked="1"/>
        <c:tickLblPos val="none"/>
        <c:crossAx val="97843456"/>
        <c:crosses val="autoZero"/>
        <c:crossBetween val="between"/>
      </c:valAx>
      <c:spPr>
        <a:noFill/>
        <a:ln w="25400">
          <a:noFill/>
        </a:ln>
      </c:spPr>
    </c:plotArea>
    <c:plotVisOnly val="1"/>
    <c:dispBlanksAs val="gap"/>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7.028764958511631E-2"/>
          <c:y val="8.383233532934134E-2"/>
          <c:w val="0.90734965828059233"/>
          <c:h val="0.71856287425149701"/>
        </c:manualLayout>
      </c:layout>
      <c:barChart>
        <c:barDir val="col"/>
        <c:grouping val="clustered"/>
        <c:ser>
          <c:idx val="0"/>
          <c:order val="0"/>
          <c:spPr>
            <a:solidFill>
              <a:srgbClr val="FFFF99"/>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'計画概要書(改修前)'!$X$48:$X$50</c:f>
              <c:strCache>
                <c:ptCount val="3"/>
                <c:pt idx="0">
                  <c:v>生物環境</c:v>
                </c:pt>
                <c:pt idx="1">
                  <c:v>まちなみ景観</c:v>
                </c:pt>
                <c:pt idx="2">
                  <c:v>地域性・文化</c:v>
                </c:pt>
              </c:strCache>
            </c:strRef>
          </c:cat>
          <c:val>
            <c:numRef>
              <c:f>'計画概要書(改修前)'!$Y$48:$Y$50</c:f>
              <c:numCache>
                <c:formatCode>0.0_ </c:formatCode>
                <c:ptCount val="3"/>
                <c:pt idx="0">
                  <c:v>3</c:v>
                </c:pt>
                <c:pt idx="1">
                  <c:v>3</c:v>
                </c:pt>
                <c:pt idx="2">
                  <c:v>3</c:v>
                </c:pt>
              </c:numCache>
            </c:numRef>
          </c:val>
        </c:ser>
        <c:dLbls>
          <c:showVal val="1"/>
        </c:dLbls>
        <c:gapWidth val="70"/>
        <c:axId val="110373120"/>
        <c:axId val="110399488"/>
      </c:barChart>
      <c:catAx>
        <c:axId val="110373120"/>
        <c:scaling>
          <c:orientation val="minMax"/>
        </c:scaling>
        <c:axPos val="b"/>
        <c:majorTickMark val="none"/>
        <c:tickLblPos val="none"/>
        <c:spPr>
          <a:ln w="3175">
            <a:solidFill>
              <a:srgbClr val="000000"/>
            </a:solidFill>
            <a:prstDash val="solid"/>
          </a:ln>
        </c:spPr>
        <c:crossAx val="110399488"/>
        <c:crossesAt val="0"/>
        <c:auto val="1"/>
        <c:lblAlgn val="ctr"/>
        <c:lblOffset val="100"/>
        <c:tickMarkSkip val="1"/>
      </c:catAx>
      <c:valAx>
        <c:axId val="110399488"/>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0373120"/>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3"/>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8441581830334103"/>
          <c:y val="0.18338134539161191"/>
          <c:w val="0.62337741398312474"/>
          <c:h val="0.68768004521854464"/>
        </c:manualLayout>
      </c:layout>
      <c:radarChart>
        <c:radarStyle val="filled"/>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'計画概要書(改修前)'!$V$9:$V$14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'計画概要書(改修前)'!$W$9:$W$14</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'計画概要書(改修前)'!$V$9:$V$14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'計画概要書(改修前)'!$X$9:$X$14</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'計画概要書(改修前)'!$V$9:$V$14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'計画概要書(改修前)'!$Y$9:$Y$14</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'計画概要書(改修前)'!$V$9:$V$14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'計画概要書(改修前)'!$Z$9:$Z$14</c:f>
              <c:numCache>
                <c:formatCode>General</c:formatCode>
                <c:ptCount val="6"/>
                <c:pt idx="0">
                  <c:v>3</c:v>
                </c:pt>
                <c:pt idx="1">
                  <c:v>3</c:v>
                </c:pt>
                <c:pt idx="2">
                  <c:v>0</c:v>
                </c:pt>
                <c:pt idx="3">
                  <c:v>3</c:v>
                </c:pt>
                <c:pt idx="4">
                  <c:v>1.4</c:v>
                </c:pt>
                <c:pt idx="5">
                  <c:v>3</c:v>
                </c:pt>
              </c:numCache>
            </c:numRef>
          </c:val>
        </c:ser>
        <c:ser>
          <c:idx val="4"/>
          <c:order val="4"/>
          <c:spPr>
            <a:noFill/>
            <a:ln w="12700">
              <a:solidFill>
                <a:srgbClr val="FF0000"/>
              </a:solidFill>
              <a:prstDash val="solid"/>
            </a:ln>
          </c:spPr>
          <c:cat>
            <c:strRef>
              <c:f>'計画概要書(改修前)'!$V$9:$V$14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'計画概要書(改修前)'!$AA$9:$AA$14</c:f>
              <c:numCache>
                <c:formatCode>General</c:formatCode>
                <c:ptCount val="6"/>
                <c:pt idx="0">
                  <c:v>3</c:v>
                </c:pt>
                <c:pt idx="1">
                  <c:v>3</c:v>
                </c:pt>
                <c:pt idx="2">
                  <c:v>3</c:v>
                </c:pt>
                <c:pt idx="3">
                  <c:v>3</c:v>
                </c:pt>
                <c:pt idx="4">
                  <c:v>3</c:v>
                </c:pt>
                <c:pt idx="5">
                  <c:v>3</c:v>
                </c:pt>
              </c:numCache>
            </c:numRef>
          </c:val>
        </c:ser>
        <c:dLbls/>
        <c:axId val="110546944"/>
        <c:axId val="110548480"/>
      </c:radarChart>
      <c:catAx>
        <c:axId val="110546944"/>
        <c:scaling>
          <c:orientation val="minMax"/>
        </c:scaling>
        <c:axPos val="b"/>
        <c:majorGridlines>
          <c:spPr>
            <a:ln w="3175">
              <a:solidFill>
                <a:srgbClr val="000000"/>
              </a:solidFill>
              <a:prstDash val="solid"/>
            </a:ln>
          </c:spPr>
        </c:majorGridlines>
        <c:numFmt formatCode="General" sourceLinked="1"/>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10548480"/>
        <c:crosses val="autoZero"/>
        <c:lblAlgn val="ctr"/>
        <c:lblOffset val="100"/>
      </c:catAx>
      <c:valAx>
        <c:axId val="110548480"/>
        <c:scaling>
          <c:orientation val="minMax"/>
          <c:max val="5"/>
          <c:min val="1"/>
        </c:scaling>
        <c:axPos val="l"/>
        <c:majorGridlines>
          <c:spPr>
            <a:ln w="3175">
              <a:solidFill>
                <a:srgbClr val="000000"/>
              </a:solidFill>
              <a:prstDash val="solid"/>
            </a:ln>
          </c:spPr>
        </c:majorGridlines>
        <c:numFmt formatCode="#,##0_);[Red]\(#,##0\)" sourceLinked="0"/>
        <c:majorTickMark val="cross"/>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10546944"/>
        <c:crosses val="autoZero"/>
        <c:crossBetween val="between"/>
        <c:majorUnit val="1"/>
      </c:valAx>
      <c:spPr>
        <a:noFill/>
        <a:ln w="25400">
          <a:noFill/>
        </a:ln>
      </c:spPr>
    </c:plotArea>
    <c:dispBlanksAs val="gap"/>
  </c:chart>
  <c:spPr>
    <a:noFill/>
    <a:ln w="9525">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7524115755627015E-2"/>
          <c:y val="8.4337597472695897E-2"/>
          <c:w val="0.91639871382636651"/>
          <c:h val="0.7289178067283002"/>
        </c:manualLayout>
      </c:layout>
      <c:barChart>
        <c:barDir val="col"/>
        <c:grouping val="clustered"/>
        <c:ser>
          <c:idx val="0"/>
          <c:order val="0"/>
          <c:spPr>
            <a:solidFill>
              <a:srgbClr val="FFFF99"/>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'計画概要書(改修前)'!$U$48:$U$50</c:f>
              <c:strCache>
                <c:ptCount val="3"/>
                <c:pt idx="0">
                  <c:v>機能性</c:v>
                </c:pt>
                <c:pt idx="1">
                  <c:v>耐用性・信頼性</c:v>
                </c:pt>
                <c:pt idx="2">
                  <c:v>対応性･更新性</c:v>
                </c:pt>
              </c:strCache>
            </c:strRef>
          </c:cat>
          <c:val>
            <c:numRef>
              <c:f>'計画概要書(改修前)'!$V$48:$V$50</c:f>
              <c:numCache>
                <c:formatCode>0.0_ </c:formatCode>
                <c:ptCount val="3"/>
                <c:pt idx="0">
                  <c:v>3</c:v>
                </c:pt>
                <c:pt idx="1">
                  <c:v>3.1</c:v>
                </c:pt>
                <c:pt idx="2">
                  <c:v>3</c:v>
                </c:pt>
              </c:numCache>
            </c:numRef>
          </c:val>
        </c:ser>
        <c:dLbls>
          <c:showVal val="1"/>
        </c:dLbls>
        <c:gapWidth val="70"/>
        <c:axId val="110445312"/>
        <c:axId val="110446848"/>
      </c:barChart>
      <c:catAx>
        <c:axId val="110445312"/>
        <c:scaling>
          <c:orientation val="minMax"/>
        </c:scaling>
        <c:axPos val="b"/>
        <c:majorTickMark val="none"/>
        <c:tickLblPos val="none"/>
        <c:spPr>
          <a:ln w="3175">
            <a:solidFill>
              <a:srgbClr val="000000"/>
            </a:solidFill>
            <a:prstDash val="solid"/>
          </a:ln>
        </c:spPr>
        <c:crossAx val="110446848"/>
        <c:crossesAt val="0"/>
        <c:auto val="1"/>
        <c:lblAlgn val="ctr"/>
        <c:lblOffset val="100"/>
        <c:tickMarkSkip val="1"/>
      </c:catAx>
      <c:valAx>
        <c:axId val="110446848"/>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0445312"/>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9795221843003416"/>
          <c:y val="9.842519685039372E-2"/>
          <c:w val="0.69965870307167244"/>
          <c:h val="0.70078740157480324"/>
        </c:manualLayout>
      </c:layout>
      <c:areaChart>
        <c:grouping val="standard"/>
        <c:ser>
          <c:idx val="4"/>
          <c:order val="0"/>
          <c:tx>
            <c:strRef>
              <c:f>'計画概要書(改修前)'!$S$29</c:f>
              <c:strCache>
                <c:ptCount val="1"/>
                <c:pt idx="0">
                  <c:v>S</c:v>
                </c:pt>
              </c:strCache>
            </c:strRef>
          </c:tx>
          <c:spPr>
            <a:pattFill prst="pct70">
              <a:fgClr>
                <a:srgbClr val="339966"/>
              </a:fgClr>
              <a:bgClr>
                <a:srgbClr val="FFFFFF"/>
              </a:bgClr>
            </a:pattFill>
            <a:ln w="12700">
              <a:solidFill>
                <a:srgbClr val="000000"/>
              </a:solidFill>
              <a:prstDash val="solid"/>
            </a:ln>
          </c:spPr>
          <c:cat>
            <c:numRef>
              <c:f>'計画概要書(改修前)'!$T$23:$U$23</c:f>
              <c:numCache>
                <c:formatCode>#,##0;[Red]\-#,##0</c:formatCode>
                <c:ptCount val="2"/>
                <c:pt idx="0">
                  <c:v>0</c:v>
                </c:pt>
                <c:pt idx="1">
                  <c:v>0</c:v>
                </c:pt>
              </c:numCache>
            </c:numRef>
          </c:cat>
          <c:val>
            <c:numRef>
              <c:f>'計画概要書(改修前)'!$T$29:$Z$29</c:f>
              <c:numCache>
                <c:formatCode>General</c:formatCode>
                <c:ptCount val="7"/>
                <c:pt idx="0">
                  <c:v>100</c:v>
                </c:pt>
                <c:pt idx="1">
                  <c:v>100</c:v>
                </c:pt>
                <c:pt idx="2">
                  <c:v>100</c:v>
                </c:pt>
                <c:pt idx="3">
                  <c:v>100</c:v>
                </c:pt>
                <c:pt idx="4">
                  <c:v>100</c:v>
                </c:pt>
                <c:pt idx="5">
                  <c:v>100</c:v>
                </c:pt>
                <c:pt idx="6">
                  <c:v>100</c:v>
                </c:pt>
              </c:numCache>
            </c:numRef>
          </c:val>
        </c:ser>
        <c:ser>
          <c:idx val="3"/>
          <c:order val="1"/>
          <c:tx>
            <c:strRef>
              <c:f>'計画概要書(改修前)'!$S$30</c:f>
              <c:strCache>
                <c:ptCount val="1"/>
                <c:pt idx="0">
                  <c:v>A</c:v>
                </c:pt>
              </c:strCache>
            </c:strRef>
          </c:tx>
          <c:spPr>
            <a:pattFill prst="pct90">
              <a:fgClr>
                <a:srgbClr val="CCFFCC"/>
              </a:fgClr>
              <a:bgClr>
                <a:srgbClr val="FFFFFF"/>
              </a:bgClr>
            </a:pattFill>
            <a:ln w="12700">
              <a:solidFill>
                <a:srgbClr val="000000"/>
              </a:solidFill>
              <a:prstDash val="solid"/>
            </a:ln>
          </c:spPr>
          <c:cat>
            <c:numRef>
              <c:f>'計画概要書(改修前)'!$T$23:$U$23</c:f>
              <c:numCache>
                <c:formatCode>#,##0;[Red]\-#,##0</c:formatCode>
                <c:ptCount val="2"/>
                <c:pt idx="0">
                  <c:v>0</c:v>
                </c:pt>
                <c:pt idx="1">
                  <c:v>0</c:v>
                </c:pt>
              </c:numCache>
            </c:numRef>
          </c:cat>
          <c:val>
            <c:numRef>
              <c:f>'計画概要書(改修前)'!$T$30:$Z$30</c:f>
              <c:numCache>
                <c:formatCode>General</c:formatCode>
                <c:ptCount val="7"/>
                <c:pt idx="0">
                  <c:v>50</c:v>
                </c:pt>
                <c:pt idx="1">
                  <c:v>50</c:v>
                </c:pt>
                <c:pt idx="2">
                  <c:v>100</c:v>
                </c:pt>
                <c:pt idx="3">
                  <c:v>100</c:v>
                </c:pt>
                <c:pt idx="4">
                  <c:v>100</c:v>
                </c:pt>
                <c:pt idx="5">
                  <c:v>100</c:v>
                </c:pt>
                <c:pt idx="6">
                  <c:v>100</c:v>
                </c:pt>
              </c:numCache>
            </c:numRef>
          </c:val>
        </c:ser>
        <c:ser>
          <c:idx val="2"/>
          <c:order val="2"/>
          <c:tx>
            <c:strRef>
              <c:f>'計画概要書(改修前)'!$S$31</c:f>
              <c:strCache>
                <c:ptCount val="1"/>
                <c:pt idx="0">
                  <c:v>B+</c:v>
                </c:pt>
              </c:strCache>
            </c:strRef>
          </c:tx>
          <c:spPr>
            <a:solidFill>
              <a:srgbClr val="FFFFCC"/>
            </a:solidFill>
            <a:ln w="12700">
              <a:solidFill>
                <a:srgbClr val="000000"/>
              </a:solidFill>
              <a:prstDash val="solid"/>
            </a:ln>
          </c:spPr>
          <c:cat>
            <c:numRef>
              <c:f>'計画概要書(改修前)'!$T$23:$U$23</c:f>
              <c:numCache>
                <c:formatCode>#,##0;[Red]\-#,##0</c:formatCode>
                <c:ptCount val="2"/>
                <c:pt idx="0">
                  <c:v>0</c:v>
                </c:pt>
                <c:pt idx="1">
                  <c:v>0</c:v>
                </c:pt>
              </c:numCache>
            </c:numRef>
          </c:cat>
          <c:val>
            <c:numRef>
              <c:f>'計画概要書(改修前)'!$T$31:$Z$31</c:f>
              <c:numCache>
                <c:formatCode>General</c:formatCode>
                <c:ptCount val="7"/>
                <c:pt idx="0">
                  <c:v>0</c:v>
                </c:pt>
                <c:pt idx="1">
                  <c:v>25</c:v>
                </c:pt>
                <c:pt idx="2">
                  <c:v>50</c:v>
                </c:pt>
                <c:pt idx="3">
                  <c:v>75</c:v>
                </c:pt>
                <c:pt idx="4">
                  <c:v>100</c:v>
                </c:pt>
                <c:pt idx="5">
                  <c:v>100</c:v>
                </c:pt>
                <c:pt idx="6">
                  <c:v>100</c:v>
                </c:pt>
              </c:numCache>
            </c:numRef>
          </c:val>
        </c:ser>
        <c:ser>
          <c:idx val="1"/>
          <c:order val="3"/>
          <c:tx>
            <c:strRef>
              <c:f>'計画概要書(改修前)'!$S$33</c:f>
              <c:strCache>
                <c:ptCount val="1"/>
                <c:pt idx="0">
                  <c:v>B-</c:v>
                </c:pt>
              </c:strCache>
            </c:strRef>
          </c:tx>
          <c:spPr>
            <a:solidFill>
              <a:srgbClr val="FFFFFF"/>
            </a:solidFill>
            <a:ln w="12700">
              <a:solidFill>
                <a:srgbClr val="000000"/>
              </a:solidFill>
              <a:prstDash val="solid"/>
            </a:ln>
          </c:spPr>
          <c:cat>
            <c:numRef>
              <c:f>'計画概要書(改修前)'!$T$23:$U$23</c:f>
              <c:numCache>
                <c:formatCode>#,##0;[Red]\-#,##0</c:formatCode>
                <c:ptCount val="2"/>
                <c:pt idx="0">
                  <c:v>0</c:v>
                </c:pt>
                <c:pt idx="1">
                  <c:v>0</c:v>
                </c:pt>
              </c:numCache>
            </c:numRef>
          </c:cat>
          <c:val>
            <c:numRef>
              <c:f>'計画概要書(改修前)'!$T$33:$Z$33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5"/>
          <c:tx>
            <c:strRef>
              <c:f>'計画概要書(改修前)'!$S$32</c:f>
              <c:strCache>
                <c:ptCount val="1"/>
                <c:pt idx="0">
                  <c:v>B</c:v>
                </c:pt>
              </c:strCache>
            </c:strRef>
          </c:tx>
          <c:spPr>
            <a:noFill/>
            <a:ln w="12700">
              <a:solidFill>
                <a:srgbClr val="000000"/>
              </a:solidFill>
              <a:prstDash val="solid"/>
            </a:ln>
          </c:spPr>
          <c:cat>
            <c:numRef>
              <c:f>'計画概要書(改修前)'!$T$23:$U$23</c:f>
              <c:numCache>
                <c:formatCode>#,##0;[Red]\-#,##0</c:formatCode>
                <c:ptCount val="2"/>
                <c:pt idx="0">
                  <c:v>0</c:v>
                </c:pt>
                <c:pt idx="1">
                  <c:v>0</c:v>
                </c:pt>
              </c:numCache>
            </c:numRef>
          </c:cat>
          <c:val>
            <c:numRef>
              <c:f>'計画概要書(改修前)'!$T$32:$Z$32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axId val="110685184"/>
        <c:axId val="110580480"/>
      </c:areaChart>
      <c:scatterChart>
        <c:scatterStyle val="lineMarker"/>
        <c:ser>
          <c:idx val="5"/>
          <c:order val="4"/>
          <c:tx>
            <c:strRef>
              <c:f>'計画概要書(改修前)'!$S$13</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dPt>
          <c:dPt>
            <c:idx val="1"/>
            <c:marker>
              <c:symbol val="triangle"/>
              <c:size val="20"/>
              <c:spPr>
                <a:solidFill>
                  <a:srgbClr val="339966"/>
                </a:solidFill>
                <a:ln>
                  <a:solidFill>
                    <a:srgbClr val="000000"/>
                  </a:solidFill>
                  <a:prstDash val="solid"/>
                </a:ln>
              </c:spPr>
            </c:marker>
            <c:spPr>
              <a:ln w="28575">
                <a:noFill/>
              </a:ln>
            </c:spPr>
          </c:dPt>
          <c:dPt>
            <c:idx val="2"/>
            <c:spPr>
              <a:ln w="38100">
                <a:solidFill>
                  <a:srgbClr val="008000"/>
                </a:solidFill>
                <a:prstDash val="solid"/>
              </a:ln>
            </c:spPr>
          </c:dPt>
          <c:dLbls>
            <c:dLbl>
              <c:idx val="1"/>
              <c:layout>
                <c:manualLayout>
                  <c:x val="-1.6037551620040693E-2"/>
                  <c:y val="-5.0183727034120752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SerName val="1"/>
            </c:dLbl>
            <c:delete val="1"/>
          </c:dLbls>
          <c:xVal>
            <c:numRef>
              <c:f>'計画概要書(改修前)'!$S$23:$U$23</c:f>
              <c:numCache>
                <c:formatCode>#,##0;[Red]\-#,##0</c:formatCode>
                <c:ptCount val="3"/>
                <c:pt idx="1">
                  <c:v>0</c:v>
                </c:pt>
                <c:pt idx="2">
                  <c:v>0</c:v>
                </c:pt>
              </c:numCache>
            </c:numRef>
          </c:xVal>
          <c:yVal>
            <c:numRef>
              <c:f>'計画概要書(改修前)'!$S$24:$U$24</c:f>
              <c:numCache>
                <c:formatCode>#,##0;[Red]\-#,##0</c:formatCode>
                <c:ptCount val="3"/>
                <c:pt idx="1">
                  <c:v>50.421875000000007</c:v>
                </c:pt>
                <c:pt idx="2">
                  <c:v>0</c:v>
                </c:pt>
              </c:numCache>
            </c:numRef>
          </c:yVal>
        </c:ser>
        <c:ser>
          <c:idx val="7"/>
          <c:order val="6"/>
          <c:spPr>
            <a:ln w="25400">
              <a:solidFill>
                <a:srgbClr val="008000"/>
              </a:solidFill>
              <a:prstDash val="sysDash"/>
            </a:ln>
          </c:spPr>
          <c:marker>
            <c:symbol val="none"/>
          </c:marker>
          <c:dPt>
            <c:idx val="1"/>
            <c:spPr>
              <a:ln w="28575">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CatName val="1"/>
            </c:dLbl>
            <c:dLbl>
              <c:idx val="3"/>
              <c:layout>
                <c:manualLayout>
                  <c:x val="-5.2504187829763493E-3"/>
                  <c:y val="-3.963254593175855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Val val="1"/>
            </c:dLbl>
            <c:delete val="1"/>
          </c:dLbls>
          <c:xVal>
            <c:numRef>
              <c:f>'計画概要書(改修前)'!$R$25:$U$25</c:f>
              <c:numCache>
                <c:formatCode>General</c:formatCode>
                <c:ptCount val="4"/>
                <c:pt idx="0">
                  <c:v>0</c:v>
                </c:pt>
                <c:pt idx="1">
                  <c:v>0</c:v>
                </c:pt>
                <c:pt idx="2" formatCode="#,##0;[Red]\-#,##0">
                  <c:v>0</c:v>
                </c:pt>
                <c:pt idx="3" formatCode="#,##0;[Red]\-#,##0">
                  <c:v>0.1</c:v>
                </c:pt>
              </c:numCache>
            </c:numRef>
          </c:xVal>
          <c:yVal>
            <c:numRef>
              <c:f>'計画概要書(改修前)'!$R$26:$U$26</c:f>
              <c:numCache>
                <c:formatCode>General</c:formatCode>
                <c:ptCount val="4"/>
                <c:pt idx="0">
                  <c:v>0</c:v>
                </c:pt>
                <c:pt idx="1">
                  <c:v>0</c:v>
                </c:pt>
                <c:pt idx="2" formatCode="#,##0;[Red]\-#,##0">
                  <c:v>50.421875000000007</c:v>
                </c:pt>
                <c:pt idx="3" formatCode="#,##0;[Red]\-#,##0">
                  <c:v>50.421875000000007</c:v>
                </c:pt>
              </c:numCache>
            </c:numRef>
          </c:yVal>
        </c:ser>
        <c:ser>
          <c:idx val="8"/>
          <c:order val="7"/>
          <c:spPr>
            <a:ln w="28575">
              <a:noFill/>
            </a:ln>
          </c:spPr>
          <c:marker>
            <c:symbol val="none"/>
          </c:marker>
          <c:dPt>
            <c:idx val="1"/>
            <c:marker>
              <c:symbol val="circle"/>
              <c:size val="6"/>
              <c:spPr>
                <a:solidFill>
                  <a:srgbClr val="008000"/>
                </a:solidFill>
                <a:ln>
                  <a:solidFill>
                    <a:srgbClr val="000000"/>
                  </a:solidFill>
                  <a:prstDash val="solid"/>
                </a:ln>
              </c:spPr>
            </c:marker>
          </c:dPt>
          <c:dPt>
            <c:idx val="3"/>
            <c:marker>
              <c:symbol val="circle"/>
              <c:size val="6"/>
              <c:spPr>
                <a:solidFill>
                  <a:srgbClr val="008000"/>
                </a:solidFill>
                <a:ln>
                  <a:solidFill>
                    <a:srgbClr val="000000"/>
                  </a:solidFill>
                  <a:prstDash val="solid"/>
                </a:ln>
              </c:spPr>
            </c:marker>
          </c:dPt>
          <c:xVal>
            <c:numRef>
              <c:f>'計画概要書(改修前)'!$R$25:$U$25</c:f>
              <c:numCache>
                <c:formatCode>General</c:formatCode>
                <c:ptCount val="4"/>
                <c:pt idx="0">
                  <c:v>0</c:v>
                </c:pt>
                <c:pt idx="1">
                  <c:v>0</c:v>
                </c:pt>
                <c:pt idx="2" formatCode="#,##0;[Red]\-#,##0">
                  <c:v>0</c:v>
                </c:pt>
                <c:pt idx="3" formatCode="#,##0;[Red]\-#,##0">
                  <c:v>0.1</c:v>
                </c:pt>
              </c:numCache>
            </c:numRef>
          </c:xVal>
          <c:yVal>
            <c:numRef>
              <c:f>'計画概要書(改修前)'!$R$26:$U$26</c:f>
              <c:numCache>
                <c:formatCode>General</c:formatCode>
                <c:ptCount val="4"/>
                <c:pt idx="0">
                  <c:v>0</c:v>
                </c:pt>
                <c:pt idx="1">
                  <c:v>0</c:v>
                </c:pt>
                <c:pt idx="2" formatCode="#,##0;[Red]\-#,##0">
                  <c:v>50.421875000000007</c:v>
                </c:pt>
                <c:pt idx="3" formatCode="#,##0;[Red]\-#,##0">
                  <c:v>50.421875000000007</c:v>
                </c:pt>
              </c:numCache>
            </c:numRef>
          </c:yVal>
        </c:ser>
        <c:dLbls/>
        <c:axId val="110582016"/>
        <c:axId val="110587904"/>
      </c:scatterChart>
      <c:catAx>
        <c:axId val="110685184"/>
        <c:scaling>
          <c:orientation val="minMax"/>
        </c:scaling>
        <c:axPos val="b"/>
        <c:numFmt formatCode="#,##0;[Red]\-#,##0" sourceLinked="1"/>
        <c:majorTickMark val="none"/>
        <c:tickLblPos val="none"/>
        <c:spPr>
          <a:ln w="3175">
            <a:solidFill>
              <a:srgbClr val="000000"/>
            </a:solidFill>
            <a:prstDash val="solid"/>
          </a:ln>
        </c:spPr>
        <c:crossAx val="110580480"/>
        <c:crosses val="autoZero"/>
        <c:lblAlgn val="ctr"/>
        <c:lblOffset val="100"/>
        <c:tickLblSkip val="50"/>
        <c:tickMarkSkip val="50"/>
      </c:catAx>
      <c:valAx>
        <c:axId val="110580480"/>
        <c:scaling>
          <c:orientation val="minMax"/>
          <c:max val="100"/>
          <c:min val="0"/>
        </c:scaling>
        <c:axPos val="l"/>
        <c:numFmt formatCode="General" sourceLinked="1"/>
        <c:maj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0685184"/>
        <c:crosses val="autoZero"/>
        <c:crossBetween val="midCat"/>
        <c:majorUnit val="50"/>
      </c:valAx>
      <c:valAx>
        <c:axId val="110582016"/>
        <c:scaling>
          <c:orientation val="minMax"/>
          <c:max val="100"/>
          <c:min val="0"/>
        </c:scaling>
        <c:axPos val="t"/>
        <c:numFmt formatCode="General" sourceLinked="1"/>
        <c:maj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0587904"/>
        <c:crosses val="max"/>
        <c:crossBetween val="midCat"/>
        <c:majorUnit val="50"/>
      </c:valAx>
      <c:valAx>
        <c:axId val="110587904"/>
        <c:scaling>
          <c:orientation val="minMax"/>
          <c:max val="100"/>
        </c:scaling>
        <c:axPos val="r"/>
        <c:numFmt formatCode="General" sourceLinked="1"/>
        <c:majorTickMark val="in"/>
        <c:tickLblPos val="none"/>
        <c:spPr>
          <a:ln w="3175">
            <a:solidFill>
              <a:srgbClr val="000000"/>
            </a:solidFill>
            <a:prstDash val="solid"/>
          </a:ln>
        </c:spPr>
        <c:crossAx val="110582016"/>
        <c:crosses val="max"/>
        <c:crossBetween val="midCat"/>
        <c:majorUnit val="50"/>
      </c:valAx>
      <c:spPr>
        <a:solidFill>
          <a:srgbClr val="C0C0C0"/>
        </a:solidFill>
        <a:ln w="12700">
          <a:solidFill>
            <a:srgbClr val="80808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3346303501945529E-2"/>
          <c:y val="7.3529411764705885E-2"/>
          <c:w val="0.9571984435797668"/>
          <c:h val="0.89705882352941191"/>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'計画概要書(改修前)'!$R$15</c:f>
              <c:strCache>
                <c:ptCount val="1"/>
                <c:pt idx="0">
                  <c:v>Rank(red star)</c:v>
                </c:pt>
              </c:strCache>
            </c:strRef>
          </c:cat>
          <c:val>
            <c:numRef>
              <c:f>'計画概要書(改修前)'!$S$15</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'計画概要書(改修前)'!$R$15</c:f>
              <c:strCache>
                <c:ptCount val="1"/>
                <c:pt idx="0">
                  <c:v>Rank(red star)</c:v>
                </c:pt>
              </c:strCache>
            </c:strRef>
          </c:cat>
          <c:val>
            <c:numRef>
              <c:f>'計画概要書(改修前)'!$S$16</c:f>
              <c:numCache>
                <c:formatCode>#,##0.0;[Red]\-#,##0.0</c:formatCode>
                <c:ptCount val="1"/>
                <c:pt idx="0">
                  <c:v>0</c:v>
                </c:pt>
              </c:numCache>
            </c:numRef>
          </c:val>
        </c:ser>
        <c:dLbls/>
        <c:gapWidth val="50"/>
        <c:overlap val="100"/>
        <c:axId val="110798336"/>
        <c:axId val="110799872"/>
      </c:barChart>
      <c:catAx>
        <c:axId val="110798336"/>
        <c:scaling>
          <c:orientation val="minMax"/>
        </c:scaling>
        <c:delete val="1"/>
        <c:axPos val="l"/>
        <c:tickLblPos val="none"/>
        <c:crossAx val="110799872"/>
        <c:crosses val="autoZero"/>
        <c:auto val="1"/>
        <c:lblAlgn val="ctr"/>
        <c:lblOffset val="100"/>
      </c:catAx>
      <c:valAx>
        <c:axId val="110799872"/>
        <c:scaling>
          <c:orientation val="minMax"/>
        </c:scaling>
        <c:delete val="1"/>
        <c:axPos val="b"/>
        <c:numFmt formatCode="0%" sourceLinked="1"/>
        <c:tickLblPos val="none"/>
        <c:crossAx val="110798336"/>
        <c:crosses val="autoZero"/>
        <c:crossBetween val="between"/>
      </c:valAx>
      <c:spPr>
        <a:noFill/>
        <a:ln w="25400">
          <a:noFill/>
        </a:ln>
      </c:spPr>
    </c:plotArea>
    <c:dispBlanksAs val="gap"/>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1.6891891891891893E-2"/>
          <c:y val="5.681849708416796E-2"/>
          <c:w val="0.96283783783783783"/>
          <c:h val="0.8409137568456857"/>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idx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'計画概要書(改修前)'!$R$35</c:f>
              <c:strCache>
                <c:ptCount val="1"/>
                <c:pt idx="0">
                  <c:v>Rank(green star)</c:v>
                </c:pt>
              </c:strCache>
            </c:strRef>
          </c:cat>
          <c:val>
            <c:numRef>
              <c:f>'計画概要書(改修前)'!$S$35</c:f>
              <c:numCache>
                <c:formatCode>#,##0.0;[Red]\-#,##0.0</c:formatCode>
                <c:ptCount val="1"/>
                <c:pt idx="0">
                  <c:v>0</c:v>
                </c:pt>
              </c:numCache>
            </c:numRef>
          </c:val>
        </c:ser>
        <c:ser>
          <c:idx val="1"/>
          <c:order val="1"/>
          <c:spPr>
            <a:blipFill dpi="0" rotWithShape="0">
              <a:blip xmlns:r="http://schemas.openxmlformats.org/officeDocument/2006/relationships" r:embed="rId3"/>
              <a:srcRect/>
              <a:stretch>
                <a:fillRect/>
              </a:stretch>
            </a:blipFill>
            <a:ln w="25400">
              <a:noFill/>
            </a:ln>
          </c:spPr>
          <c:pictureOptions>
            <c:pictureFormat val="stackScale"/>
            <c:pictureStackUnit val="20"/>
          </c:pictureOptions>
          <c:cat>
            <c:strRef>
              <c:f>'計画概要書(改修前)'!$R$35</c:f>
              <c:strCache>
                <c:ptCount val="1"/>
                <c:pt idx="0">
                  <c:v>Rank(green star)</c:v>
                </c:pt>
              </c:strCache>
            </c:strRef>
          </c:cat>
          <c:val>
            <c:numRef>
              <c:f>'計画概要書(改修前)'!$S$36</c:f>
              <c:numCache>
                <c:formatCode>#,##0.0;[Red]\-#,##0.0</c:formatCode>
                <c:ptCount val="1"/>
                <c:pt idx="0">
                  <c:v>0</c:v>
                </c:pt>
              </c:numCache>
            </c:numRef>
          </c:val>
        </c:ser>
        <c:dLbls/>
        <c:gapWidth val="50"/>
        <c:overlap val="100"/>
        <c:axId val="109863296"/>
        <c:axId val="109864832"/>
      </c:barChart>
      <c:catAx>
        <c:axId val="109863296"/>
        <c:scaling>
          <c:orientation val="minMax"/>
        </c:scaling>
        <c:delete val="1"/>
        <c:axPos val="l"/>
        <c:tickLblPos val="none"/>
        <c:crossAx val="109864832"/>
        <c:crosses val="autoZero"/>
        <c:auto val="1"/>
        <c:lblAlgn val="ctr"/>
        <c:lblOffset val="100"/>
      </c:catAx>
      <c:valAx>
        <c:axId val="109864832"/>
        <c:scaling>
          <c:orientation val="minMax"/>
        </c:scaling>
        <c:delete val="1"/>
        <c:axPos val="b"/>
        <c:numFmt formatCode="0%" sourceLinked="1"/>
        <c:tickLblPos val="none"/>
        <c:crossAx val="109863296"/>
        <c:crosses val="autoZero"/>
        <c:crossBetween val="between"/>
      </c:valAx>
      <c:spPr>
        <a:noFill/>
        <a:ln w="25400">
          <a:noFill/>
        </a:ln>
      </c:spPr>
    </c:plotArea>
    <c:dispBlanksAs val="gap"/>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5384615384615402E-2"/>
          <c:y val="0.11413073765162635"/>
          <c:w val="0.87307692307692308"/>
          <c:h val="0.7119584110649072"/>
        </c:manualLayout>
      </c:layout>
      <c:barChart>
        <c:barDir val="bar"/>
        <c:grouping val="stacked"/>
        <c:ser>
          <c:idx val="0"/>
          <c:order val="0"/>
          <c:tx>
            <c:strRef>
              <c:f>'計画概要書(改修前)'!$S$38</c:f>
              <c:strCache>
                <c:ptCount val="1"/>
                <c:pt idx="0">
                  <c:v>建設</c:v>
                </c:pt>
              </c:strCache>
            </c:strRef>
          </c:tx>
          <c:spPr>
            <a:solidFill>
              <a:srgbClr val="9999FF"/>
            </a:solidFill>
            <a:ln w="12700">
              <a:solidFill>
                <a:srgbClr val="000000"/>
              </a:solidFill>
              <a:prstDash val="solid"/>
            </a:ln>
          </c:spPr>
          <c:dPt>
            <c:idx val="0"/>
            <c:spPr>
              <a:solidFill>
                <a:srgbClr val="9999FF"/>
              </a:solidFill>
              <a:ln w="12700">
                <a:solidFill>
                  <a:srgbClr val="000000"/>
                </a:solidFill>
                <a:prstDash val="sysDash"/>
              </a:ln>
            </c:spPr>
          </c:dPt>
          <c:val>
            <c:numRef>
              <c:f>'計画概要書(改修前)'!$S$39:$S$42</c:f>
              <c:numCache>
                <c:formatCode>General</c:formatCode>
                <c:ptCount val="4"/>
                <c:pt idx="0">
                  <c:v>14.709407310704961</c:v>
                </c:pt>
                <c:pt idx="1">
                  <c:v>12.401638903394257</c:v>
                </c:pt>
              </c:numCache>
            </c:numRef>
          </c:val>
        </c:ser>
        <c:ser>
          <c:idx val="1"/>
          <c:order val="1"/>
          <c:tx>
            <c:strRef>
              <c:f>'計画概要書(改修前)'!$T$38</c:f>
              <c:strCache>
                <c:ptCount val="1"/>
                <c:pt idx="0">
                  <c:v>修繕・更新・解体</c:v>
                </c:pt>
              </c:strCache>
            </c:strRef>
          </c:tx>
          <c:spPr>
            <a:solidFill>
              <a:srgbClr val="99CC00"/>
            </a:solidFill>
            <a:ln w="12700">
              <a:solidFill>
                <a:srgbClr val="000000"/>
              </a:solidFill>
              <a:prstDash val="solid"/>
            </a:ln>
          </c:spPr>
          <c:dPt>
            <c:idx val="0"/>
            <c:spPr>
              <a:solidFill>
                <a:srgbClr val="99CC00"/>
              </a:solidFill>
              <a:ln w="12700">
                <a:solidFill>
                  <a:srgbClr val="000000"/>
                </a:solidFill>
                <a:prstDash val="sysDash"/>
              </a:ln>
            </c:spPr>
          </c:dPt>
          <c:val>
            <c:numRef>
              <c:f>'計画概要書(改修前)'!$T$39:$T$42</c:f>
              <c:numCache>
                <c:formatCode>General</c:formatCode>
                <c:ptCount val="4"/>
                <c:pt idx="0">
                  <c:v>13.445631853785901</c:v>
                </c:pt>
                <c:pt idx="1">
                  <c:v>13.445631853785901</c:v>
                </c:pt>
              </c:numCache>
            </c:numRef>
          </c:val>
        </c:ser>
        <c:ser>
          <c:idx val="2"/>
          <c:order val="2"/>
          <c:tx>
            <c:strRef>
              <c:f>'計画概要書(改修前)'!$U$38</c:f>
              <c:strCache>
                <c:ptCount val="1"/>
                <c:pt idx="0">
                  <c:v>運用</c:v>
                </c:pt>
              </c:strCache>
            </c:strRef>
          </c:tx>
          <c:spPr>
            <a:solidFill>
              <a:srgbClr val="FFFFCC"/>
            </a:solidFill>
            <a:ln w="12700">
              <a:solidFill>
                <a:srgbClr val="000000"/>
              </a:solidFill>
              <a:prstDash val="solid"/>
            </a:ln>
          </c:spPr>
          <c:dPt>
            <c:idx val="0"/>
            <c:spPr>
              <a:solidFill>
                <a:srgbClr val="FFFFCC"/>
              </a:solidFill>
              <a:ln w="12700">
                <a:solidFill>
                  <a:srgbClr val="000000"/>
                </a:solidFill>
                <a:prstDash val="sysDash"/>
              </a:ln>
            </c:spPr>
          </c:dPt>
          <c:val>
            <c:numRef>
              <c:f>'計画概要書(改修前)'!$U$39:$U$42</c:f>
              <c:numCache>
                <c:formatCode>General</c:formatCode>
                <c:ptCount val="4"/>
                <c:pt idx="0">
                  <c:v>0</c:v>
                </c:pt>
                <c:pt idx="1">
                  <c:v>0</c:v>
                </c:pt>
              </c:numCache>
            </c:numRef>
          </c:val>
        </c:ser>
        <c:ser>
          <c:idx val="3"/>
          <c:order val="3"/>
          <c:tx>
            <c:strRef>
              <c:f>'計画概要書(改修前)'!$V$38</c:f>
              <c:strCache>
                <c:ptCount val="1"/>
                <c:pt idx="0">
                  <c:v>オンサイト</c:v>
                </c:pt>
              </c:strCache>
            </c:strRef>
          </c:tx>
          <c:spPr>
            <a:solidFill>
              <a:srgbClr val="969696"/>
            </a:solidFill>
            <a:ln w="12700">
              <a:solidFill>
                <a:srgbClr val="000000"/>
              </a:solidFill>
              <a:prstDash val="solid"/>
            </a:ln>
          </c:spPr>
          <c:val>
            <c:numRef>
              <c:f>'計画概要書(改修前)'!$V$39:$V$42</c:f>
              <c:numCache>
                <c:formatCode>General</c:formatCode>
                <c:ptCount val="4"/>
                <c:pt idx="2">
                  <c:v>0</c:v>
                </c:pt>
              </c:numCache>
            </c:numRef>
          </c:val>
        </c:ser>
        <c:ser>
          <c:idx val="4"/>
          <c:order val="4"/>
          <c:tx>
            <c:strRef>
              <c:f>'計画概要書(改修前)'!$W$38</c:f>
              <c:strCache>
                <c:ptCount val="1"/>
                <c:pt idx="0">
                  <c:v>オフサイト</c:v>
                </c:pt>
              </c:strCache>
            </c:strRef>
          </c:tx>
          <c:spPr>
            <a:pattFill prst="pct60">
              <a:fgClr>
                <a:srgbClr val="C0C0C0"/>
              </a:fgClr>
              <a:bgClr>
                <a:srgbClr val="FFFFFF"/>
              </a:bgClr>
            </a:pattFill>
            <a:ln w="12700">
              <a:solidFill>
                <a:srgbClr val="000000"/>
              </a:solidFill>
              <a:prstDash val="solid"/>
            </a:ln>
          </c:spPr>
          <c:val>
            <c:numRef>
              <c:f>'計画概要書(改修前)'!$W$39:$W$42</c:f>
              <c:numCache>
                <c:formatCode>General</c:formatCode>
                <c:ptCount val="4"/>
                <c:pt idx="3">
                  <c:v>0</c:v>
                </c:pt>
              </c:numCache>
            </c:numRef>
          </c:val>
        </c:ser>
        <c:dLbls/>
        <c:gapWidth val="50"/>
        <c:overlap val="100"/>
        <c:axId val="110926848"/>
        <c:axId val="110940928"/>
      </c:barChart>
      <c:catAx>
        <c:axId val="110926848"/>
        <c:scaling>
          <c:orientation val="maxMin"/>
        </c:scaling>
        <c:delete val="1"/>
        <c:axPos val="l"/>
        <c:tickLblPos val="none"/>
        <c:crossAx val="110940928"/>
        <c:crosses val="autoZero"/>
        <c:auto val="1"/>
        <c:lblAlgn val="ctr"/>
        <c:lblOffset val="100"/>
      </c:catAx>
      <c:valAx>
        <c:axId val="110940928"/>
        <c:scaling>
          <c:orientation val="minMax"/>
        </c:scaling>
        <c:axPos val="b"/>
        <c:majorGridlines>
          <c:spPr>
            <a:ln w="3175">
              <a:solidFill>
                <a:srgbClr val="80808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0926848"/>
        <c:crosses val="max"/>
        <c:crossBetween val="between"/>
      </c:valAx>
      <c:spPr>
        <a:noFill/>
        <a:ln w="3175">
          <a:solidFill>
            <a:srgbClr val="000000"/>
          </a:solidFill>
          <a:prstDash val="solid"/>
        </a:ln>
      </c:spPr>
    </c:plotArea>
    <c:legend>
      <c:legendPos val="t"/>
      <c:layout>
        <c:manualLayout>
          <c:xMode val="edge"/>
          <c:yMode val="edge"/>
          <c:x val="4.2307692307692324E-2"/>
          <c:y val="2.7173913043478271E-2"/>
          <c:w val="0.88846153846153852"/>
          <c:h val="8.695652173913046E-2"/>
        </c:manualLayout>
      </c:layout>
      <c:spPr>
        <a:noFill/>
        <a:ln w="25400">
          <a:noFill/>
        </a:ln>
      </c:spPr>
      <c:txPr>
        <a:bodyPr/>
        <a:lstStyle/>
        <a:p>
          <a:pPr>
            <a:defRPr sz="505" b="0" i="0" u="none" strike="noStrike" baseline="0">
              <a:solidFill>
                <a:srgbClr val="000000"/>
              </a:solidFill>
              <a:latin typeface="ＭＳ Ｐゴシック"/>
              <a:ea typeface="ＭＳ Ｐゴシック"/>
              <a:cs typeface="ＭＳ Ｐゴシック"/>
            </a:defRPr>
          </a:pPr>
          <a:endParaRPr lang="ja-JP"/>
        </a:p>
      </c:txPr>
    </c:legend>
    <c:dispBlanksAs val="gap"/>
  </c:chart>
  <c:spPr>
    <a:no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8323084971681172E-2"/>
          <c:y val="8.2840476032255528E-2"/>
          <c:w val="0.92236164711769553"/>
          <c:h val="0.71597839999306578"/>
        </c:manualLayout>
      </c:layout>
      <c:barChart>
        <c:barDir val="col"/>
        <c:grouping val="clustered"/>
        <c:ser>
          <c:idx val="0"/>
          <c:order val="0"/>
          <c:tx>
            <c:strRef>
              <c:f>'計画概要書（前後の比較）'!$X$46</c:f>
              <c:strCache>
                <c:ptCount val="1"/>
                <c:pt idx="0">
                  <c:v>befoer</c:v>
                </c:pt>
              </c:strCache>
            </c:strRef>
          </c:tx>
          <c:spPr>
            <a:solidFill>
              <a:srgbClr val="FFFFCC"/>
            </a:solidFill>
            <a:ln w="12700">
              <a:solidFill>
                <a:srgbClr val="000000"/>
              </a:solidFill>
              <a:prstDash val="sysDash"/>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Val val="1"/>
          </c:dLbls>
          <c:cat>
            <c:strRef>
              <c:f>'計画概要書（前後の比較）'!$W$51:$W$53</c:f>
              <c:strCache>
                <c:ptCount val="3"/>
                <c:pt idx="0">
                  <c:v>機能性</c:v>
                </c:pt>
                <c:pt idx="1">
                  <c:v>耐用性・信頼性</c:v>
                </c:pt>
                <c:pt idx="2">
                  <c:v>対応性･更新性</c:v>
                </c:pt>
              </c:strCache>
            </c:strRef>
          </c:cat>
          <c:val>
            <c:numRef>
              <c:f>'計画概要書（前後の比較）'!$X$51:$X$53</c:f>
              <c:numCache>
                <c:formatCode>0.0_ </c:formatCode>
                <c:ptCount val="3"/>
                <c:pt idx="0">
                  <c:v>3</c:v>
                </c:pt>
                <c:pt idx="1">
                  <c:v>3.1</c:v>
                </c:pt>
                <c:pt idx="2">
                  <c:v>3</c:v>
                </c:pt>
              </c:numCache>
            </c:numRef>
          </c:val>
        </c:ser>
        <c:ser>
          <c:idx val="1"/>
          <c:order val="1"/>
          <c:tx>
            <c:strRef>
              <c:f>'計画概要書（前後の比較）'!$Z$46</c:f>
              <c:strCache>
                <c:ptCount val="1"/>
                <c:pt idx="0">
                  <c:v>after</c:v>
                </c:pt>
              </c:strCache>
            </c:strRef>
          </c:tx>
          <c:spPr>
            <a:solidFill>
              <a:srgbClr val="FFFF99"/>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'計画概要書（前後の比較）'!$W$51:$W$53</c:f>
              <c:strCache>
                <c:ptCount val="3"/>
                <c:pt idx="0">
                  <c:v>機能性</c:v>
                </c:pt>
                <c:pt idx="1">
                  <c:v>耐用性・信頼性</c:v>
                </c:pt>
                <c:pt idx="2">
                  <c:v>対応性･更新性</c:v>
                </c:pt>
              </c:strCache>
            </c:strRef>
          </c:cat>
          <c:val>
            <c:numRef>
              <c:f>'計画概要書（前後の比較）'!$Z$51:$Z$53</c:f>
              <c:numCache>
                <c:formatCode>0.0_ </c:formatCode>
                <c:ptCount val="3"/>
                <c:pt idx="0">
                  <c:v>3</c:v>
                </c:pt>
                <c:pt idx="1">
                  <c:v>3</c:v>
                </c:pt>
                <c:pt idx="2">
                  <c:v>3</c:v>
                </c:pt>
              </c:numCache>
            </c:numRef>
          </c:val>
        </c:ser>
        <c:dLbls>
          <c:showVal val="1"/>
        </c:dLbls>
        <c:gapWidth val="70"/>
        <c:axId val="111307392"/>
        <c:axId val="111325568"/>
      </c:barChart>
      <c:scatterChart>
        <c:scatterStyle val="lineMarker"/>
        <c:ser>
          <c:idx val="2"/>
          <c:order val="2"/>
          <c:spPr>
            <a:ln w="25400">
              <a:solidFill>
                <a:srgbClr val="FF0000"/>
              </a:solidFill>
              <a:prstDash val="solid"/>
            </a:ln>
          </c:spPr>
          <c:marker>
            <c:symbol val="none"/>
          </c:marker>
          <c:dLbls>
            <c:delete val="1"/>
          </c:dLbls>
          <c:xVal>
            <c:numLit>
              <c:formatCode>General</c:formatCode>
              <c:ptCount val="2"/>
              <c:pt idx="0">
                <c:v>0.5</c:v>
              </c:pt>
              <c:pt idx="1">
                <c:v>3.5</c:v>
              </c:pt>
            </c:numLit>
          </c:xVal>
          <c:yVal>
            <c:numLit>
              <c:formatCode>General</c:formatCode>
              <c:ptCount val="2"/>
              <c:pt idx="0">
                <c:v>3</c:v>
              </c:pt>
              <c:pt idx="1">
                <c:v>3</c:v>
              </c:pt>
            </c:numLit>
          </c:yVal>
        </c:ser>
        <c:dLbls>
          <c:showVal val="1"/>
        </c:dLbls>
        <c:axId val="111307392"/>
        <c:axId val="111325568"/>
      </c:scatterChart>
      <c:catAx>
        <c:axId val="111307392"/>
        <c:scaling>
          <c:orientation val="minMax"/>
        </c:scaling>
        <c:delete val="1"/>
        <c:axPos val="b"/>
        <c:tickLblPos val="none"/>
        <c:crossAx val="111325568"/>
        <c:crossesAt val="0"/>
        <c:auto val="1"/>
        <c:lblAlgn val="ctr"/>
        <c:lblOffset val="100"/>
      </c:catAx>
      <c:valAx>
        <c:axId val="111325568"/>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1307392"/>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6455798889621998E-2"/>
          <c:y val="8.2840476032255528E-2"/>
          <c:w val="0.92088749889904753"/>
          <c:h val="0.72189557685251271"/>
        </c:manualLayout>
      </c:layout>
      <c:barChart>
        <c:barDir val="col"/>
        <c:grouping val="clustered"/>
        <c:ser>
          <c:idx val="0"/>
          <c:order val="0"/>
          <c:tx>
            <c:strRef>
              <c:f>'計画概要書（前後の比較）'!$AC$46</c:f>
              <c:strCache>
                <c:ptCount val="1"/>
                <c:pt idx="0">
                  <c:v>befoer</c:v>
                </c:pt>
              </c:strCache>
            </c:strRef>
          </c:tx>
          <c:spPr>
            <a:solidFill>
              <a:srgbClr val="CCFFCC"/>
            </a:solidFill>
            <a:ln w="12700">
              <a:solidFill>
                <a:srgbClr val="000000"/>
              </a:solidFill>
              <a:prstDash val="sysDash"/>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Val val="1"/>
          </c:dLbls>
          <c:cat>
            <c:strRef>
              <c:f>'計画概要書（前後の比較）'!$AB$62:$AB$64</c:f>
              <c:strCache>
                <c:ptCount val="3"/>
                <c:pt idx="0">
                  <c:v>地球温暖化への配慮</c:v>
                </c:pt>
                <c:pt idx="1">
                  <c:v>地域環境への配慮</c:v>
                </c:pt>
                <c:pt idx="2">
                  <c:v>周辺環境への配慮</c:v>
                </c:pt>
              </c:strCache>
            </c:strRef>
          </c:cat>
          <c:val>
            <c:numRef>
              <c:f>'計画概要書（前後の比較）'!$AC$62:$AC$64</c:f>
              <c:numCache>
                <c:formatCode>0.0_ </c:formatCode>
                <c:ptCount val="3"/>
                <c:pt idx="0">
                  <c:v>0</c:v>
                </c:pt>
                <c:pt idx="1">
                  <c:v>3</c:v>
                </c:pt>
                <c:pt idx="2">
                  <c:v>3</c:v>
                </c:pt>
              </c:numCache>
            </c:numRef>
          </c:val>
        </c:ser>
        <c:ser>
          <c:idx val="1"/>
          <c:order val="1"/>
          <c:tx>
            <c:strRef>
              <c:f>'計画概要書（前後の比較）'!$AE$46</c:f>
              <c:strCache>
                <c:ptCount val="1"/>
                <c:pt idx="0">
                  <c:v>after</c:v>
                </c:pt>
              </c:strCache>
            </c:strRef>
          </c:tx>
          <c:spPr>
            <a:solidFill>
              <a:srgbClr val="99CC00"/>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'計画概要書（前後の比較）'!$AB$62:$AB$64</c:f>
              <c:strCache>
                <c:ptCount val="3"/>
                <c:pt idx="0">
                  <c:v>地球温暖化への配慮</c:v>
                </c:pt>
                <c:pt idx="1">
                  <c:v>地域環境への配慮</c:v>
                </c:pt>
                <c:pt idx="2">
                  <c:v>周辺環境への配慮</c:v>
                </c:pt>
              </c:strCache>
            </c:strRef>
          </c:cat>
          <c:val>
            <c:numRef>
              <c:f>'計画概要書（前後の比較）'!$AE$62:$AE$64</c:f>
              <c:numCache>
                <c:formatCode>0.0_ </c:formatCode>
                <c:ptCount val="3"/>
                <c:pt idx="0">
                  <c:v>0</c:v>
                </c:pt>
                <c:pt idx="1">
                  <c:v>3</c:v>
                </c:pt>
                <c:pt idx="2">
                  <c:v>3</c:v>
                </c:pt>
              </c:numCache>
            </c:numRef>
          </c:val>
        </c:ser>
        <c:dLbls>
          <c:showVal val="1"/>
        </c:dLbls>
        <c:gapWidth val="70"/>
        <c:axId val="110257664"/>
        <c:axId val="110259200"/>
      </c:barChart>
      <c:scatterChart>
        <c:scatterStyle val="lineMarker"/>
        <c:ser>
          <c:idx val="2"/>
          <c:order val="2"/>
          <c:spPr>
            <a:ln w="25400">
              <a:solidFill>
                <a:srgbClr val="FF0000"/>
              </a:solidFill>
              <a:prstDash val="solid"/>
            </a:ln>
          </c:spPr>
          <c:marker>
            <c:symbol val="none"/>
          </c:marker>
          <c:dLbls>
            <c:delete val="1"/>
          </c:dLbls>
          <c:xVal>
            <c:numLit>
              <c:formatCode>General</c:formatCode>
              <c:ptCount val="2"/>
              <c:pt idx="0">
                <c:v>0.5</c:v>
              </c:pt>
              <c:pt idx="1">
                <c:v>3.5</c:v>
              </c:pt>
            </c:numLit>
          </c:xVal>
          <c:yVal>
            <c:numLit>
              <c:formatCode>General</c:formatCode>
              <c:ptCount val="2"/>
              <c:pt idx="0">
                <c:v>3</c:v>
              </c:pt>
              <c:pt idx="1">
                <c:v>3</c:v>
              </c:pt>
            </c:numLit>
          </c:yVal>
        </c:ser>
        <c:dLbls>
          <c:showVal val="1"/>
        </c:dLbls>
        <c:axId val="110257664"/>
        <c:axId val="110259200"/>
      </c:scatterChart>
      <c:catAx>
        <c:axId val="110257664"/>
        <c:scaling>
          <c:orientation val="minMax"/>
        </c:scaling>
        <c:delete val="1"/>
        <c:axPos val="b"/>
        <c:tickLblPos val="none"/>
        <c:crossAx val="110259200"/>
        <c:crossesAt val="0"/>
        <c:auto val="1"/>
        <c:lblAlgn val="ctr"/>
        <c:lblOffset val="100"/>
      </c:catAx>
      <c:valAx>
        <c:axId val="110259200"/>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0257664"/>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6246056782334375E-2"/>
          <c:y val="8.2352941176470601E-2"/>
          <c:w val="0.92113564668769732"/>
          <c:h val="0.71176470588235285"/>
        </c:manualLayout>
      </c:layout>
      <c:barChart>
        <c:barDir val="col"/>
        <c:grouping val="clustered"/>
        <c:ser>
          <c:idx val="0"/>
          <c:order val="0"/>
          <c:tx>
            <c:strRef>
              <c:f>'計画概要書（前後の比較）'!$AC$46</c:f>
              <c:strCache>
                <c:ptCount val="1"/>
                <c:pt idx="0">
                  <c:v>befoer</c:v>
                </c:pt>
              </c:strCache>
            </c:strRef>
          </c:tx>
          <c:spPr>
            <a:solidFill>
              <a:srgbClr val="FFFFCC"/>
            </a:solidFill>
            <a:ln w="12700">
              <a:solidFill>
                <a:srgbClr val="000000"/>
              </a:solidFill>
              <a:prstDash val="sysDash"/>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Val val="1"/>
          </c:dLbls>
          <c:cat>
            <c:strRef>
              <c:f>'計画概要書（前後の比較）'!$AB$51:$AB$53</c:f>
              <c:strCache>
                <c:ptCount val="3"/>
                <c:pt idx="0">
                  <c:v>生物環境</c:v>
                </c:pt>
                <c:pt idx="1">
                  <c:v>まちなみ景観</c:v>
                </c:pt>
                <c:pt idx="2">
                  <c:v>地域性・文化</c:v>
                </c:pt>
              </c:strCache>
            </c:strRef>
          </c:cat>
          <c:val>
            <c:numRef>
              <c:f>'計画概要書（前後の比較）'!$AC$51:$AC$53</c:f>
              <c:numCache>
                <c:formatCode>0.0_ </c:formatCode>
                <c:ptCount val="3"/>
                <c:pt idx="0">
                  <c:v>3</c:v>
                </c:pt>
                <c:pt idx="1">
                  <c:v>3</c:v>
                </c:pt>
                <c:pt idx="2">
                  <c:v>3</c:v>
                </c:pt>
              </c:numCache>
            </c:numRef>
          </c:val>
        </c:ser>
        <c:ser>
          <c:idx val="1"/>
          <c:order val="1"/>
          <c:tx>
            <c:strRef>
              <c:f>'計画概要書（前後の比較）'!$AE$46</c:f>
              <c:strCache>
                <c:ptCount val="1"/>
                <c:pt idx="0">
                  <c:v>after</c:v>
                </c:pt>
              </c:strCache>
            </c:strRef>
          </c:tx>
          <c:spPr>
            <a:solidFill>
              <a:srgbClr val="FFFF99"/>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'計画概要書（前後の比較）'!$AB$51:$AB$53</c:f>
              <c:strCache>
                <c:ptCount val="3"/>
                <c:pt idx="0">
                  <c:v>生物環境</c:v>
                </c:pt>
                <c:pt idx="1">
                  <c:v>まちなみ景観</c:v>
                </c:pt>
                <c:pt idx="2">
                  <c:v>地域性・文化</c:v>
                </c:pt>
              </c:strCache>
            </c:strRef>
          </c:cat>
          <c:val>
            <c:numRef>
              <c:f>'計画概要書（前後の比較）'!$AE$51:$AE$53</c:f>
              <c:numCache>
                <c:formatCode>0.0_ </c:formatCode>
                <c:ptCount val="3"/>
                <c:pt idx="0">
                  <c:v>3</c:v>
                </c:pt>
                <c:pt idx="1">
                  <c:v>3</c:v>
                </c:pt>
                <c:pt idx="2">
                  <c:v>3</c:v>
                </c:pt>
              </c:numCache>
            </c:numRef>
          </c:val>
        </c:ser>
        <c:dLbls>
          <c:showVal val="1"/>
        </c:dLbls>
        <c:gapWidth val="70"/>
        <c:axId val="111387392"/>
        <c:axId val="111388928"/>
      </c:barChart>
      <c:scatterChart>
        <c:scatterStyle val="lineMarker"/>
        <c:ser>
          <c:idx val="2"/>
          <c:order val="2"/>
          <c:spPr>
            <a:ln w="25400">
              <a:solidFill>
                <a:srgbClr val="FF0000"/>
              </a:solidFill>
              <a:prstDash val="solid"/>
            </a:ln>
          </c:spPr>
          <c:marker>
            <c:symbol val="none"/>
          </c:marker>
          <c:dLbls>
            <c:delete val="1"/>
          </c:dLbls>
          <c:xVal>
            <c:numLit>
              <c:formatCode>General</c:formatCode>
              <c:ptCount val="2"/>
              <c:pt idx="0">
                <c:v>0.5</c:v>
              </c:pt>
              <c:pt idx="1">
                <c:v>3.5</c:v>
              </c:pt>
            </c:numLit>
          </c:xVal>
          <c:yVal>
            <c:numLit>
              <c:formatCode>General</c:formatCode>
              <c:ptCount val="2"/>
              <c:pt idx="0">
                <c:v>3</c:v>
              </c:pt>
              <c:pt idx="1">
                <c:v>3</c:v>
              </c:pt>
            </c:numLit>
          </c:yVal>
        </c:ser>
        <c:dLbls>
          <c:showVal val="1"/>
        </c:dLbls>
        <c:axId val="111387392"/>
        <c:axId val="111388928"/>
      </c:scatterChart>
      <c:catAx>
        <c:axId val="111387392"/>
        <c:scaling>
          <c:orientation val="minMax"/>
        </c:scaling>
        <c:delete val="1"/>
        <c:axPos val="b"/>
        <c:tickLblPos val="none"/>
        <c:crossAx val="111388928"/>
        <c:crossesAt val="0"/>
        <c:auto val="1"/>
        <c:lblAlgn val="ctr"/>
        <c:lblOffset val="100"/>
      </c:catAx>
      <c:valAx>
        <c:axId val="111388928"/>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1387392"/>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8.6207380384453525E-2"/>
          <c:y val="0.11194029850746266"/>
          <c:w val="0.83333801038305044"/>
          <c:h val="0.78358208955223851"/>
        </c:manualLayout>
      </c:layout>
      <c:barChart>
        <c:barDir val="bar"/>
        <c:grouping val="percentStacked"/>
        <c:ser>
          <c:idx val="0"/>
          <c:order val="0"/>
          <c:tx>
            <c:strRef>
              <c:f>ラベル!$C$1</c:f>
              <c:strCache>
                <c:ptCount val="1"/>
                <c:pt idx="0">
                  <c:v>PINKCHERRY</c:v>
                </c:pt>
              </c:strCache>
            </c:strRef>
          </c:tx>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ラベル!$B$2:$B$4</c:f>
              <c:strCache>
                <c:ptCount val="3"/>
                <c:pt idx="0">
                  <c:v>みどり</c:v>
                </c:pt>
                <c:pt idx="1">
                  <c:v>省エネ</c:v>
                </c:pt>
                <c:pt idx="2">
                  <c:v>CO2</c:v>
                </c:pt>
              </c:strCache>
            </c:strRef>
          </c:cat>
          <c:val>
            <c:numRef>
              <c:f>ラベル!$C$2:$C$4</c:f>
              <c:numCache>
                <c:formatCode>0_);[Red]\(0\)</c:formatCode>
                <c:ptCount val="3"/>
                <c:pt idx="0">
                  <c:v>3</c:v>
                </c:pt>
                <c:pt idx="1">
                  <c:v>2</c:v>
                </c:pt>
                <c:pt idx="2">
                  <c:v>0</c:v>
                </c:pt>
              </c:numCache>
            </c:numRef>
          </c:val>
        </c:ser>
        <c:ser>
          <c:idx val="1"/>
          <c:order val="1"/>
          <c:tx>
            <c:strRef>
              <c:f>ラベル!$D$1</c:f>
              <c:strCache>
                <c:ptCount val="1"/>
                <c:pt idx="0">
                  <c:v>WHITECHERRY</c:v>
                </c:pt>
              </c:strCache>
            </c:strRef>
          </c:tx>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ラベル!$B$2:$B$4</c:f>
              <c:strCache>
                <c:ptCount val="3"/>
                <c:pt idx="0">
                  <c:v>みどり</c:v>
                </c:pt>
                <c:pt idx="1">
                  <c:v>省エネ</c:v>
                </c:pt>
                <c:pt idx="2">
                  <c:v>CO2</c:v>
                </c:pt>
              </c:strCache>
            </c:strRef>
          </c:cat>
          <c:val>
            <c:numRef>
              <c:f>ラベル!$D$2:$D$4</c:f>
              <c:numCache>
                <c:formatCode>0_);[Red]\(0\)</c:formatCode>
                <c:ptCount val="3"/>
                <c:pt idx="0">
                  <c:v>2</c:v>
                </c:pt>
                <c:pt idx="1">
                  <c:v>3</c:v>
                </c:pt>
                <c:pt idx="2">
                  <c:v>0</c:v>
                </c:pt>
              </c:numCache>
            </c:numRef>
          </c:val>
        </c:ser>
        <c:dLbls/>
        <c:gapWidth val="30"/>
        <c:overlap val="100"/>
        <c:axId val="100840576"/>
        <c:axId val="100842112"/>
      </c:barChart>
      <c:catAx>
        <c:axId val="100840576"/>
        <c:scaling>
          <c:orientation val="minMax"/>
        </c:scaling>
        <c:delete val="1"/>
        <c:axPos val="l"/>
        <c:tickLblPos val="none"/>
        <c:crossAx val="100842112"/>
        <c:crosses val="autoZero"/>
        <c:auto val="1"/>
        <c:lblAlgn val="ctr"/>
        <c:lblOffset val="100"/>
      </c:catAx>
      <c:valAx>
        <c:axId val="100842112"/>
        <c:scaling>
          <c:orientation val="minMax"/>
        </c:scaling>
        <c:delete val="1"/>
        <c:axPos val="b"/>
        <c:numFmt formatCode="0%" sourceLinked="1"/>
        <c:tickLblPos val="none"/>
        <c:crossAx val="100840576"/>
        <c:crosses val="autoZero"/>
        <c:crossBetween val="between"/>
      </c:valAx>
      <c:spPr>
        <a:noFill/>
        <a:ln w="25400">
          <a:noFill/>
        </a:ln>
      </c:spPr>
    </c:plotArea>
    <c:plotVisOnly val="1"/>
    <c:dispBlanksAs val="gap"/>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5015479876160992E-2"/>
          <c:y val="8.3333817742151123E-2"/>
          <c:w val="0.92260061919504655"/>
          <c:h val="0.71428986636129543"/>
        </c:manualLayout>
      </c:layout>
      <c:barChart>
        <c:barDir val="col"/>
        <c:grouping val="clustered"/>
        <c:ser>
          <c:idx val="0"/>
          <c:order val="0"/>
          <c:tx>
            <c:strRef>
              <c:f>'計画概要書（前後の比較）'!$X$46</c:f>
              <c:strCache>
                <c:ptCount val="1"/>
                <c:pt idx="0">
                  <c:v>befoer</c:v>
                </c:pt>
              </c:strCache>
            </c:strRef>
          </c:tx>
          <c:spPr>
            <a:solidFill>
              <a:srgbClr val="CCFFCC"/>
            </a:solidFill>
            <a:ln w="12700">
              <a:solidFill>
                <a:srgbClr val="000000"/>
              </a:solidFill>
              <a:prstDash val="sysDash"/>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Val val="1"/>
          </c:dLbls>
          <c:cat>
            <c:strRef>
              <c:f>'計画概要書（前後の比較）'!$W$62:$W$64</c:f>
              <c:strCache>
                <c:ptCount val="3"/>
                <c:pt idx="0">
                  <c:v>水資源</c:v>
                </c:pt>
                <c:pt idx="1">
                  <c:v>非再生性材料の削減</c:v>
                </c:pt>
                <c:pt idx="2">
                  <c:v>汚染物質回避</c:v>
                </c:pt>
              </c:strCache>
            </c:strRef>
          </c:cat>
          <c:val>
            <c:numRef>
              <c:f>'計画概要書（前後の比較）'!$X$62:$X$64</c:f>
              <c:numCache>
                <c:formatCode>0.0_ </c:formatCode>
                <c:ptCount val="3"/>
                <c:pt idx="0">
                  <c:v>3</c:v>
                </c:pt>
                <c:pt idx="1">
                  <c:v>3</c:v>
                </c:pt>
                <c:pt idx="2">
                  <c:v>3</c:v>
                </c:pt>
              </c:numCache>
            </c:numRef>
          </c:val>
        </c:ser>
        <c:ser>
          <c:idx val="1"/>
          <c:order val="1"/>
          <c:tx>
            <c:strRef>
              <c:f>'計画概要書（前後の比較）'!$Z$46</c:f>
              <c:strCache>
                <c:ptCount val="1"/>
                <c:pt idx="0">
                  <c:v>after</c:v>
                </c:pt>
              </c:strCache>
            </c:strRef>
          </c:tx>
          <c:spPr>
            <a:solidFill>
              <a:srgbClr val="99CC00"/>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'計画概要書（前後の比較）'!$W$62:$W$64</c:f>
              <c:strCache>
                <c:ptCount val="3"/>
                <c:pt idx="0">
                  <c:v>水資源</c:v>
                </c:pt>
                <c:pt idx="1">
                  <c:v>非再生性材料の削減</c:v>
                </c:pt>
                <c:pt idx="2">
                  <c:v>汚染物質回避</c:v>
                </c:pt>
              </c:strCache>
            </c:strRef>
          </c:cat>
          <c:val>
            <c:numRef>
              <c:f>'計画概要書（前後の比較）'!$Z$62:$Z$64</c:f>
              <c:numCache>
                <c:formatCode>0.0_ </c:formatCode>
                <c:ptCount val="3"/>
                <c:pt idx="0">
                  <c:v>3</c:v>
                </c:pt>
                <c:pt idx="1">
                  <c:v>3</c:v>
                </c:pt>
                <c:pt idx="2">
                  <c:v>3</c:v>
                </c:pt>
              </c:numCache>
            </c:numRef>
          </c:val>
        </c:ser>
        <c:dLbls>
          <c:showVal val="1"/>
        </c:dLbls>
        <c:gapWidth val="70"/>
        <c:axId val="110346240"/>
        <c:axId val="110347776"/>
      </c:barChart>
      <c:scatterChart>
        <c:scatterStyle val="lineMarker"/>
        <c:ser>
          <c:idx val="2"/>
          <c:order val="2"/>
          <c:spPr>
            <a:ln w="25400">
              <a:solidFill>
                <a:srgbClr val="FF0000"/>
              </a:solidFill>
              <a:prstDash val="solid"/>
            </a:ln>
          </c:spPr>
          <c:marker>
            <c:symbol val="none"/>
          </c:marker>
          <c:dLbls>
            <c:delete val="1"/>
          </c:dLbls>
          <c:xVal>
            <c:numLit>
              <c:formatCode>General</c:formatCode>
              <c:ptCount val="2"/>
              <c:pt idx="0">
                <c:v>0.5</c:v>
              </c:pt>
              <c:pt idx="1">
                <c:v>3.5</c:v>
              </c:pt>
            </c:numLit>
          </c:xVal>
          <c:yVal>
            <c:numLit>
              <c:formatCode>General</c:formatCode>
              <c:ptCount val="2"/>
              <c:pt idx="0">
                <c:v>3</c:v>
              </c:pt>
              <c:pt idx="1">
                <c:v>3</c:v>
              </c:pt>
            </c:numLit>
          </c:yVal>
        </c:ser>
        <c:dLbls>
          <c:showVal val="1"/>
        </c:dLbls>
        <c:axId val="110346240"/>
        <c:axId val="110347776"/>
      </c:scatterChart>
      <c:catAx>
        <c:axId val="110346240"/>
        <c:scaling>
          <c:orientation val="minMax"/>
        </c:scaling>
        <c:delete val="1"/>
        <c:axPos val="b"/>
        <c:tickLblPos val="none"/>
        <c:crossAx val="110347776"/>
        <c:crossesAt val="0"/>
        <c:auto val="1"/>
        <c:lblAlgn val="ctr"/>
        <c:lblOffset val="100"/>
      </c:catAx>
      <c:valAx>
        <c:axId val="110347776"/>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0346240"/>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8.0924969694061752E-2"/>
          <c:y val="8.4337597472695897E-2"/>
          <c:w val="0.9046255540800473"/>
          <c:h val="0.72289369262310788"/>
        </c:manualLayout>
      </c:layout>
      <c:barChart>
        <c:barDir val="col"/>
        <c:grouping val="clustered"/>
        <c:ser>
          <c:idx val="0"/>
          <c:order val="0"/>
          <c:tx>
            <c:strRef>
              <c:f>'計画概要書（前後の比較）'!$S$46</c:f>
              <c:strCache>
                <c:ptCount val="1"/>
                <c:pt idx="0">
                  <c:v>befoer</c:v>
                </c:pt>
              </c:strCache>
            </c:strRef>
          </c:tx>
          <c:spPr>
            <a:solidFill>
              <a:srgbClr val="CCFFCC"/>
            </a:solidFill>
            <a:ln w="12700">
              <a:solidFill>
                <a:srgbClr val="000000"/>
              </a:solidFill>
              <a:prstDash val="sysDash"/>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Val val="1"/>
          </c:dLbls>
          <c:cat>
            <c:strRef>
              <c:f>'計画概要書（前後の比較）'!$R$62:$R$65</c:f>
              <c:strCache>
                <c:ptCount val="4"/>
                <c:pt idx="0">
                  <c:v>熱負荷抑制</c:v>
                </c:pt>
                <c:pt idx="1">
                  <c:v>自然ｴﾈﾙｷﾞｰ</c:v>
                </c:pt>
                <c:pt idx="2">
                  <c:v>設備の効率的利用</c:v>
                </c:pt>
                <c:pt idx="3">
                  <c:v>運用ﾏﾈｼﾞﾒﾝﾄ</c:v>
                </c:pt>
              </c:strCache>
            </c:strRef>
          </c:cat>
          <c:val>
            <c:numRef>
              <c:f>'計画概要書（前後の比較）'!$S$62:$S$65</c:f>
              <c:numCache>
                <c:formatCode>0.0_ </c:formatCode>
                <c:ptCount val="4"/>
                <c:pt idx="0">
                  <c:v>0.1</c:v>
                </c:pt>
                <c:pt idx="1">
                  <c:v>3</c:v>
                </c:pt>
                <c:pt idx="2">
                  <c:v>0.9</c:v>
                </c:pt>
                <c:pt idx="3">
                  <c:v>3</c:v>
                </c:pt>
              </c:numCache>
            </c:numRef>
          </c:val>
        </c:ser>
        <c:ser>
          <c:idx val="1"/>
          <c:order val="1"/>
          <c:tx>
            <c:strRef>
              <c:f>'計画概要書（前後の比較）'!$U$46</c:f>
              <c:strCache>
                <c:ptCount val="1"/>
                <c:pt idx="0">
                  <c:v>after</c:v>
                </c:pt>
              </c:strCache>
            </c:strRef>
          </c:tx>
          <c:spPr>
            <a:solidFill>
              <a:srgbClr val="99CC00"/>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'計画概要書（前後の比較）'!$R$62:$R$65</c:f>
              <c:strCache>
                <c:ptCount val="4"/>
                <c:pt idx="0">
                  <c:v>熱負荷抑制</c:v>
                </c:pt>
                <c:pt idx="1">
                  <c:v>自然ｴﾈﾙｷﾞｰ</c:v>
                </c:pt>
                <c:pt idx="2">
                  <c:v>設備の効率的利用</c:v>
                </c:pt>
                <c:pt idx="3">
                  <c:v>運用ﾏﾈｼﾞﾒﾝﾄ</c:v>
                </c:pt>
              </c:strCache>
            </c:strRef>
          </c:cat>
          <c:val>
            <c:numRef>
              <c:f>'計画概要書（前後の比較）'!$U$62:$U$65</c:f>
              <c:numCache>
                <c:formatCode>0.0_ </c:formatCode>
                <c:ptCount val="4"/>
                <c:pt idx="0">
                  <c:v>0.1</c:v>
                </c:pt>
                <c:pt idx="1">
                  <c:v>3</c:v>
                </c:pt>
                <c:pt idx="2">
                  <c:v>0.9</c:v>
                </c:pt>
                <c:pt idx="3">
                  <c:v>3</c:v>
                </c:pt>
              </c:numCache>
            </c:numRef>
          </c:val>
        </c:ser>
        <c:dLbls>
          <c:showVal val="1"/>
        </c:dLbls>
        <c:gapWidth val="40"/>
        <c:axId val="111696896"/>
        <c:axId val="111710976"/>
      </c:barChart>
      <c:scatterChart>
        <c:scatterStyle val="lineMarker"/>
        <c:ser>
          <c:idx val="2"/>
          <c:order val="2"/>
          <c:spPr>
            <a:ln w="25400">
              <a:solidFill>
                <a:srgbClr val="FF0000"/>
              </a:solidFill>
              <a:prstDash val="solid"/>
            </a:ln>
          </c:spPr>
          <c:marker>
            <c:symbol val="none"/>
          </c:marker>
          <c:dLbls>
            <c:delete val="1"/>
          </c:dLbls>
          <c:xVal>
            <c:numLit>
              <c:formatCode>General</c:formatCode>
              <c:ptCount val="2"/>
              <c:pt idx="0">
                <c:v>0.5</c:v>
              </c:pt>
              <c:pt idx="1">
                <c:v>4.5</c:v>
              </c:pt>
            </c:numLit>
          </c:xVal>
          <c:yVal>
            <c:numLit>
              <c:formatCode>General</c:formatCode>
              <c:ptCount val="2"/>
              <c:pt idx="0">
                <c:v>3</c:v>
              </c:pt>
              <c:pt idx="1">
                <c:v>3</c:v>
              </c:pt>
            </c:numLit>
          </c:yVal>
        </c:ser>
        <c:dLbls>
          <c:showVal val="1"/>
        </c:dLbls>
        <c:axId val="111696896"/>
        <c:axId val="111710976"/>
      </c:scatterChart>
      <c:catAx>
        <c:axId val="111696896"/>
        <c:scaling>
          <c:orientation val="minMax"/>
        </c:scaling>
        <c:delete val="1"/>
        <c:axPos val="b"/>
        <c:tickLblPos val="none"/>
        <c:crossAx val="111710976"/>
        <c:crossesAt val="0"/>
        <c:auto val="1"/>
        <c:lblAlgn val="ctr"/>
        <c:lblOffset val="100"/>
      </c:catAx>
      <c:valAx>
        <c:axId val="111710976"/>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1696896"/>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8.0924969694061752E-2"/>
          <c:y val="8.4337597472695897E-2"/>
          <c:w val="0.9046255540800473"/>
          <c:h val="0.72289369262310788"/>
        </c:manualLayout>
      </c:layout>
      <c:barChart>
        <c:barDir val="col"/>
        <c:grouping val="clustered"/>
        <c:ser>
          <c:idx val="0"/>
          <c:order val="0"/>
          <c:tx>
            <c:strRef>
              <c:f>'計画概要書（前後の比較）'!$S$46</c:f>
              <c:strCache>
                <c:ptCount val="1"/>
                <c:pt idx="0">
                  <c:v>befoer</c:v>
                </c:pt>
              </c:strCache>
            </c:strRef>
          </c:tx>
          <c:spPr>
            <a:solidFill>
              <a:srgbClr val="FFFFCC"/>
            </a:solidFill>
            <a:ln w="12700">
              <a:solidFill>
                <a:srgbClr val="000000"/>
              </a:solidFill>
              <a:prstDash val="sysDash"/>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Val val="1"/>
          </c:dLbls>
          <c:cat>
            <c:strRef>
              <c:f>'計画概要書（前後の比較）'!$R$51:$R$54</c:f>
              <c:strCache>
                <c:ptCount val="4"/>
                <c:pt idx="0">
                  <c:v>音環境</c:v>
                </c:pt>
                <c:pt idx="1">
                  <c:v>温熱環境</c:v>
                </c:pt>
                <c:pt idx="2">
                  <c:v>光・視環境</c:v>
                </c:pt>
                <c:pt idx="3">
                  <c:v>空気質環境</c:v>
                </c:pt>
              </c:strCache>
            </c:strRef>
          </c:cat>
          <c:val>
            <c:numRef>
              <c:f>'計画概要書（前後の比較）'!$S$51:$S$54</c:f>
              <c:numCache>
                <c:formatCode>0.0_ </c:formatCode>
                <c:ptCount val="4"/>
                <c:pt idx="0">
                  <c:v>3</c:v>
                </c:pt>
                <c:pt idx="1">
                  <c:v>3</c:v>
                </c:pt>
                <c:pt idx="2">
                  <c:v>3</c:v>
                </c:pt>
                <c:pt idx="3">
                  <c:v>3</c:v>
                </c:pt>
              </c:numCache>
            </c:numRef>
          </c:val>
        </c:ser>
        <c:ser>
          <c:idx val="1"/>
          <c:order val="1"/>
          <c:tx>
            <c:strRef>
              <c:f>'計画概要書（前後の比較）'!$U$46</c:f>
              <c:strCache>
                <c:ptCount val="1"/>
                <c:pt idx="0">
                  <c:v>after</c:v>
                </c:pt>
              </c:strCache>
            </c:strRef>
          </c:tx>
          <c:spPr>
            <a:solidFill>
              <a:srgbClr val="FFFF99"/>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val>
            <c:numRef>
              <c:f>'計画概要書（前後の比較）'!$U$51:$U$54</c:f>
              <c:numCache>
                <c:formatCode>0.0_ </c:formatCode>
                <c:ptCount val="4"/>
                <c:pt idx="0">
                  <c:v>3</c:v>
                </c:pt>
                <c:pt idx="1">
                  <c:v>3</c:v>
                </c:pt>
                <c:pt idx="2">
                  <c:v>3</c:v>
                </c:pt>
                <c:pt idx="3">
                  <c:v>3</c:v>
                </c:pt>
              </c:numCache>
            </c:numRef>
          </c:val>
        </c:ser>
        <c:dLbls>
          <c:showVal val="1"/>
        </c:dLbls>
        <c:gapWidth val="40"/>
        <c:axId val="111839488"/>
        <c:axId val="111853568"/>
      </c:barChart>
      <c:scatterChart>
        <c:scatterStyle val="lineMarker"/>
        <c:ser>
          <c:idx val="2"/>
          <c:order val="2"/>
          <c:spPr>
            <a:ln w="25400">
              <a:solidFill>
                <a:srgbClr val="FF0000"/>
              </a:solidFill>
              <a:prstDash val="solid"/>
            </a:ln>
          </c:spPr>
          <c:marker>
            <c:symbol val="none"/>
          </c:marker>
          <c:dLbls>
            <c:delete val="1"/>
          </c:dLbls>
          <c:xVal>
            <c:numLit>
              <c:formatCode>General</c:formatCode>
              <c:ptCount val="2"/>
              <c:pt idx="0">
                <c:v>0.5</c:v>
              </c:pt>
              <c:pt idx="1">
                <c:v>4.5</c:v>
              </c:pt>
            </c:numLit>
          </c:xVal>
          <c:yVal>
            <c:numLit>
              <c:formatCode>General</c:formatCode>
              <c:ptCount val="2"/>
              <c:pt idx="0">
                <c:v>3</c:v>
              </c:pt>
              <c:pt idx="1">
                <c:v>3</c:v>
              </c:pt>
            </c:numLit>
          </c:yVal>
        </c:ser>
        <c:dLbls>
          <c:showVal val="1"/>
        </c:dLbls>
        <c:axId val="111839488"/>
        <c:axId val="111853568"/>
      </c:scatterChart>
      <c:catAx>
        <c:axId val="111839488"/>
        <c:scaling>
          <c:orientation val="minMax"/>
        </c:scaling>
        <c:delete val="1"/>
        <c:axPos val="b"/>
        <c:tickLblPos val="none"/>
        <c:crossAx val="111853568"/>
        <c:crossesAt val="0"/>
        <c:auto val="1"/>
        <c:lblAlgn val="ctr"/>
        <c:lblOffset val="100"/>
      </c:catAx>
      <c:valAx>
        <c:axId val="111853568"/>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1839488"/>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6226444992712624"/>
          <c:y val="6.9230769230769235E-2"/>
          <c:w val="0.78113351476546788"/>
          <c:h val="0.75384615384615383"/>
        </c:manualLayout>
      </c:layout>
      <c:areaChart>
        <c:grouping val="standard"/>
        <c:ser>
          <c:idx val="1"/>
          <c:order val="0"/>
          <c:tx>
            <c:strRef>
              <c:f>'計画概要書（前後の比較）'!$S$29</c:f>
              <c:strCache>
                <c:ptCount val="1"/>
                <c:pt idx="0">
                  <c:v>S</c:v>
                </c:pt>
              </c:strCache>
            </c:strRef>
          </c:tx>
          <c:spPr>
            <a:pattFill prst="pct70">
              <a:fgClr>
                <a:srgbClr val="3366FF"/>
              </a:fgClr>
              <a:bgClr>
                <a:srgbClr val="FFFFFF"/>
              </a:bgClr>
            </a:pattFill>
            <a:ln w="12700">
              <a:solidFill>
                <a:srgbClr val="000000"/>
              </a:solidFill>
              <a:prstDash val="solid"/>
            </a:ln>
          </c:spPr>
          <c:dLbls>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SerName val="1"/>
          </c:dLbls>
          <c:val>
            <c:numRef>
              <c:f>'計画概要書（前後の比較）'!$T$29:$Z$29</c:f>
              <c:numCache>
                <c:formatCode>General</c:formatCode>
                <c:ptCount val="7"/>
                <c:pt idx="0">
                  <c:v>100</c:v>
                </c:pt>
                <c:pt idx="1">
                  <c:v>100</c:v>
                </c:pt>
                <c:pt idx="2">
                  <c:v>100</c:v>
                </c:pt>
                <c:pt idx="3">
                  <c:v>100</c:v>
                </c:pt>
                <c:pt idx="4">
                  <c:v>100</c:v>
                </c:pt>
                <c:pt idx="5">
                  <c:v>100</c:v>
                </c:pt>
                <c:pt idx="6">
                  <c:v>100</c:v>
                </c:pt>
              </c:numCache>
            </c:numRef>
          </c:val>
        </c:ser>
        <c:ser>
          <c:idx val="0"/>
          <c:order val="1"/>
          <c:tx>
            <c:strRef>
              <c:f>'計画概要書（前後の比較）'!$S$30</c:f>
              <c:strCache>
                <c:ptCount val="1"/>
                <c:pt idx="0">
                  <c:v>A</c:v>
                </c:pt>
              </c:strCache>
            </c:strRef>
          </c:tx>
          <c:spPr>
            <a:pattFill prst="pct90">
              <a:fgClr>
                <a:srgbClr val="99CCFF"/>
              </a:fgClr>
              <a:bgClr>
                <a:srgbClr val="FFFFFF"/>
              </a:bgClr>
            </a:pattFill>
            <a:ln w="12700">
              <a:solidFill>
                <a:srgbClr val="000000"/>
              </a:solidFill>
              <a:prstDash val="solid"/>
            </a:ln>
          </c:spPr>
          <c:dLbls>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SerName val="1"/>
          </c:dLbls>
          <c:val>
            <c:numRef>
              <c:f>'計画概要書（前後の比較）'!$T$30:$Z$30</c:f>
              <c:numCache>
                <c:formatCode>General</c:formatCode>
                <c:ptCount val="7"/>
                <c:pt idx="0">
                  <c:v>50</c:v>
                </c:pt>
                <c:pt idx="1">
                  <c:v>50</c:v>
                </c:pt>
                <c:pt idx="2">
                  <c:v>100</c:v>
                </c:pt>
                <c:pt idx="3">
                  <c:v>100</c:v>
                </c:pt>
                <c:pt idx="4">
                  <c:v>100</c:v>
                </c:pt>
                <c:pt idx="5">
                  <c:v>100</c:v>
                </c:pt>
                <c:pt idx="6">
                  <c:v>100</c:v>
                </c:pt>
              </c:numCache>
            </c:numRef>
          </c:val>
        </c:ser>
        <c:ser>
          <c:idx val="2"/>
          <c:order val="2"/>
          <c:tx>
            <c:strRef>
              <c:f>'計画概要書（前後の比較）'!$S$31</c:f>
              <c:strCache>
                <c:ptCount val="1"/>
                <c:pt idx="0">
                  <c:v>B+</c:v>
                </c:pt>
              </c:strCache>
            </c:strRef>
          </c:tx>
          <c:spPr>
            <a:solidFill>
              <a:srgbClr val="FFFFCC"/>
            </a:solidFill>
            <a:ln w="12700">
              <a:solidFill>
                <a:srgbClr val="000000"/>
              </a:solidFill>
              <a:prstDash val="solid"/>
            </a:ln>
          </c:spPr>
          <c:val>
            <c:numRef>
              <c:f>'計画概要書（前後の比較）'!$T$31:$Z$31</c:f>
              <c:numCache>
                <c:formatCode>General</c:formatCode>
                <c:ptCount val="7"/>
                <c:pt idx="0">
                  <c:v>0</c:v>
                </c:pt>
                <c:pt idx="1">
                  <c:v>25</c:v>
                </c:pt>
                <c:pt idx="2">
                  <c:v>50</c:v>
                </c:pt>
                <c:pt idx="3">
                  <c:v>75</c:v>
                </c:pt>
                <c:pt idx="4">
                  <c:v>100</c:v>
                </c:pt>
                <c:pt idx="5">
                  <c:v>100</c:v>
                </c:pt>
                <c:pt idx="6">
                  <c:v>100</c:v>
                </c:pt>
              </c:numCache>
            </c:numRef>
          </c:val>
        </c:ser>
        <c:ser>
          <c:idx val="3"/>
          <c:order val="3"/>
          <c:tx>
            <c:strRef>
              <c:f>'計画概要書（前後の比較）'!$S$32</c:f>
              <c:strCache>
                <c:ptCount val="1"/>
                <c:pt idx="0">
                  <c:v>B-</c:v>
                </c:pt>
              </c:strCache>
            </c:strRef>
          </c:tx>
          <c:spPr>
            <a:solidFill>
              <a:srgbClr val="FFFFCC"/>
            </a:solidFill>
            <a:ln w="12700">
              <a:solidFill>
                <a:srgbClr val="000000"/>
              </a:solidFill>
              <a:prstDash val="solid"/>
            </a:ln>
          </c:spPr>
          <c:val>
            <c:numRef>
              <c:f>'計画概要書（前後の比較）'!$T$32:$Z$32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ser>
          <c:idx val="4"/>
          <c:order val="4"/>
          <c:tx>
            <c:strRef>
              <c:f>'計画概要書（前後の比較）'!$S$33</c:f>
              <c:strCache>
                <c:ptCount val="1"/>
                <c:pt idx="0">
                  <c:v>C</c:v>
                </c:pt>
              </c:strCache>
            </c:strRef>
          </c:tx>
          <c:spPr>
            <a:solidFill>
              <a:srgbClr val="FFFFFF"/>
            </a:solidFill>
            <a:ln w="12700">
              <a:solidFill>
                <a:srgbClr val="000000"/>
              </a:solidFill>
              <a:prstDash val="solid"/>
            </a:ln>
          </c:spPr>
          <c:dLbls>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showSerName val="1"/>
          </c:dLbls>
          <c:val>
            <c:numRef>
              <c:f>'計画概要書（前後の比較）'!$T$33:$Z$33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dLbls/>
        <c:axId val="111967232"/>
        <c:axId val="112080000"/>
      </c:areaChart>
      <c:scatterChart>
        <c:scatterStyle val="lineMarker"/>
        <c:ser>
          <c:idx val="5"/>
          <c:order val="5"/>
          <c:tx>
            <c:strRef>
              <c:f>'計画概要書（前後の比較）'!$S$21</c:f>
              <c:strCache>
                <c:ptCount val="1"/>
                <c:pt idx="0">
                  <c:v>before</c:v>
                </c:pt>
              </c:strCache>
            </c:strRef>
          </c:tx>
          <c:spPr>
            <a:ln w="25400">
              <a:solidFill>
                <a:srgbClr val="99CC00"/>
              </a:solidFill>
              <a:prstDash val="sysDash"/>
            </a:ln>
          </c:spPr>
          <c:marker>
            <c:symbol val="none"/>
          </c:marker>
          <c:dPt>
            <c:idx val="1"/>
            <c:marker>
              <c:symbol val="circle"/>
              <c:size val="6"/>
              <c:spPr>
                <a:solidFill>
                  <a:srgbClr val="99CC00"/>
                </a:solidFill>
                <a:ln>
                  <a:solidFill>
                    <a:srgbClr val="000000"/>
                  </a:solidFill>
                  <a:prstDash val="solid"/>
                </a:ln>
              </c:spPr>
            </c:marker>
            <c:spPr>
              <a:ln w="28575">
                <a:noFill/>
              </a:ln>
            </c:spPr>
          </c:dPt>
          <c:dPt>
            <c:idx val="2"/>
            <c:marker>
              <c:symbol val="diamond"/>
              <c:size val="18"/>
              <c:spPr>
                <a:solidFill>
                  <a:srgbClr val="FFFFFF"/>
                </a:solidFill>
                <a:ln>
                  <a:solidFill>
                    <a:srgbClr val="000000"/>
                  </a:solidFill>
                  <a:prstDash val="solid"/>
                </a:ln>
              </c:spPr>
            </c:marker>
          </c:dPt>
          <c:dPt>
            <c:idx val="3"/>
            <c:marker>
              <c:symbol val="circle"/>
              <c:size val="6"/>
              <c:spPr>
                <a:solidFill>
                  <a:srgbClr val="99CC00"/>
                </a:solidFill>
                <a:ln>
                  <a:solidFill>
                    <a:srgbClr val="000000"/>
                  </a:solidFill>
                  <a:prstDash val="solid"/>
                </a:ln>
              </c:spPr>
            </c:marker>
          </c:dPt>
          <c:dLbls>
            <c:dLbl>
              <c:idx val="1"/>
              <c:layout/>
              <c:spPr>
                <a:noFill/>
                <a:ln w="25400">
                  <a:noFill/>
                </a:ln>
              </c:spPr>
              <c:txPr>
                <a:bodyPr/>
                <a:lstStyle/>
                <a:p>
                  <a:pPr>
                    <a:defRPr sz="950" b="1" i="0" u="none" strike="noStrike" baseline="0">
                      <a:solidFill>
                        <a:srgbClr val="000000"/>
                      </a:solidFill>
                      <a:latin typeface="ＭＳ Ｐゴシック"/>
                      <a:ea typeface="ＭＳ Ｐゴシック"/>
                      <a:cs typeface="ＭＳ Ｐゴシック"/>
                    </a:defRPr>
                  </a:pPr>
                  <a:endParaRPr lang="ja-JP"/>
                </a:p>
              </c:txPr>
              <c:showCatName val="1"/>
            </c:dLbl>
            <c:dLbl>
              <c:idx val="3"/>
              <c:layout/>
              <c:spPr>
                <a:noFill/>
                <a:ln w="25400">
                  <a:noFill/>
                </a:ln>
              </c:spPr>
              <c:txPr>
                <a:bodyPr/>
                <a:lstStyle/>
                <a:p>
                  <a:pPr>
                    <a:defRPr sz="950" b="1" i="0" u="none" strike="noStrike" baseline="0">
                      <a:solidFill>
                        <a:srgbClr val="000000"/>
                      </a:solidFill>
                      <a:latin typeface="ＭＳ Ｐゴシック"/>
                      <a:ea typeface="ＭＳ Ｐゴシック"/>
                      <a:cs typeface="ＭＳ Ｐゴシック"/>
                    </a:defRPr>
                  </a:pPr>
                  <a:endParaRPr lang="ja-JP"/>
                </a:p>
              </c:txPr>
              <c:showVal val="1"/>
            </c:dLbl>
            <c:delete val="1"/>
          </c:dLbls>
          <c:xVal>
            <c:numRef>
              <c:f>'計画概要書（前後の比較）'!$R$81:$U$81</c:f>
              <c:numCache>
                <c:formatCode>#,##0;[Red]\-#,##0</c:formatCode>
                <c:ptCount val="4"/>
                <c:pt idx="0" formatCode="General">
                  <c:v>0</c:v>
                </c:pt>
                <c:pt idx="1">
                  <c:v>89.738903394255871</c:v>
                </c:pt>
                <c:pt idx="2">
                  <c:v>89.738903394255871</c:v>
                </c:pt>
                <c:pt idx="3" formatCode="General">
                  <c:v>0.1</c:v>
                </c:pt>
              </c:numCache>
            </c:numRef>
          </c:xVal>
          <c:yVal>
            <c:numRef>
              <c:f>'計画概要書（前後の比較）'!$R$82:$U$82</c:f>
              <c:numCache>
                <c:formatCode>General</c:formatCode>
                <c:ptCount val="4"/>
                <c:pt idx="0">
                  <c:v>0</c:v>
                </c:pt>
                <c:pt idx="1">
                  <c:v>0</c:v>
                </c:pt>
                <c:pt idx="2" formatCode="#,##0;[Red]\-#,##0">
                  <c:v>50</c:v>
                </c:pt>
                <c:pt idx="3" formatCode="#,##0;[Red]\-#,##0">
                  <c:v>50</c:v>
                </c:pt>
              </c:numCache>
            </c:numRef>
          </c:yVal>
        </c:ser>
        <c:ser>
          <c:idx val="6"/>
          <c:order val="6"/>
          <c:tx>
            <c:strRef>
              <c:f>'計画概要書（前後の比較）'!$S$77</c:f>
              <c:strCache>
                <c:ptCount val="1"/>
                <c:pt idx="0">
                  <c:v>改修前</c:v>
                </c:pt>
              </c:strCache>
            </c:strRef>
          </c:tx>
          <c:spPr>
            <a:ln w="38100">
              <a:solidFill>
                <a:srgbClr val="99CC00"/>
              </a:solidFill>
              <a:prstDash val="solid"/>
            </a:ln>
          </c:spPr>
          <c:marker>
            <c:symbol val="none"/>
          </c:marker>
          <c:dLbls>
            <c:dLbl>
              <c:idx val="1"/>
              <c:layout>
                <c:manualLayout>
                  <c:x val="9.1214659854049907E-3"/>
                  <c:y val="-1.6666666666666642E-2"/>
                </c:manualLayout>
              </c:layout>
              <c:dLblPos val="r"/>
              <c:showSerName val="1"/>
            </c:dLbl>
            <c:dLbl>
              <c:idx val="2"/>
              <c:delete val="1"/>
            </c:dLbl>
            <c:spPr>
              <a:noFill/>
              <a:ln w="25400">
                <a:noFill/>
              </a:ln>
            </c:spPr>
            <c:txPr>
              <a:bodyPr/>
              <a:lstStyle/>
              <a:p>
                <a:pPr>
                  <a:defRPr sz="1000" b="1" i="0" u="none" strike="noStrike" baseline="0">
                    <a:solidFill>
                      <a:srgbClr val="99CC00"/>
                    </a:solidFill>
                    <a:latin typeface="ＭＳ Ｐゴシック"/>
                    <a:ea typeface="ＭＳ Ｐゴシック"/>
                    <a:cs typeface="ＭＳ Ｐゴシック"/>
                  </a:defRPr>
                </a:pPr>
                <a:endParaRPr lang="ja-JP"/>
              </a:p>
            </c:txPr>
            <c:showSerName val="1"/>
          </c:dLbls>
          <c:xVal>
            <c:numRef>
              <c:f>'計画概要書（前後の比較）'!$S$79:$U$79</c:f>
              <c:numCache>
                <c:formatCode>#,##0;[Red]\-#,##0</c:formatCode>
                <c:ptCount val="3"/>
                <c:pt idx="1">
                  <c:v>89.738903394255871</c:v>
                </c:pt>
                <c:pt idx="2" formatCode="General">
                  <c:v>0</c:v>
                </c:pt>
              </c:numCache>
            </c:numRef>
          </c:xVal>
          <c:yVal>
            <c:numRef>
              <c:f>'計画概要書（前後の比較）'!$S$80:$U$80</c:f>
              <c:numCache>
                <c:formatCode>#,##0;[Red]\-#,##0</c:formatCode>
                <c:ptCount val="3"/>
                <c:pt idx="1">
                  <c:v>50</c:v>
                </c:pt>
                <c:pt idx="2" formatCode="General">
                  <c:v>0</c:v>
                </c:pt>
              </c:numCache>
            </c:numRef>
          </c:yVal>
        </c:ser>
        <c:ser>
          <c:idx val="7"/>
          <c:order val="7"/>
          <c:tx>
            <c:strRef>
              <c:f>'計画概要書（前後の比較）'!$W$21</c:f>
              <c:strCache>
                <c:ptCount val="1"/>
                <c:pt idx="0">
                  <c:v>after</c:v>
                </c:pt>
              </c:strCache>
            </c:strRef>
          </c:tx>
          <c:spPr>
            <a:ln w="25400">
              <a:solidFill>
                <a:srgbClr val="008000"/>
              </a:solidFill>
              <a:prstDash val="sysDash"/>
            </a:ln>
          </c:spPr>
          <c:marker>
            <c:symbol val="none"/>
          </c:marker>
          <c:dPt>
            <c:idx val="1"/>
            <c:marker>
              <c:symbol val="circle"/>
              <c:size val="6"/>
              <c:spPr>
                <a:solidFill>
                  <a:srgbClr val="339966"/>
                </a:solidFill>
                <a:ln>
                  <a:solidFill>
                    <a:srgbClr val="000000"/>
                  </a:solidFill>
                  <a:prstDash val="solid"/>
                </a:ln>
              </c:spPr>
            </c:marker>
            <c:spPr>
              <a:ln w="28575">
                <a:noFill/>
              </a:ln>
            </c:spPr>
          </c:dPt>
          <c:dPt>
            <c:idx val="2"/>
            <c:marker>
              <c:symbol val="diamond"/>
              <c:size val="18"/>
              <c:spPr>
                <a:solidFill>
                  <a:srgbClr val="FFCC99"/>
                </a:solidFill>
                <a:ln>
                  <a:solidFill>
                    <a:srgbClr val="000000"/>
                  </a:solidFill>
                  <a:prstDash val="solid"/>
                </a:ln>
              </c:spPr>
            </c:marker>
          </c:dPt>
          <c:dPt>
            <c:idx val="3"/>
            <c:marker>
              <c:symbol val="circle"/>
              <c:size val="6"/>
              <c:spPr>
                <a:solidFill>
                  <a:srgbClr val="339966"/>
                </a:solidFill>
                <a:ln>
                  <a:solidFill>
                    <a:srgbClr val="000000"/>
                  </a:solidFill>
                  <a:prstDash val="solid"/>
                </a:ln>
              </c:spPr>
            </c:marker>
          </c:dPt>
          <c:dLbls>
            <c:dLbl>
              <c:idx val="0"/>
              <c:delete val="1"/>
            </c:dLbl>
            <c:dLbl>
              <c:idx val="1"/>
              <c:layout/>
              <c:showCatName val="1"/>
            </c:dLbl>
            <c:dLbl>
              <c:idx val="2"/>
              <c:delete val="1"/>
            </c:dLbl>
            <c:dLbl>
              <c:idx val="3"/>
              <c:layout/>
              <c:showVal val="1"/>
            </c:dLbl>
            <c:spPr>
              <a:noFill/>
              <a:ln w="25400">
                <a:noFill/>
              </a:ln>
            </c:spPr>
            <c:txPr>
              <a:bodyPr/>
              <a:lstStyle/>
              <a:p>
                <a:pPr>
                  <a:defRPr sz="925" b="1" i="0" u="none" strike="noStrike" baseline="0">
                    <a:solidFill>
                      <a:srgbClr val="FF0000"/>
                    </a:solidFill>
                    <a:latin typeface="ＭＳ Ｐゴシック"/>
                    <a:ea typeface="ＭＳ Ｐゴシック"/>
                    <a:cs typeface="ＭＳ Ｐゴシック"/>
                  </a:defRPr>
                </a:pPr>
                <a:endParaRPr lang="ja-JP"/>
              </a:p>
            </c:txPr>
            <c:showVal val="1"/>
            <c:showCatName val="1"/>
          </c:dLbls>
          <c:xVal>
            <c:numRef>
              <c:f>'計画概要書（前後の比較）'!$V$81:$Y$81</c:f>
              <c:numCache>
                <c:formatCode>#,##0;[Red]\-#,##0</c:formatCode>
                <c:ptCount val="4"/>
                <c:pt idx="0" formatCode="General">
                  <c:v>0</c:v>
                </c:pt>
                <c:pt idx="1">
                  <c:v>87.467646788946851</c:v>
                </c:pt>
                <c:pt idx="2">
                  <c:v>87.467646788946851</c:v>
                </c:pt>
                <c:pt idx="3" formatCode="General">
                  <c:v>0.1</c:v>
                </c:pt>
              </c:numCache>
            </c:numRef>
          </c:xVal>
          <c:yVal>
            <c:numRef>
              <c:f>'計画概要書（前後の比較）'!$V$82:$Y$82</c:f>
              <c:numCache>
                <c:formatCode>General</c:formatCode>
                <c:ptCount val="4"/>
                <c:pt idx="0">
                  <c:v>0</c:v>
                </c:pt>
                <c:pt idx="1">
                  <c:v>0</c:v>
                </c:pt>
                <c:pt idx="2" formatCode="#,##0;[Red]\-#,##0">
                  <c:v>50</c:v>
                </c:pt>
                <c:pt idx="3" formatCode="#,##0;[Red]\-#,##0">
                  <c:v>50</c:v>
                </c:pt>
              </c:numCache>
            </c:numRef>
          </c:yVal>
        </c:ser>
        <c:ser>
          <c:idx val="8"/>
          <c:order val="8"/>
          <c:tx>
            <c:strRef>
              <c:f>'計画概要書（前後の比較）'!$W$77</c:f>
              <c:strCache>
                <c:ptCount val="1"/>
                <c:pt idx="0">
                  <c:v>改修後</c:v>
                </c:pt>
              </c:strCache>
            </c:strRef>
          </c:tx>
          <c:spPr>
            <a:ln w="38100">
              <a:solidFill>
                <a:srgbClr val="008000"/>
              </a:solidFill>
              <a:prstDash val="solid"/>
            </a:ln>
          </c:spPr>
          <c:marker>
            <c:symbol val="none"/>
          </c:marker>
          <c:dLbls>
            <c:dLbl>
              <c:idx val="1"/>
              <c:layout>
                <c:manualLayout>
                  <c:x val="1.5742822678641724E-3"/>
                  <c:y val="-1.2820512820512808E-2"/>
                </c:manualLayout>
              </c:layout>
              <c:dLblPos val="r"/>
              <c:showSerName val="1"/>
            </c:dLbl>
            <c:dLbl>
              <c:idx val="2"/>
              <c:delete val="1"/>
            </c:dLbl>
            <c:spPr>
              <a:noFill/>
              <a:ln w="25400">
                <a:noFill/>
              </a:ln>
            </c:spPr>
            <c:txPr>
              <a:bodyPr/>
              <a:lstStyle/>
              <a:p>
                <a:pPr>
                  <a:defRPr sz="1000" b="1" i="0" u="none" strike="noStrike" baseline="0">
                    <a:solidFill>
                      <a:srgbClr val="FF0000"/>
                    </a:solidFill>
                    <a:latin typeface="ＭＳ Ｐゴシック"/>
                    <a:ea typeface="ＭＳ Ｐゴシック"/>
                    <a:cs typeface="ＭＳ Ｐゴシック"/>
                  </a:defRPr>
                </a:pPr>
                <a:endParaRPr lang="ja-JP"/>
              </a:p>
            </c:txPr>
            <c:showSerName val="1"/>
          </c:dLbls>
          <c:xVal>
            <c:numRef>
              <c:f>'計画概要書（前後の比較）'!$W$79:$Y$79</c:f>
              <c:numCache>
                <c:formatCode>#,##0;[Red]\-#,##0</c:formatCode>
                <c:ptCount val="3"/>
                <c:pt idx="1">
                  <c:v>87.467646788946851</c:v>
                </c:pt>
                <c:pt idx="2" formatCode="General">
                  <c:v>0</c:v>
                </c:pt>
              </c:numCache>
            </c:numRef>
          </c:xVal>
          <c:yVal>
            <c:numRef>
              <c:f>'計画概要書（前後の比較）'!$W$80:$Y$80</c:f>
              <c:numCache>
                <c:formatCode>#,##0;[Red]\-#,##0</c:formatCode>
                <c:ptCount val="3"/>
                <c:pt idx="1">
                  <c:v>50</c:v>
                </c:pt>
                <c:pt idx="2" formatCode="General">
                  <c:v>0</c:v>
                </c:pt>
              </c:numCache>
            </c:numRef>
          </c:yVal>
        </c:ser>
        <c:dLbls/>
        <c:axId val="112081920"/>
        <c:axId val="112087808"/>
      </c:scatterChart>
      <c:catAx>
        <c:axId val="111967232"/>
        <c:scaling>
          <c:orientation val="minMax"/>
        </c:scaling>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50" b="1" i="0" u="none" strike="noStrike" baseline="0">
                    <a:solidFill>
                      <a:srgbClr val="000000"/>
                    </a:solidFill>
                    <a:latin typeface="ＭＳ Ｐゴシック"/>
                    <a:ea typeface="ＭＳ Ｐゴシック"/>
                  </a:rPr>
                  <a:t>環境負荷　L</a:t>
                </a:r>
                <a:r>
                  <a:rPr lang="ja-JP" altLang="en-US" sz="1050" b="1" i="0" u="none" strike="noStrike" baseline="-25000">
                    <a:solidFill>
                      <a:srgbClr val="000000"/>
                    </a:solidFill>
                    <a:latin typeface="ＭＳ Ｐゴシック"/>
                    <a:ea typeface="ＭＳ Ｐゴシック"/>
                  </a:rPr>
                  <a:t>ES</a:t>
                </a:r>
              </a:p>
            </c:rich>
          </c:tx>
          <c:layout>
            <c:manualLayout>
              <c:xMode val="edge"/>
              <c:yMode val="edge"/>
              <c:x val="0.37358569801416336"/>
              <c:y val="0.8961538461538463"/>
            </c:manualLayout>
          </c:layout>
          <c:spPr>
            <a:noFill/>
            <a:ln w="25400">
              <a:noFill/>
            </a:ln>
          </c:spPr>
        </c:title>
        <c:majorTickMark val="none"/>
        <c:tickLblPos val="none"/>
        <c:spPr>
          <a:ln w="3175">
            <a:solidFill>
              <a:srgbClr val="000000"/>
            </a:solidFill>
            <a:prstDash val="solid"/>
          </a:ln>
        </c:spPr>
        <c:crossAx val="112080000"/>
        <c:crossesAt val="0"/>
        <c:auto val="1"/>
        <c:lblAlgn val="ctr"/>
        <c:lblOffset val="100"/>
        <c:tickLblSkip val="1"/>
        <c:tickMarkSkip val="1"/>
      </c:catAx>
      <c:valAx>
        <c:axId val="112080000"/>
        <c:scaling>
          <c:orientation val="minMax"/>
          <c:max val="100"/>
          <c:min val="0"/>
        </c:scaling>
        <c:axPos val="l"/>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50" b="1" i="0" u="none" strike="noStrike" baseline="0">
                    <a:solidFill>
                      <a:srgbClr val="000000"/>
                    </a:solidFill>
                    <a:latin typeface="ＭＳ Ｐゴシック"/>
                    <a:ea typeface="ＭＳ Ｐゴシック"/>
                  </a:rPr>
                  <a:t>環境品質　Q</a:t>
                </a:r>
                <a:r>
                  <a:rPr lang="ja-JP" altLang="en-US" sz="1050" b="1" i="0" u="none" strike="noStrike" baseline="-25000">
                    <a:solidFill>
                      <a:srgbClr val="000000"/>
                    </a:solidFill>
                    <a:latin typeface="ＭＳ Ｐゴシック"/>
                    <a:ea typeface="ＭＳ Ｐゴシック"/>
                  </a:rPr>
                  <a:t>ES</a:t>
                </a:r>
              </a:p>
            </c:rich>
          </c:tx>
          <c:layout>
            <c:manualLayout>
              <c:xMode val="edge"/>
              <c:yMode val="edge"/>
              <c:x val="1.8867924528301886E-2"/>
              <c:y val="0.27692307692307699"/>
            </c:manualLayout>
          </c:layout>
          <c:spPr>
            <a:noFill/>
            <a:ln w="25400">
              <a:noFill/>
            </a:ln>
          </c:spPr>
        </c:title>
        <c:numFmt formatCode="General" sourceLinked="1"/>
        <c:maj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11967232"/>
        <c:crosses val="autoZero"/>
        <c:crossBetween val="midCat"/>
        <c:majorUnit val="50"/>
        <c:minorUnit val="4"/>
      </c:valAx>
      <c:valAx>
        <c:axId val="112081920"/>
        <c:scaling>
          <c:orientation val="minMax"/>
          <c:max val="100"/>
          <c:min val="0"/>
        </c:scaling>
        <c:axPos val="t"/>
        <c:numFmt formatCode="General" sourceLinked="1"/>
        <c:majorTickMark val="none"/>
        <c:tickLblPos val="low"/>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12087808"/>
        <c:crosses val="max"/>
        <c:crossBetween val="midCat"/>
        <c:majorUnit val="50"/>
        <c:minorUnit val="2"/>
      </c:valAx>
      <c:valAx>
        <c:axId val="112087808"/>
        <c:scaling>
          <c:orientation val="minMax"/>
          <c:max val="100"/>
          <c:min val="0"/>
        </c:scaling>
        <c:axPos val="r"/>
        <c:numFmt formatCode="General" sourceLinked="1"/>
        <c:majorTickMark val="none"/>
        <c:tickLblPos val="none"/>
        <c:spPr>
          <a:ln w="3175">
            <a:solidFill>
              <a:srgbClr val="000000"/>
            </a:solidFill>
            <a:prstDash val="solid"/>
          </a:ln>
        </c:spPr>
        <c:crossAx val="112081920"/>
        <c:crosses val="max"/>
        <c:crossBetween val="midCat"/>
        <c:majorUnit val="50"/>
        <c:minorUnit val="2"/>
      </c:valAx>
      <c:spPr>
        <a:solidFill>
          <a:srgbClr val="C0C0C0"/>
        </a:solidFill>
        <a:ln w="12700">
          <a:solidFill>
            <a:srgbClr val="808080"/>
          </a:solidFill>
          <a:prstDash val="solid"/>
        </a:ln>
      </c:spPr>
    </c:plotArea>
    <c:dispBlanksAs val="gap"/>
  </c:chart>
  <c:spPr>
    <a:noFill/>
    <a:ln w="9525">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3.2787060211002667E-2"/>
          <c:y val="8.6207622302854794E-2"/>
          <c:w val="0.95082474611907741"/>
          <c:h val="0.77586860072569319"/>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'計画概要書（前後の比較）'!$R$15</c:f>
              <c:strCache>
                <c:ptCount val="1"/>
                <c:pt idx="0">
                  <c:v>Rank(red star)</c:v>
                </c:pt>
              </c:strCache>
            </c:strRef>
          </c:cat>
          <c:val>
            <c:numRef>
              <c:f>'計画概要書（前後の比較）'!$S$15</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'計画概要書（前後の比較）'!$R$15</c:f>
              <c:strCache>
                <c:ptCount val="1"/>
                <c:pt idx="0">
                  <c:v>Rank(red star)</c:v>
                </c:pt>
              </c:strCache>
            </c:strRef>
          </c:cat>
          <c:val>
            <c:numRef>
              <c:f>'計画概要書（前後の比較）'!$S$16</c:f>
              <c:numCache>
                <c:formatCode>#,##0.0;[Red]\-#,##0.0</c:formatCode>
                <c:ptCount val="1"/>
                <c:pt idx="0">
                  <c:v>0</c:v>
                </c:pt>
              </c:numCache>
            </c:numRef>
          </c:val>
        </c:ser>
        <c:dLbls/>
        <c:gapWidth val="50"/>
        <c:overlap val="100"/>
        <c:axId val="112022656"/>
        <c:axId val="112024192"/>
      </c:barChart>
      <c:catAx>
        <c:axId val="112022656"/>
        <c:scaling>
          <c:orientation val="minMax"/>
        </c:scaling>
        <c:delete val="1"/>
        <c:axPos val="l"/>
        <c:tickLblPos val="none"/>
        <c:crossAx val="112024192"/>
        <c:crosses val="autoZero"/>
        <c:auto val="1"/>
        <c:lblAlgn val="ctr"/>
        <c:lblOffset val="100"/>
      </c:catAx>
      <c:valAx>
        <c:axId val="112024192"/>
        <c:scaling>
          <c:orientation val="minMax"/>
        </c:scaling>
        <c:delete val="1"/>
        <c:axPos val="b"/>
        <c:numFmt formatCode="0%" sourceLinked="1"/>
        <c:tickLblPos val="none"/>
        <c:crossAx val="112022656"/>
        <c:crosses val="autoZero"/>
        <c:crossBetween val="between"/>
      </c:valAx>
      <c:spPr>
        <a:noFill/>
        <a:ln w="25400">
          <a:noFill/>
        </a:ln>
      </c:spPr>
    </c:plotArea>
    <c:dispBlanksAs val="gap"/>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3.2432432432432441E-2"/>
          <c:y val="8.928571428571426E-2"/>
          <c:w val="0.9513513513513514"/>
          <c:h val="0.8035714285714286"/>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'計画概要書（前後の比較）'!$R$15</c:f>
              <c:strCache>
                <c:ptCount val="1"/>
                <c:pt idx="0">
                  <c:v>Rank(red star)</c:v>
                </c:pt>
              </c:strCache>
            </c:strRef>
          </c:cat>
          <c:val>
            <c:numRef>
              <c:f>'計画概要書（前後の比較）'!$T$15</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'計画概要書（前後の比較）'!$R$15</c:f>
              <c:strCache>
                <c:ptCount val="1"/>
                <c:pt idx="0">
                  <c:v>Rank(red star)</c:v>
                </c:pt>
              </c:strCache>
            </c:strRef>
          </c:cat>
          <c:val>
            <c:numRef>
              <c:f>'計画概要書（前後の比較）'!$T$16</c:f>
              <c:numCache>
                <c:formatCode>#,##0.0;[Red]\-#,##0.0</c:formatCode>
                <c:ptCount val="1"/>
                <c:pt idx="0">
                  <c:v>0</c:v>
                </c:pt>
              </c:numCache>
            </c:numRef>
          </c:val>
        </c:ser>
        <c:dLbls/>
        <c:gapWidth val="50"/>
        <c:overlap val="100"/>
        <c:axId val="112163840"/>
        <c:axId val="112169728"/>
      </c:barChart>
      <c:catAx>
        <c:axId val="112163840"/>
        <c:scaling>
          <c:orientation val="minMax"/>
        </c:scaling>
        <c:delete val="1"/>
        <c:axPos val="l"/>
        <c:tickLblPos val="none"/>
        <c:crossAx val="112169728"/>
        <c:crosses val="autoZero"/>
        <c:auto val="1"/>
        <c:lblAlgn val="ctr"/>
        <c:lblOffset val="100"/>
      </c:catAx>
      <c:valAx>
        <c:axId val="112169728"/>
        <c:scaling>
          <c:orientation val="minMax"/>
        </c:scaling>
        <c:delete val="1"/>
        <c:axPos val="b"/>
        <c:numFmt formatCode="0%" sourceLinked="1"/>
        <c:tickLblPos val="none"/>
        <c:crossAx val="112163840"/>
        <c:crosses val="autoZero"/>
        <c:crossBetween val="between"/>
      </c:valAx>
      <c:spPr>
        <a:noFill/>
        <a:ln w="25400">
          <a:noFill/>
        </a:ln>
      </c:spPr>
    </c:plotArea>
    <c:dispBlanksAs val="gap"/>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7164210376724248"/>
          <c:y val="0.10788403600726953"/>
          <c:w val="0.72015056580603887"/>
          <c:h val="0.70539562004753165"/>
        </c:manualLayout>
      </c:layout>
      <c:areaChart>
        <c:grouping val="standard"/>
        <c:ser>
          <c:idx val="1"/>
          <c:order val="0"/>
          <c:tx>
            <c:strRef>
              <c:f>'計画概要書（前後の比較）'!$S$29</c:f>
              <c:strCache>
                <c:ptCount val="1"/>
                <c:pt idx="0">
                  <c:v>S</c:v>
                </c:pt>
              </c:strCache>
            </c:strRef>
          </c:tx>
          <c:spPr>
            <a:pattFill prst="pct70">
              <a:fgClr>
                <a:srgbClr val="339966"/>
              </a:fgClr>
              <a:bgClr>
                <a:srgbClr val="FFFFFF"/>
              </a:bgClr>
            </a:pattFill>
            <a:ln w="12700">
              <a:solidFill>
                <a:srgbClr val="000000"/>
              </a:solidFill>
              <a:prstDash val="solid"/>
            </a:ln>
          </c:spPr>
          <c:dLbls>
            <c:spPr>
              <a:noFill/>
              <a:ln w="25400">
                <a:noFill/>
              </a:ln>
            </c:spPr>
            <c:txPr>
              <a:bodyPr/>
              <a:lstStyle/>
              <a:p>
                <a:pPr>
                  <a:defRPr sz="1000" b="1" i="0" u="none" strike="noStrike" baseline="0">
                    <a:solidFill>
                      <a:srgbClr val="000000"/>
                    </a:solidFill>
                    <a:latin typeface="ＭＳ Ｐゴシック"/>
                    <a:ea typeface="ＭＳ Ｐゴシック"/>
                    <a:cs typeface="ＭＳ Ｐゴシック"/>
                  </a:defRPr>
                </a:pPr>
                <a:endParaRPr lang="ja-JP"/>
              </a:p>
            </c:txPr>
            <c:showSerName val="1"/>
          </c:dLbls>
          <c:val>
            <c:numRef>
              <c:f>'計画概要書（前後の比較）'!$T$29:$Z$29</c:f>
              <c:numCache>
                <c:formatCode>General</c:formatCode>
                <c:ptCount val="7"/>
                <c:pt idx="0">
                  <c:v>100</c:v>
                </c:pt>
                <c:pt idx="1">
                  <c:v>100</c:v>
                </c:pt>
                <c:pt idx="2">
                  <c:v>100</c:v>
                </c:pt>
                <c:pt idx="3">
                  <c:v>100</c:v>
                </c:pt>
                <c:pt idx="4">
                  <c:v>100</c:v>
                </c:pt>
                <c:pt idx="5">
                  <c:v>100</c:v>
                </c:pt>
                <c:pt idx="6">
                  <c:v>100</c:v>
                </c:pt>
              </c:numCache>
            </c:numRef>
          </c:val>
        </c:ser>
        <c:ser>
          <c:idx val="0"/>
          <c:order val="1"/>
          <c:tx>
            <c:strRef>
              <c:f>'計画概要書（前後の比較）'!$S$30</c:f>
              <c:strCache>
                <c:ptCount val="1"/>
                <c:pt idx="0">
                  <c:v>A</c:v>
                </c:pt>
              </c:strCache>
            </c:strRef>
          </c:tx>
          <c:spPr>
            <a:pattFill prst="pct90">
              <a:fgClr>
                <a:srgbClr val="CCFFCC"/>
              </a:fgClr>
              <a:bgClr>
                <a:srgbClr val="FFFFFF"/>
              </a:bgClr>
            </a:pattFill>
            <a:ln w="12700">
              <a:solidFill>
                <a:srgbClr val="000000"/>
              </a:solidFill>
              <a:prstDash val="solid"/>
            </a:ln>
          </c:spPr>
          <c:dLbls>
            <c:spPr>
              <a:noFill/>
              <a:ln w="25400">
                <a:noFill/>
              </a:ln>
            </c:spPr>
            <c:txPr>
              <a:bodyPr/>
              <a:lstStyle/>
              <a:p>
                <a:pPr>
                  <a:defRPr sz="1000" b="1" i="0" u="none" strike="noStrike" baseline="0">
                    <a:solidFill>
                      <a:srgbClr val="000000"/>
                    </a:solidFill>
                    <a:latin typeface="ＭＳ Ｐゴシック"/>
                    <a:ea typeface="ＭＳ Ｐゴシック"/>
                    <a:cs typeface="ＭＳ Ｐゴシック"/>
                  </a:defRPr>
                </a:pPr>
                <a:endParaRPr lang="ja-JP"/>
              </a:p>
            </c:txPr>
            <c:showSerName val="1"/>
          </c:dLbls>
          <c:val>
            <c:numRef>
              <c:f>'計画概要書（前後の比較）'!$T$30:$Z$30</c:f>
              <c:numCache>
                <c:formatCode>General</c:formatCode>
                <c:ptCount val="7"/>
                <c:pt idx="0">
                  <c:v>50</c:v>
                </c:pt>
                <c:pt idx="1">
                  <c:v>50</c:v>
                </c:pt>
                <c:pt idx="2">
                  <c:v>100</c:v>
                </c:pt>
                <c:pt idx="3">
                  <c:v>100</c:v>
                </c:pt>
                <c:pt idx="4">
                  <c:v>100</c:v>
                </c:pt>
                <c:pt idx="5">
                  <c:v>100</c:v>
                </c:pt>
                <c:pt idx="6">
                  <c:v>100</c:v>
                </c:pt>
              </c:numCache>
            </c:numRef>
          </c:val>
        </c:ser>
        <c:ser>
          <c:idx val="2"/>
          <c:order val="2"/>
          <c:tx>
            <c:strRef>
              <c:f>'計画概要書（前後の比較）'!$S$31</c:f>
              <c:strCache>
                <c:ptCount val="1"/>
                <c:pt idx="0">
                  <c:v>B+</c:v>
                </c:pt>
              </c:strCache>
            </c:strRef>
          </c:tx>
          <c:spPr>
            <a:solidFill>
              <a:srgbClr val="FFFFCC"/>
            </a:solidFill>
            <a:ln w="12700">
              <a:solidFill>
                <a:srgbClr val="000000"/>
              </a:solidFill>
              <a:prstDash val="solid"/>
            </a:ln>
          </c:spPr>
          <c:val>
            <c:numRef>
              <c:f>'計画概要書（前後の比較）'!$T$31:$Z$31</c:f>
              <c:numCache>
                <c:formatCode>General</c:formatCode>
                <c:ptCount val="7"/>
                <c:pt idx="0">
                  <c:v>0</c:v>
                </c:pt>
                <c:pt idx="1">
                  <c:v>25</c:v>
                </c:pt>
                <c:pt idx="2">
                  <c:v>50</c:v>
                </c:pt>
                <c:pt idx="3">
                  <c:v>75</c:v>
                </c:pt>
                <c:pt idx="4">
                  <c:v>100</c:v>
                </c:pt>
                <c:pt idx="5">
                  <c:v>100</c:v>
                </c:pt>
                <c:pt idx="6">
                  <c:v>100</c:v>
                </c:pt>
              </c:numCache>
            </c:numRef>
          </c:val>
        </c:ser>
        <c:ser>
          <c:idx val="3"/>
          <c:order val="3"/>
          <c:tx>
            <c:strRef>
              <c:f>'計画概要書（前後の比較）'!$S$32</c:f>
              <c:strCache>
                <c:ptCount val="1"/>
                <c:pt idx="0">
                  <c:v>B-</c:v>
                </c:pt>
              </c:strCache>
            </c:strRef>
          </c:tx>
          <c:spPr>
            <a:solidFill>
              <a:srgbClr val="FFFFCC"/>
            </a:solidFill>
            <a:ln w="12700">
              <a:solidFill>
                <a:srgbClr val="000000"/>
              </a:solidFill>
              <a:prstDash val="solid"/>
            </a:ln>
          </c:spPr>
          <c:val>
            <c:numRef>
              <c:f>'計画概要書（前後の比較）'!$T$32:$Z$32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ser>
          <c:idx val="4"/>
          <c:order val="4"/>
          <c:tx>
            <c:strRef>
              <c:f>'計画概要書（前後の比較）'!$S$33</c:f>
              <c:strCache>
                <c:ptCount val="1"/>
                <c:pt idx="0">
                  <c:v>C</c:v>
                </c:pt>
              </c:strCache>
            </c:strRef>
          </c:tx>
          <c:spPr>
            <a:solidFill>
              <a:srgbClr val="FFFFFF"/>
            </a:solidFill>
            <a:ln w="12700">
              <a:solidFill>
                <a:srgbClr val="000000"/>
              </a:solidFill>
              <a:prstDash val="solid"/>
            </a:ln>
          </c:spPr>
          <c:dLbls>
            <c:spPr>
              <a:noFill/>
              <a:ln w="25400">
                <a:noFill/>
              </a:ln>
            </c:spPr>
            <c:txPr>
              <a:bodyPr/>
              <a:lstStyle/>
              <a:p>
                <a:pPr>
                  <a:defRPr sz="1000" b="1" i="0" u="none" strike="noStrike" baseline="0">
                    <a:solidFill>
                      <a:srgbClr val="000000"/>
                    </a:solidFill>
                    <a:latin typeface="ＭＳ Ｐゴシック"/>
                    <a:ea typeface="ＭＳ Ｐゴシック"/>
                    <a:cs typeface="ＭＳ Ｐゴシック"/>
                  </a:defRPr>
                </a:pPr>
                <a:endParaRPr lang="ja-JP"/>
              </a:p>
            </c:txPr>
            <c:showSerName val="1"/>
          </c:dLbls>
          <c:val>
            <c:numRef>
              <c:f>'計画概要書（前後の比較）'!$T$33:$Z$33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dLbls/>
        <c:axId val="112224896"/>
        <c:axId val="112259840"/>
      </c:areaChart>
      <c:scatterChart>
        <c:scatterStyle val="lineMarker"/>
        <c:ser>
          <c:idx val="5"/>
          <c:order val="5"/>
          <c:tx>
            <c:strRef>
              <c:f>'計画概要書（前後の比較）'!$S$21</c:f>
              <c:strCache>
                <c:ptCount val="1"/>
                <c:pt idx="0">
                  <c:v>before</c:v>
                </c:pt>
              </c:strCache>
            </c:strRef>
          </c:tx>
          <c:spPr>
            <a:ln w="25400">
              <a:solidFill>
                <a:srgbClr val="99CC00"/>
              </a:solidFill>
              <a:prstDash val="sysDash"/>
            </a:ln>
          </c:spPr>
          <c:marker>
            <c:symbol val="none"/>
          </c:marker>
          <c:dPt>
            <c:idx val="1"/>
            <c:marker>
              <c:symbol val="circle"/>
              <c:size val="6"/>
              <c:spPr>
                <a:solidFill>
                  <a:srgbClr val="99CC00"/>
                </a:solidFill>
                <a:ln>
                  <a:solidFill>
                    <a:srgbClr val="000000"/>
                  </a:solidFill>
                  <a:prstDash val="solid"/>
                </a:ln>
              </c:spPr>
            </c:marker>
            <c:spPr>
              <a:ln w="28575">
                <a:noFill/>
              </a:ln>
            </c:spPr>
          </c:dPt>
          <c:dPt>
            <c:idx val="2"/>
            <c:marker>
              <c:symbol val="triangle"/>
              <c:size val="18"/>
              <c:spPr>
                <a:solidFill>
                  <a:srgbClr val="99CC00"/>
                </a:solidFill>
                <a:ln>
                  <a:solidFill>
                    <a:srgbClr val="000000"/>
                  </a:solidFill>
                  <a:prstDash val="solid"/>
                </a:ln>
              </c:spPr>
            </c:marker>
          </c:dPt>
          <c:dPt>
            <c:idx val="3"/>
            <c:marker>
              <c:symbol val="circle"/>
              <c:size val="6"/>
              <c:spPr>
                <a:solidFill>
                  <a:srgbClr val="99CC00"/>
                </a:solidFill>
                <a:ln>
                  <a:solidFill>
                    <a:srgbClr val="000000"/>
                  </a:solidFill>
                  <a:prstDash val="solid"/>
                </a:ln>
              </c:spPr>
            </c:marker>
          </c:dPt>
          <c:dLbls>
            <c:dLbl>
              <c:idx val="1"/>
              <c:layout/>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showCatName val="1"/>
            </c:dLbl>
            <c:dLbl>
              <c:idx val="3"/>
              <c:layout/>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showVal val="1"/>
            </c:dLbl>
            <c:delete val="1"/>
          </c:dLbls>
          <c:xVal>
            <c:numRef>
              <c:f>'計画概要書（前後の比較）'!$R$25:$U$25</c:f>
              <c:numCache>
                <c:formatCode>#,##0;[Red]\-#,##0</c:formatCode>
                <c:ptCount val="4"/>
                <c:pt idx="0" formatCode="General">
                  <c:v>0</c:v>
                </c:pt>
                <c:pt idx="1">
                  <c:v>0</c:v>
                </c:pt>
                <c:pt idx="2">
                  <c:v>0</c:v>
                </c:pt>
                <c:pt idx="3">
                  <c:v>0.1</c:v>
                </c:pt>
              </c:numCache>
            </c:numRef>
          </c:xVal>
          <c:yVal>
            <c:numRef>
              <c:f>'計画概要書（前後の比較）'!$R$26:$U$26</c:f>
              <c:numCache>
                <c:formatCode>#,##0;[Red]\-#,##0</c:formatCode>
                <c:ptCount val="4"/>
                <c:pt idx="0" formatCode="General">
                  <c:v>0</c:v>
                </c:pt>
                <c:pt idx="1">
                  <c:v>0</c:v>
                </c:pt>
                <c:pt idx="2">
                  <c:v>50.421875000000007</c:v>
                </c:pt>
                <c:pt idx="3">
                  <c:v>50.421875000000007</c:v>
                </c:pt>
              </c:numCache>
            </c:numRef>
          </c:yVal>
        </c:ser>
        <c:ser>
          <c:idx val="6"/>
          <c:order val="6"/>
          <c:tx>
            <c:strRef>
              <c:f>'計画概要書（前後の比較）'!$S$13</c:f>
              <c:strCache>
                <c:ptCount val="1"/>
                <c:pt idx="0">
                  <c:v>#VALUE!</c:v>
                </c:pt>
              </c:strCache>
            </c:strRef>
          </c:tx>
          <c:spPr>
            <a:ln w="38100">
              <a:solidFill>
                <a:srgbClr val="99CC00"/>
              </a:solidFill>
              <a:prstDash val="solid"/>
            </a:ln>
          </c:spPr>
          <c:marker>
            <c:symbol val="none"/>
          </c:marker>
          <c:dLbls>
            <c:dLbl>
              <c:idx val="1"/>
              <c:layout>
                <c:manualLayout>
                  <c:x val="6.1537276071082954E-3"/>
                  <c:y val="-3.4149157101510182E-2"/>
                </c:manualLayout>
              </c:layout>
              <c:dLblPos val="r"/>
              <c:showSerName val="1"/>
            </c:dLbl>
            <c:dLbl>
              <c:idx val="2"/>
              <c:delete val="1"/>
            </c:dLbl>
            <c:spPr>
              <a:noFill/>
              <a:ln w="25400">
                <a:noFill/>
              </a:ln>
            </c:spPr>
            <c:txPr>
              <a:bodyPr/>
              <a:lstStyle/>
              <a:p>
                <a:pPr>
                  <a:defRPr sz="1275" b="1" i="0" u="none" strike="noStrike" baseline="0">
                    <a:solidFill>
                      <a:srgbClr val="99CC00"/>
                    </a:solidFill>
                    <a:latin typeface="Arial"/>
                    <a:ea typeface="Arial"/>
                    <a:cs typeface="Arial"/>
                  </a:defRPr>
                </a:pPr>
                <a:endParaRPr lang="ja-JP"/>
              </a:p>
            </c:txPr>
            <c:showSerName val="1"/>
          </c:dLbls>
          <c:xVal>
            <c:numRef>
              <c:f>'計画概要書（前後の比較）'!$S$23:$U$23</c:f>
              <c:numCache>
                <c:formatCode>#,##0;[Red]\-#,##0</c:formatCode>
                <c:ptCount val="3"/>
                <c:pt idx="1">
                  <c:v>0</c:v>
                </c:pt>
                <c:pt idx="2">
                  <c:v>0</c:v>
                </c:pt>
              </c:numCache>
            </c:numRef>
          </c:xVal>
          <c:yVal>
            <c:numRef>
              <c:f>'計画概要書（前後の比較）'!$S$24:$U$24</c:f>
              <c:numCache>
                <c:formatCode>#,##0;[Red]\-#,##0</c:formatCode>
                <c:ptCount val="3"/>
                <c:pt idx="1">
                  <c:v>50.421875000000007</c:v>
                </c:pt>
                <c:pt idx="2">
                  <c:v>0</c:v>
                </c:pt>
              </c:numCache>
            </c:numRef>
          </c:yVal>
        </c:ser>
        <c:ser>
          <c:idx val="7"/>
          <c:order val="7"/>
          <c:tx>
            <c:strRef>
              <c:f>'計画概要書（前後の比較）'!$W$21</c:f>
              <c:strCache>
                <c:ptCount val="1"/>
                <c:pt idx="0">
                  <c:v>after</c:v>
                </c:pt>
              </c:strCache>
            </c:strRef>
          </c:tx>
          <c:spPr>
            <a:ln w="25400">
              <a:solidFill>
                <a:srgbClr val="008000"/>
              </a:solidFill>
              <a:prstDash val="sysDash"/>
            </a:ln>
          </c:spPr>
          <c:marker>
            <c:symbol val="none"/>
          </c:marker>
          <c:dPt>
            <c:idx val="1"/>
            <c:marker>
              <c:symbol val="circle"/>
              <c:size val="6"/>
              <c:spPr>
                <a:solidFill>
                  <a:srgbClr val="339966"/>
                </a:solidFill>
                <a:ln>
                  <a:solidFill>
                    <a:srgbClr val="000000"/>
                  </a:solidFill>
                  <a:prstDash val="solid"/>
                </a:ln>
              </c:spPr>
            </c:marker>
            <c:spPr>
              <a:ln w="28575">
                <a:noFill/>
              </a:ln>
            </c:spPr>
          </c:dPt>
          <c:dPt>
            <c:idx val="2"/>
            <c:marker>
              <c:symbol val="triangle"/>
              <c:size val="18"/>
              <c:spPr>
                <a:solidFill>
                  <a:srgbClr val="339966"/>
                </a:solidFill>
                <a:ln>
                  <a:solidFill>
                    <a:srgbClr val="000000"/>
                  </a:solidFill>
                  <a:prstDash val="solid"/>
                </a:ln>
              </c:spPr>
            </c:marker>
          </c:dPt>
          <c:dPt>
            <c:idx val="3"/>
            <c:marker>
              <c:symbol val="circle"/>
              <c:size val="6"/>
              <c:spPr>
                <a:solidFill>
                  <a:srgbClr val="339966"/>
                </a:solidFill>
                <a:ln>
                  <a:solidFill>
                    <a:srgbClr val="000000"/>
                  </a:solidFill>
                  <a:prstDash val="solid"/>
                </a:ln>
              </c:spPr>
            </c:marker>
          </c:dPt>
          <c:dLbls>
            <c:dLbl>
              <c:idx val="0"/>
              <c:delete val="1"/>
            </c:dLbl>
            <c:dLbl>
              <c:idx val="1"/>
              <c:layout/>
              <c:showCatName val="1"/>
            </c:dLbl>
            <c:dLbl>
              <c:idx val="2"/>
              <c:delete val="1"/>
            </c:dLbl>
            <c:dLbl>
              <c:idx val="3"/>
              <c:layout/>
              <c:showVal val="1"/>
            </c:dLbl>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showVal val="1"/>
            <c:showCatName val="1"/>
          </c:dLbls>
          <c:xVal>
            <c:numRef>
              <c:f>'計画概要書（前後の比較）'!$V$25:$Y$25</c:f>
              <c:numCache>
                <c:formatCode>#,##0;[Red]\-#,##0</c:formatCode>
                <c:ptCount val="4"/>
                <c:pt idx="0" formatCode="General">
                  <c:v>0</c:v>
                </c:pt>
                <c:pt idx="1">
                  <c:v>0</c:v>
                </c:pt>
                <c:pt idx="2">
                  <c:v>0</c:v>
                </c:pt>
                <c:pt idx="3">
                  <c:v>0.1</c:v>
                </c:pt>
              </c:numCache>
            </c:numRef>
          </c:xVal>
          <c:yVal>
            <c:numRef>
              <c:f>'計画概要書（前後の比較）'!$V$26:$Y$26</c:f>
              <c:numCache>
                <c:formatCode>#,##0;[Red]\-#,##0</c:formatCode>
                <c:ptCount val="4"/>
                <c:pt idx="0" formatCode="General">
                  <c:v>0</c:v>
                </c:pt>
                <c:pt idx="1">
                  <c:v>0</c:v>
                </c:pt>
                <c:pt idx="2">
                  <c:v>50.000000000000014</c:v>
                </c:pt>
                <c:pt idx="3">
                  <c:v>50.000000000000014</c:v>
                </c:pt>
              </c:numCache>
            </c:numRef>
          </c:yVal>
        </c:ser>
        <c:ser>
          <c:idx val="8"/>
          <c:order val="8"/>
          <c:tx>
            <c:strRef>
              <c:f>'計画概要書（前後の比較）'!$T$13</c:f>
              <c:strCache>
                <c:ptCount val="1"/>
                <c:pt idx="0">
                  <c:v>#VALUE!</c:v>
                </c:pt>
              </c:strCache>
            </c:strRef>
          </c:tx>
          <c:spPr>
            <a:ln w="38100">
              <a:solidFill>
                <a:srgbClr val="008000"/>
              </a:solidFill>
              <a:prstDash val="solid"/>
            </a:ln>
          </c:spPr>
          <c:marker>
            <c:symbol val="none"/>
          </c:marker>
          <c:dLbls>
            <c:dLbl>
              <c:idx val="1"/>
              <c:layout>
                <c:manualLayout>
                  <c:x val="-1.3089725566848389E-3"/>
                  <c:y val="-2.5850385100950946E-2"/>
                </c:manualLayout>
              </c:layout>
              <c:dLblPos val="r"/>
              <c:showSerName val="1"/>
            </c:dLbl>
            <c:dLbl>
              <c:idx val="2"/>
              <c:delete val="1"/>
            </c:dLbl>
            <c:spPr>
              <a:noFill/>
              <a:ln w="25400">
                <a:noFill/>
              </a:ln>
            </c:spPr>
            <c:txPr>
              <a:bodyPr/>
              <a:lstStyle/>
              <a:p>
                <a:pPr>
                  <a:defRPr sz="1275" b="1" i="0" u="none" strike="noStrike" baseline="0">
                    <a:solidFill>
                      <a:srgbClr val="FF0000"/>
                    </a:solidFill>
                    <a:latin typeface="Arial"/>
                    <a:ea typeface="Arial"/>
                    <a:cs typeface="Arial"/>
                  </a:defRPr>
                </a:pPr>
                <a:endParaRPr lang="ja-JP"/>
              </a:p>
            </c:txPr>
            <c:showSerName val="1"/>
          </c:dLbls>
          <c:xVal>
            <c:numRef>
              <c:f>'計画概要書（前後の比較）'!$W$23:$Y$23</c:f>
              <c:numCache>
                <c:formatCode>#,##0;[Red]\-#,##0</c:formatCode>
                <c:ptCount val="3"/>
                <c:pt idx="1">
                  <c:v>0</c:v>
                </c:pt>
                <c:pt idx="2">
                  <c:v>0</c:v>
                </c:pt>
              </c:numCache>
            </c:numRef>
          </c:xVal>
          <c:yVal>
            <c:numRef>
              <c:f>'計画概要書（前後の比較）'!$W$24:$Y$24</c:f>
              <c:numCache>
                <c:formatCode>#,##0;[Red]\-#,##0</c:formatCode>
                <c:ptCount val="3"/>
                <c:pt idx="1">
                  <c:v>50.000000000000014</c:v>
                </c:pt>
                <c:pt idx="2">
                  <c:v>0</c:v>
                </c:pt>
              </c:numCache>
            </c:numRef>
          </c:yVal>
        </c:ser>
        <c:dLbls/>
        <c:axId val="112261760"/>
        <c:axId val="112329088"/>
      </c:scatterChart>
      <c:catAx>
        <c:axId val="112224896"/>
        <c:scaling>
          <c:orientation val="minMax"/>
        </c:scaling>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950" b="1" i="0" u="none" strike="noStrike" baseline="0">
                    <a:solidFill>
                      <a:srgbClr val="000000"/>
                    </a:solidFill>
                    <a:latin typeface="ＭＳ Ｐゴシック"/>
                    <a:ea typeface="ＭＳ Ｐゴシック"/>
                  </a:rPr>
                  <a:t>環境負荷　L</a:t>
                </a:r>
              </a:p>
            </c:rich>
          </c:tx>
          <c:layout>
            <c:manualLayout>
              <c:xMode val="edge"/>
              <c:yMode val="edge"/>
              <c:x val="0.38432914169310928"/>
              <c:y val="0.90041668028011002"/>
            </c:manualLayout>
          </c:layout>
          <c:spPr>
            <a:noFill/>
            <a:ln w="25400">
              <a:noFill/>
            </a:ln>
          </c:spPr>
        </c:title>
        <c:majorTickMark val="none"/>
        <c:tickLblPos val="none"/>
        <c:spPr>
          <a:ln w="3175">
            <a:solidFill>
              <a:srgbClr val="000000"/>
            </a:solidFill>
            <a:prstDash val="solid"/>
          </a:ln>
        </c:spPr>
        <c:crossAx val="112259840"/>
        <c:crossesAt val="0"/>
        <c:auto val="1"/>
        <c:lblAlgn val="ctr"/>
        <c:lblOffset val="100"/>
        <c:tickLblSkip val="1"/>
        <c:tickMarkSkip val="1"/>
      </c:catAx>
      <c:valAx>
        <c:axId val="112259840"/>
        <c:scaling>
          <c:orientation val="minMax"/>
          <c:max val="100"/>
          <c:min val="0"/>
        </c:scaling>
        <c:axPos val="l"/>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950" b="1" i="0" u="none" strike="noStrike" baseline="0">
                    <a:solidFill>
                      <a:srgbClr val="000000"/>
                    </a:solidFill>
                    <a:latin typeface="ＭＳ Ｐゴシック"/>
                    <a:ea typeface="ＭＳ Ｐゴシック"/>
                  </a:rPr>
                  <a:t>環境品質　Q</a:t>
                </a:r>
              </a:p>
            </c:rich>
          </c:tx>
          <c:layout>
            <c:manualLayout>
              <c:xMode val="edge"/>
              <c:yMode val="edge"/>
              <c:x val="1.865671641791045E-2"/>
              <c:y val="0.31120375513226828"/>
            </c:manualLayout>
          </c:layout>
          <c:spPr>
            <a:noFill/>
            <a:ln w="25400">
              <a:noFill/>
            </a:ln>
          </c:spPr>
        </c:title>
        <c:numFmt formatCode="General" sourceLinked="1"/>
        <c:maj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12224896"/>
        <c:crosses val="autoZero"/>
        <c:crossBetween val="midCat"/>
        <c:majorUnit val="50"/>
        <c:minorUnit val="4"/>
      </c:valAx>
      <c:valAx>
        <c:axId val="112261760"/>
        <c:scaling>
          <c:orientation val="minMax"/>
          <c:max val="100"/>
          <c:min val="0"/>
        </c:scaling>
        <c:axPos val="t"/>
        <c:numFmt formatCode="General" sourceLinked="1"/>
        <c:maj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12329088"/>
        <c:crosses val="max"/>
        <c:crossBetween val="midCat"/>
        <c:majorUnit val="50"/>
        <c:minorUnit val="2"/>
      </c:valAx>
      <c:valAx>
        <c:axId val="112329088"/>
        <c:scaling>
          <c:orientation val="minMax"/>
          <c:max val="100"/>
          <c:min val="0"/>
        </c:scaling>
        <c:axPos val="r"/>
        <c:numFmt formatCode="General" sourceLinked="1"/>
        <c:majorTickMark val="none"/>
        <c:tickLblPos val="none"/>
        <c:spPr>
          <a:ln w="3175">
            <a:solidFill>
              <a:srgbClr val="000000"/>
            </a:solidFill>
            <a:prstDash val="solid"/>
          </a:ln>
        </c:spPr>
        <c:crossAx val="112261760"/>
        <c:crosses val="max"/>
        <c:crossBetween val="midCat"/>
        <c:majorUnit val="50"/>
        <c:minorUnit val="2"/>
      </c:valAx>
      <c:spPr>
        <a:solidFill>
          <a:srgbClr val="C0C0C0"/>
        </a:solidFill>
        <a:ln w="12700">
          <a:solidFill>
            <a:srgbClr val="808080"/>
          </a:solidFill>
          <a:prstDash val="solid"/>
        </a:ln>
      </c:spPr>
    </c:plotArea>
    <c:dispBlanksAs val="gap"/>
  </c:chart>
  <c:spPr>
    <a:noFill/>
    <a:ln w="9525">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6528970086976175"/>
          <c:y val="0.10559022222896181"/>
          <c:w val="0.64738466173990006"/>
          <c:h val="0.72981477128841254"/>
        </c:manualLayout>
      </c:layout>
      <c:radarChart>
        <c:radarStyle val="filled"/>
        <c:ser>
          <c:idx val="0"/>
          <c:order val="0"/>
          <c:tx>
            <c:strRef>
              <c:f>'計画概要書（前後の比較）'!$W$8</c:f>
              <c:strCache>
                <c:ptCount val="1"/>
                <c:pt idx="0">
                  <c:v>background</c:v>
                </c:pt>
              </c:strCache>
            </c:strRef>
          </c:tx>
          <c:spPr>
            <a:blipFill dpi="0" rotWithShape="0">
              <a:blip xmlns:r="http://schemas.openxmlformats.org/officeDocument/2006/relationships" r:embed="rId1"/>
              <a:srcRect/>
              <a:stretch>
                <a:fillRect/>
              </a:stretch>
            </a:blipFill>
            <a:ln w="12700">
              <a:solidFill>
                <a:srgbClr val="000000"/>
              </a:solidFill>
              <a:prstDash val="solid"/>
            </a:ln>
          </c:spPr>
          <c:cat>
            <c:strRef>
              <c:f>'計画概要書（前後の比較）'!$V$9:$V$14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'計画概要書（前後の比較）'!$W$9:$W$14</c:f>
              <c:numCache>
                <c:formatCode>General</c:formatCode>
                <c:ptCount val="6"/>
                <c:pt idx="0">
                  <c:v>5</c:v>
                </c:pt>
                <c:pt idx="1">
                  <c:v>5</c:v>
                </c:pt>
                <c:pt idx="2">
                  <c:v>5</c:v>
                </c:pt>
                <c:pt idx="3">
                  <c:v>5</c:v>
                </c:pt>
                <c:pt idx="4">
                  <c:v>5</c:v>
                </c:pt>
                <c:pt idx="5">
                  <c:v>5</c:v>
                </c:pt>
              </c:numCache>
            </c:numRef>
          </c:val>
        </c:ser>
        <c:ser>
          <c:idx val="1"/>
          <c:order val="1"/>
          <c:tx>
            <c:strRef>
              <c:f>'計画概要書（前後の比較）'!$X$8</c:f>
              <c:strCache>
                <c:ptCount val="1"/>
                <c:pt idx="0">
                  <c:v>4</c:v>
                </c:pt>
              </c:strCache>
            </c:strRef>
          </c:tx>
          <c:spPr>
            <a:noFill/>
            <a:ln w="12700">
              <a:solidFill>
                <a:srgbClr val="000000"/>
              </a:solidFill>
              <a:prstDash val="solid"/>
            </a:ln>
          </c:spPr>
          <c:cat>
            <c:strRef>
              <c:f>'計画概要書（前後の比較）'!$V$9:$V$14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'計画概要書（前後の比較）'!$X$9:$X$14</c:f>
              <c:numCache>
                <c:formatCode>General</c:formatCode>
                <c:ptCount val="6"/>
                <c:pt idx="0">
                  <c:v>4</c:v>
                </c:pt>
                <c:pt idx="1">
                  <c:v>4</c:v>
                </c:pt>
                <c:pt idx="2">
                  <c:v>4</c:v>
                </c:pt>
                <c:pt idx="3">
                  <c:v>4</c:v>
                </c:pt>
                <c:pt idx="4">
                  <c:v>4</c:v>
                </c:pt>
                <c:pt idx="5">
                  <c:v>4</c:v>
                </c:pt>
              </c:numCache>
            </c:numRef>
          </c:val>
        </c:ser>
        <c:ser>
          <c:idx val="2"/>
          <c:order val="2"/>
          <c:tx>
            <c:strRef>
              <c:f>'計画概要書（前後の比較）'!$Y$8</c:f>
              <c:strCache>
                <c:ptCount val="1"/>
                <c:pt idx="0">
                  <c:v>2</c:v>
                </c:pt>
              </c:strCache>
            </c:strRef>
          </c:tx>
          <c:spPr>
            <a:noFill/>
            <a:ln w="12700">
              <a:solidFill>
                <a:srgbClr val="000000"/>
              </a:solidFill>
              <a:prstDash val="solid"/>
            </a:ln>
          </c:spPr>
          <c:cat>
            <c:strRef>
              <c:f>'計画概要書（前後の比較）'!$V$9:$V$14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'計画概要書（前後の比較）'!$Y$9:$Y$14</c:f>
              <c:numCache>
                <c:formatCode>General</c:formatCode>
                <c:ptCount val="6"/>
                <c:pt idx="0">
                  <c:v>2</c:v>
                </c:pt>
                <c:pt idx="1">
                  <c:v>2</c:v>
                </c:pt>
                <c:pt idx="2">
                  <c:v>2</c:v>
                </c:pt>
                <c:pt idx="3">
                  <c:v>2</c:v>
                </c:pt>
                <c:pt idx="4">
                  <c:v>2</c:v>
                </c:pt>
                <c:pt idx="5">
                  <c:v>2</c:v>
                </c:pt>
              </c:numCache>
            </c:numRef>
          </c:val>
        </c:ser>
        <c:ser>
          <c:idx val="5"/>
          <c:order val="3"/>
          <c:tx>
            <c:strRef>
              <c:f>'計画概要書（前後の比較）'!$AA$8</c:f>
              <c:strCache>
                <c:ptCount val="1"/>
                <c:pt idx="0">
                  <c:v>after</c:v>
                </c:pt>
              </c:strCache>
            </c:strRef>
          </c:tx>
          <c:spPr>
            <a:solidFill>
              <a:srgbClr val="99CCFF"/>
            </a:solidFill>
            <a:ln w="12700">
              <a:solidFill>
                <a:srgbClr val="000000"/>
              </a:solidFill>
              <a:prstDash val="solid"/>
            </a:ln>
          </c:spPr>
          <c:cat>
            <c:strRef>
              <c:f>'計画概要書（前後の比較）'!$V$9:$V$14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'計画概要書（前後の比較）'!$AA$9:$AA$14</c:f>
              <c:numCache>
                <c:formatCode>0.0_ </c:formatCode>
                <c:ptCount val="6"/>
                <c:pt idx="0">
                  <c:v>3</c:v>
                </c:pt>
                <c:pt idx="1">
                  <c:v>3</c:v>
                </c:pt>
                <c:pt idx="2">
                  <c:v>0</c:v>
                </c:pt>
                <c:pt idx="3">
                  <c:v>3</c:v>
                </c:pt>
                <c:pt idx="4">
                  <c:v>1.5</c:v>
                </c:pt>
                <c:pt idx="5">
                  <c:v>3</c:v>
                </c:pt>
              </c:numCache>
            </c:numRef>
          </c:val>
        </c:ser>
        <c:ser>
          <c:idx val="3"/>
          <c:order val="4"/>
          <c:tx>
            <c:strRef>
              <c:f>'計画概要書（前後の比較）'!$Z$8</c:f>
              <c:strCache>
                <c:ptCount val="1"/>
                <c:pt idx="0">
                  <c:v>before</c:v>
                </c:pt>
              </c:strCache>
            </c:strRef>
          </c:tx>
          <c:spPr>
            <a:solidFill>
              <a:srgbClr val="CCFFFF"/>
            </a:solidFill>
            <a:ln w="12700">
              <a:solidFill>
                <a:srgbClr val="000000"/>
              </a:solidFill>
              <a:prstDash val="sysDash"/>
            </a:ln>
          </c:spPr>
          <c:cat>
            <c:strRef>
              <c:f>'計画概要書（前後の比較）'!$V$9:$V$14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'計画概要書（前後の比較）'!$Z$9:$Z$14</c:f>
              <c:numCache>
                <c:formatCode>0.0_ </c:formatCode>
                <c:ptCount val="6"/>
                <c:pt idx="0">
                  <c:v>3</c:v>
                </c:pt>
                <c:pt idx="1">
                  <c:v>3</c:v>
                </c:pt>
                <c:pt idx="2">
                  <c:v>0</c:v>
                </c:pt>
                <c:pt idx="3">
                  <c:v>3</c:v>
                </c:pt>
                <c:pt idx="4">
                  <c:v>1.4</c:v>
                </c:pt>
                <c:pt idx="5">
                  <c:v>3</c:v>
                </c:pt>
              </c:numCache>
            </c:numRef>
          </c:val>
        </c:ser>
        <c:ser>
          <c:idx val="4"/>
          <c:order val="5"/>
          <c:tx>
            <c:strRef>
              <c:f>'計画概要書（前後の比較）'!$AB$8</c:f>
              <c:strCache>
                <c:ptCount val="1"/>
                <c:pt idx="0">
                  <c:v>std</c:v>
                </c:pt>
              </c:strCache>
            </c:strRef>
          </c:tx>
          <c:spPr>
            <a:noFill/>
            <a:ln w="12700">
              <a:solidFill>
                <a:srgbClr val="FF0000"/>
              </a:solidFill>
              <a:prstDash val="solid"/>
            </a:ln>
          </c:spPr>
          <c:cat>
            <c:strRef>
              <c:f>'計画概要書（前後の比較）'!$V$9:$V$14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'計画概要書（前後の比較）'!$AB$9:$AB$14</c:f>
              <c:numCache>
                <c:formatCode>General</c:formatCode>
                <c:ptCount val="6"/>
                <c:pt idx="0">
                  <c:v>3</c:v>
                </c:pt>
                <c:pt idx="1">
                  <c:v>3</c:v>
                </c:pt>
                <c:pt idx="2">
                  <c:v>3</c:v>
                </c:pt>
                <c:pt idx="3">
                  <c:v>3</c:v>
                </c:pt>
                <c:pt idx="4">
                  <c:v>3</c:v>
                </c:pt>
                <c:pt idx="5">
                  <c:v>3</c:v>
                </c:pt>
              </c:numCache>
            </c:numRef>
          </c:val>
        </c:ser>
        <c:dLbls/>
        <c:axId val="112416640"/>
        <c:axId val="112418176"/>
      </c:radarChart>
      <c:catAx>
        <c:axId val="112416640"/>
        <c:scaling>
          <c:orientation val="minMax"/>
        </c:scaling>
        <c:axPos val="b"/>
        <c:majorGridlines>
          <c:spPr>
            <a:ln w="3175">
              <a:solidFill>
                <a:srgbClr val="000000"/>
              </a:solidFill>
              <a:prstDash val="solid"/>
            </a:ln>
          </c:spPr>
        </c:majorGridlines>
        <c:numFmt formatCode="General" sourceLinked="1"/>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12418176"/>
        <c:crosses val="autoZero"/>
        <c:lblAlgn val="ctr"/>
        <c:lblOffset val="100"/>
      </c:catAx>
      <c:valAx>
        <c:axId val="112418176"/>
        <c:scaling>
          <c:orientation val="minMax"/>
          <c:max val="5"/>
          <c:min val="1"/>
        </c:scaling>
        <c:axPos val="l"/>
        <c:majorGridlines>
          <c:spPr>
            <a:ln w="3175">
              <a:solidFill>
                <a:srgbClr val="000000"/>
              </a:solidFill>
              <a:prstDash val="solid"/>
            </a:ln>
          </c:spPr>
        </c:majorGridlines>
        <c:numFmt formatCode="#,##0_);[Red]\(#,##0\)" sourceLinked="0"/>
        <c:majorTickMark val="cross"/>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12416640"/>
        <c:crosses val="autoZero"/>
        <c:crossBetween val="between"/>
        <c:majorUnit val="1"/>
      </c:valAx>
      <c:spPr>
        <a:noFill/>
        <a:ln w="25400">
          <a:noFill/>
        </a:ln>
      </c:spPr>
    </c:plotArea>
    <c:dispBlanksAs val="gap"/>
  </c:chart>
  <c:spPr>
    <a:noFill/>
    <a:ln w="9525">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5.9406084192460643E-2"/>
          <c:y val="0.15000244144598712"/>
          <c:w val="0.88614075587087104"/>
          <c:h val="0.80001302104526428"/>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idx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'計画概要書（前後の比較）'!$R$36</c:f>
              <c:strCache>
                <c:ptCount val="1"/>
                <c:pt idx="0">
                  <c:v>Rank(green star)</c:v>
                </c:pt>
              </c:strCache>
            </c:strRef>
          </c:cat>
          <c:val>
            <c:numRef>
              <c:f>'計画概要書（前後の比較）'!$T$36</c:f>
              <c:numCache>
                <c:formatCode>General</c:formatCode>
                <c:ptCount val="1"/>
                <c:pt idx="0">
                  <c:v>0</c:v>
                </c:pt>
              </c:numCache>
            </c:numRef>
          </c:val>
        </c:ser>
        <c:ser>
          <c:idx val="1"/>
          <c:order val="1"/>
          <c:spPr>
            <a:blipFill dpi="0" rotWithShape="0">
              <a:blip xmlns:r="http://schemas.openxmlformats.org/officeDocument/2006/relationships" r:embed="rId3"/>
              <a:srcRect/>
              <a:stretch>
                <a:fillRect/>
              </a:stretch>
            </a:blipFill>
            <a:ln w="25400">
              <a:noFill/>
            </a:ln>
          </c:spPr>
          <c:pictureOptions>
            <c:pictureFormat val="stackScale"/>
            <c:pictureStackUnit val="20"/>
          </c:pictureOptions>
          <c:cat>
            <c:strRef>
              <c:f>'計画概要書（前後の比較）'!$R$36</c:f>
              <c:strCache>
                <c:ptCount val="1"/>
                <c:pt idx="0">
                  <c:v>Rank(green star)</c:v>
                </c:pt>
              </c:strCache>
            </c:strRef>
          </c:cat>
          <c:val>
            <c:numRef>
              <c:f>'計画概要書（前後の比較）'!$T$37</c:f>
              <c:numCache>
                <c:formatCode>General</c:formatCode>
                <c:ptCount val="1"/>
                <c:pt idx="0">
                  <c:v>0</c:v>
                </c:pt>
              </c:numCache>
            </c:numRef>
          </c:val>
        </c:ser>
        <c:dLbls/>
        <c:gapWidth val="50"/>
        <c:overlap val="100"/>
        <c:axId val="112607232"/>
        <c:axId val="112608768"/>
      </c:barChart>
      <c:catAx>
        <c:axId val="112607232"/>
        <c:scaling>
          <c:orientation val="minMax"/>
        </c:scaling>
        <c:delete val="1"/>
        <c:axPos val="l"/>
        <c:tickLblPos val="none"/>
        <c:crossAx val="112608768"/>
        <c:crosses val="autoZero"/>
        <c:auto val="1"/>
        <c:lblAlgn val="ctr"/>
        <c:lblOffset val="100"/>
      </c:catAx>
      <c:valAx>
        <c:axId val="112608768"/>
        <c:scaling>
          <c:orientation val="minMax"/>
        </c:scaling>
        <c:delete val="1"/>
        <c:axPos val="b"/>
        <c:numFmt formatCode="0%" sourceLinked="1"/>
        <c:tickLblPos val="none"/>
        <c:crossAx val="112607232"/>
        <c:crosses val="autoZero"/>
        <c:crossBetween val="between"/>
      </c:valAx>
      <c:spPr>
        <a:noFill/>
        <a:ln w="25400">
          <a:noFill/>
        </a:ln>
      </c:spPr>
    </c:plotArea>
    <c:dispBlanksAs val="gap"/>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5.9113300492610842E-2"/>
          <c:y val="9.0909897992702368E-2"/>
          <c:w val="0.89162561576354693"/>
          <c:h val="0.87273502072994269"/>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idx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'計画概要書（前後の比較）'!$R$36</c:f>
              <c:strCache>
                <c:ptCount val="1"/>
                <c:pt idx="0">
                  <c:v>Rank(green star)</c:v>
                </c:pt>
              </c:strCache>
            </c:strRef>
          </c:cat>
          <c:val>
            <c:numRef>
              <c:f>'計画概要書（前後の比較）'!$S$36</c:f>
              <c:numCache>
                <c:formatCode>General</c:formatCode>
                <c:ptCount val="1"/>
                <c:pt idx="0">
                  <c:v>0</c:v>
                </c:pt>
              </c:numCache>
            </c:numRef>
          </c:val>
        </c:ser>
        <c:ser>
          <c:idx val="1"/>
          <c:order val="1"/>
          <c:spPr>
            <a:blipFill dpi="0" rotWithShape="0">
              <a:blip xmlns:r="http://schemas.openxmlformats.org/officeDocument/2006/relationships" r:embed="rId3"/>
              <a:srcRect/>
              <a:stretch>
                <a:fillRect/>
              </a:stretch>
            </a:blipFill>
            <a:ln w="25400">
              <a:noFill/>
            </a:ln>
          </c:spPr>
          <c:pictureOptions>
            <c:pictureFormat val="stackScale"/>
            <c:pictureStackUnit val="20"/>
          </c:pictureOptions>
          <c:cat>
            <c:strRef>
              <c:f>'計画概要書（前後の比較）'!$R$36</c:f>
              <c:strCache>
                <c:ptCount val="1"/>
                <c:pt idx="0">
                  <c:v>Rank(green star)</c:v>
                </c:pt>
              </c:strCache>
            </c:strRef>
          </c:cat>
          <c:val>
            <c:numRef>
              <c:f>'計画概要書（前後の比較）'!$S$37</c:f>
              <c:numCache>
                <c:formatCode>General</c:formatCode>
                <c:ptCount val="1"/>
                <c:pt idx="0">
                  <c:v>0</c:v>
                </c:pt>
              </c:numCache>
            </c:numRef>
          </c:val>
        </c:ser>
        <c:dLbls/>
        <c:gapWidth val="50"/>
        <c:overlap val="100"/>
        <c:axId val="112638208"/>
        <c:axId val="112652288"/>
      </c:barChart>
      <c:catAx>
        <c:axId val="112638208"/>
        <c:scaling>
          <c:orientation val="minMax"/>
        </c:scaling>
        <c:delete val="1"/>
        <c:axPos val="l"/>
        <c:tickLblPos val="none"/>
        <c:crossAx val="112652288"/>
        <c:crosses val="autoZero"/>
        <c:auto val="1"/>
        <c:lblAlgn val="ctr"/>
        <c:lblOffset val="100"/>
      </c:catAx>
      <c:valAx>
        <c:axId val="112652288"/>
        <c:scaling>
          <c:orientation val="minMax"/>
        </c:scaling>
        <c:delete val="1"/>
        <c:axPos val="b"/>
        <c:numFmt formatCode="0%" sourceLinked="1"/>
        <c:tickLblPos val="none"/>
        <c:crossAx val="112638208"/>
        <c:crosses val="autoZero"/>
        <c:crossBetween val="between"/>
      </c:valAx>
      <c:spPr>
        <a:noFill/>
        <a:ln w="25400">
          <a:noFill/>
        </a:ln>
      </c:spPr>
    </c:plotArea>
    <c:dispBlanksAs val="gap"/>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0606284794791666E-2"/>
          <c:y val="0.18644067796610173"/>
          <c:w val="0.86742745112545561"/>
          <c:h val="0.64406779661016955"/>
        </c:manualLayout>
      </c:layout>
      <c:barChart>
        <c:barDir val="bar"/>
        <c:grouping val="percentStacked"/>
        <c:ser>
          <c:idx val="0"/>
          <c:order val="0"/>
          <c:tx>
            <c:strRef>
              <c:f>ラベル!$C$6</c:f>
              <c:strCache>
                <c:ptCount val="1"/>
                <c:pt idx="0">
                  <c:v>STAR</c:v>
                </c:pt>
              </c:strCache>
            </c:strRef>
          </c:tx>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ラベル!$B$7</c:f>
              <c:strCache>
                <c:ptCount val="1"/>
                <c:pt idx="0">
                  <c:v>BEE(after)</c:v>
                </c:pt>
              </c:strCache>
            </c:strRef>
          </c:cat>
          <c:val>
            <c:numRef>
              <c:f>ラベル!$C$7</c:f>
              <c:numCache>
                <c:formatCode>General</c:formatCode>
                <c:ptCount val="1"/>
                <c:pt idx="0">
                  <c:v>0</c:v>
                </c:pt>
              </c:numCache>
            </c:numRef>
          </c:val>
        </c:ser>
        <c:ser>
          <c:idx val="1"/>
          <c:order val="1"/>
          <c:tx>
            <c:strRef>
              <c:f>ラベル!$D$6</c:f>
              <c:strCache>
                <c:ptCount val="1"/>
                <c:pt idx="0">
                  <c:v>BLANKSTAR</c:v>
                </c:pt>
              </c:strCache>
            </c:strRef>
          </c:tx>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ラベル!$B$7</c:f>
              <c:strCache>
                <c:ptCount val="1"/>
                <c:pt idx="0">
                  <c:v>BEE(after)</c:v>
                </c:pt>
              </c:strCache>
            </c:strRef>
          </c:cat>
          <c:val>
            <c:numRef>
              <c:f>ラベル!$D$7</c:f>
              <c:numCache>
                <c:formatCode>General</c:formatCode>
                <c:ptCount val="1"/>
                <c:pt idx="0">
                  <c:v>0</c:v>
                </c:pt>
              </c:numCache>
            </c:numRef>
          </c:val>
        </c:ser>
        <c:dLbls/>
        <c:gapWidth val="20"/>
        <c:overlap val="100"/>
        <c:axId val="100944896"/>
        <c:axId val="100967168"/>
      </c:barChart>
      <c:catAx>
        <c:axId val="100944896"/>
        <c:scaling>
          <c:orientation val="minMax"/>
        </c:scaling>
        <c:delete val="1"/>
        <c:axPos val="l"/>
        <c:tickLblPos val="none"/>
        <c:crossAx val="100967168"/>
        <c:crosses val="autoZero"/>
        <c:auto val="1"/>
        <c:lblAlgn val="ctr"/>
        <c:lblOffset val="100"/>
      </c:catAx>
      <c:valAx>
        <c:axId val="100967168"/>
        <c:scaling>
          <c:orientation val="minMax"/>
        </c:scaling>
        <c:delete val="1"/>
        <c:axPos val="b"/>
        <c:numFmt formatCode="0%" sourceLinked="1"/>
        <c:tickLblPos val="none"/>
        <c:crossAx val="100944896"/>
        <c:crosses val="autoZero"/>
        <c:crossBetween val="between"/>
      </c:valAx>
      <c:spPr>
        <a:noFill/>
        <a:ln w="25400">
          <a:noFill/>
        </a:ln>
      </c:spPr>
    </c:plotArea>
    <c:plotVisOnly val="1"/>
    <c:dispBlanksAs val="gap"/>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8.6363828044717803E-2"/>
          <c:y val="0.12834258110842744"/>
          <c:w val="0.83182002800965038"/>
          <c:h val="0.67379855081924422"/>
        </c:manualLayout>
      </c:layout>
      <c:barChart>
        <c:barDir val="bar"/>
        <c:grouping val="stacked"/>
        <c:ser>
          <c:idx val="4"/>
          <c:order val="0"/>
          <c:tx>
            <c:strRef>
              <c:f>'計画概要書（前後の比較）'!$S$40</c:f>
              <c:strCache>
                <c:ptCount val="1"/>
                <c:pt idx="0">
                  <c:v>オンサイト</c:v>
                </c:pt>
              </c:strCache>
            </c:strRef>
          </c:tx>
          <c:spPr>
            <a:solidFill>
              <a:srgbClr val="969696"/>
            </a:solidFill>
            <a:ln w="12700">
              <a:solidFill>
                <a:srgbClr val="000000"/>
              </a:solidFill>
              <a:prstDash val="solid"/>
            </a:ln>
          </c:spPr>
          <c:cat>
            <c:strRef>
              <c:f>'計画概要書（前後の比較）'!$R$41:$R$44</c:f>
              <c:strCache>
                <c:ptCount val="4"/>
                <c:pt idx="0">
                  <c:v>Ref</c:v>
                </c:pt>
                <c:pt idx="1">
                  <c:v>Subjest1</c:v>
                </c:pt>
                <c:pt idx="2">
                  <c:v>Subjest2</c:v>
                </c:pt>
                <c:pt idx="3">
                  <c:v>Subjest3</c:v>
                </c:pt>
              </c:strCache>
            </c:strRef>
          </c:cat>
          <c:val>
            <c:numRef>
              <c:f>'計画概要書（前後の比較）'!$S$41:$S$44</c:f>
              <c:numCache>
                <c:formatCode>#,##0;[Red]\-#,##0</c:formatCode>
                <c:ptCount val="4"/>
                <c:pt idx="0">
                  <c:v>0</c:v>
                </c:pt>
                <c:pt idx="1">
                  <c:v>0</c:v>
                </c:pt>
              </c:numCache>
            </c:numRef>
          </c:val>
        </c:ser>
        <c:ser>
          <c:idx val="5"/>
          <c:order val="1"/>
          <c:tx>
            <c:strRef>
              <c:f>'計画概要書（前後の比較）'!$T$40</c:f>
              <c:strCache>
                <c:ptCount val="1"/>
                <c:pt idx="0">
                  <c:v>オフサイト</c:v>
                </c:pt>
              </c:strCache>
            </c:strRef>
          </c:tx>
          <c:spPr>
            <a:pattFill prst="pct60">
              <a:fgClr>
                <a:srgbClr val="C0C0C0"/>
              </a:fgClr>
              <a:bgClr>
                <a:srgbClr val="FFFFFF"/>
              </a:bgClr>
            </a:pattFill>
            <a:ln w="12700">
              <a:solidFill>
                <a:srgbClr val="000000"/>
              </a:solidFill>
              <a:prstDash val="solid"/>
            </a:ln>
          </c:spPr>
          <c:cat>
            <c:strRef>
              <c:f>'計画概要書（前後の比較）'!$R$41:$R$44</c:f>
              <c:strCache>
                <c:ptCount val="4"/>
                <c:pt idx="0">
                  <c:v>Ref</c:v>
                </c:pt>
                <c:pt idx="1">
                  <c:v>Subjest1</c:v>
                </c:pt>
                <c:pt idx="2">
                  <c:v>Subjest2</c:v>
                </c:pt>
                <c:pt idx="3">
                  <c:v>Subjest3</c:v>
                </c:pt>
              </c:strCache>
            </c:strRef>
          </c:cat>
          <c:val>
            <c:numRef>
              <c:f>'計画概要書（前後の比較）'!$T$41:$T$44</c:f>
              <c:numCache>
                <c:formatCode>General</c:formatCode>
                <c:ptCount val="4"/>
                <c:pt idx="2">
                  <c:v>0</c:v>
                </c:pt>
                <c:pt idx="3">
                  <c:v>0</c:v>
                </c:pt>
              </c:numCache>
            </c:numRef>
          </c:val>
        </c:ser>
        <c:dLbls/>
        <c:gapWidth val="50"/>
        <c:overlap val="100"/>
        <c:axId val="112574848"/>
        <c:axId val="112576384"/>
      </c:barChart>
      <c:catAx>
        <c:axId val="112574848"/>
        <c:scaling>
          <c:orientation val="maxMin"/>
        </c:scaling>
        <c:delete val="1"/>
        <c:axPos val="l"/>
        <c:tickLblPos val="none"/>
        <c:crossAx val="112576384"/>
        <c:crosses val="autoZero"/>
        <c:auto val="1"/>
        <c:lblAlgn val="ctr"/>
        <c:lblOffset val="100"/>
      </c:catAx>
      <c:valAx>
        <c:axId val="112576384"/>
        <c:scaling>
          <c:orientation val="minMax"/>
        </c:scaling>
        <c:axPos val="b"/>
        <c:numFmt formatCode="0_ " sourceLinked="0"/>
        <c:majorTickMark val="in"/>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2574848"/>
        <c:crosses val="max"/>
        <c:crossBetween val="between"/>
      </c:valAx>
      <c:spPr>
        <a:noFill/>
        <a:ln w="3175">
          <a:solidFill>
            <a:srgbClr val="000000"/>
          </a:solidFill>
          <a:prstDash val="solid"/>
        </a:ln>
      </c:spPr>
    </c:plotArea>
    <c:legend>
      <c:legendPos val="r"/>
      <c:layout>
        <c:manualLayout>
          <c:xMode val="edge"/>
          <c:yMode val="edge"/>
          <c:x val="8.181818181818179E-2"/>
          <c:y val="2.6737967914438505E-2"/>
          <c:w val="0.83182009067048457"/>
          <c:h val="0.10695187165775401"/>
        </c:manualLayout>
      </c:layout>
      <c:spPr>
        <a:no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dispBlanksAs val="gap"/>
  </c:chart>
  <c:spPr>
    <a:no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7524115755627015E-2"/>
          <c:y val="8.3333817742151123E-2"/>
          <c:w val="0.91639871382636651"/>
          <c:h val="0.72619469746731702"/>
        </c:manualLayout>
      </c:layout>
      <c:barChart>
        <c:barDir val="col"/>
        <c:grouping val="clustered"/>
        <c:ser>
          <c:idx val="0"/>
          <c:order val="0"/>
          <c:spPr>
            <a:solidFill>
              <a:srgbClr val="99CC00"/>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'計画概要書(改修後)'!$X$59:$X$61</c:f>
              <c:strCache>
                <c:ptCount val="3"/>
                <c:pt idx="0">
                  <c:v>地球温暖化への配慮</c:v>
                </c:pt>
                <c:pt idx="1">
                  <c:v>地域環境への配慮</c:v>
                </c:pt>
                <c:pt idx="2">
                  <c:v>周辺環境への配慮</c:v>
                </c:pt>
              </c:strCache>
            </c:strRef>
          </c:cat>
          <c:val>
            <c:numRef>
              <c:f>'計画概要書(改修後)'!$Y$59:$Y$61</c:f>
              <c:numCache>
                <c:formatCode>0.0_ </c:formatCode>
                <c:ptCount val="3"/>
                <c:pt idx="0">
                  <c:v>0</c:v>
                </c:pt>
                <c:pt idx="1">
                  <c:v>3</c:v>
                </c:pt>
                <c:pt idx="2">
                  <c:v>3</c:v>
                </c:pt>
              </c:numCache>
            </c:numRef>
          </c:val>
        </c:ser>
        <c:dLbls>
          <c:showVal val="1"/>
        </c:dLbls>
        <c:gapWidth val="70"/>
        <c:axId val="108177280"/>
        <c:axId val="108178816"/>
      </c:barChart>
      <c:catAx>
        <c:axId val="108177280"/>
        <c:scaling>
          <c:orientation val="minMax"/>
        </c:scaling>
        <c:axPos val="b"/>
        <c:majorTickMark val="none"/>
        <c:tickLblPos val="none"/>
        <c:spPr>
          <a:ln w="3175">
            <a:solidFill>
              <a:srgbClr val="000000"/>
            </a:solidFill>
            <a:prstDash val="solid"/>
          </a:ln>
        </c:spPr>
        <c:crossAx val="108178816"/>
        <c:crossesAt val="0"/>
        <c:auto val="1"/>
        <c:lblAlgn val="ctr"/>
        <c:lblOffset val="100"/>
        <c:tickMarkSkip val="1"/>
      </c:catAx>
      <c:valAx>
        <c:axId val="108178816"/>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8177280"/>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7.3954983922829592E-2"/>
          <c:y val="8.2840476032255528E-2"/>
          <c:w val="0.909967845659164"/>
          <c:h val="0.7278127537119593"/>
        </c:manualLayout>
      </c:layout>
      <c:barChart>
        <c:barDir val="col"/>
        <c:grouping val="clustered"/>
        <c:ser>
          <c:idx val="0"/>
          <c:order val="0"/>
          <c:spPr>
            <a:solidFill>
              <a:srgbClr val="99CC00"/>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'計画概要書(改修後)'!$U$59:$U$61</c:f>
              <c:strCache>
                <c:ptCount val="3"/>
                <c:pt idx="0">
                  <c:v>水資源</c:v>
                </c:pt>
                <c:pt idx="1">
                  <c:v>非再生性材料の削減</c:v>
                </c:pt>
                <c:pt idx="2">
                  <c:v>汚染物質回避</c:v>
                </c:pt>
              </c:strCache>
            </c:strRef>
          </c:cat>
          <c:val>
            <c:numRef>
              <c:f>'計画概要書(改修後)'!$V$59:$V$61</c:f>
              <c:numCache>
                <c:formatCode>0.0_ </c:formatCode>
                <c:ptCount val="3"/>
                <c:pt idx="0">
                  <c:v>3</c:v>
                </c:pt>
                <c:pt idx="1">
                  <c:v>3</c:v>
                </c:pt>
                <c:pt idx="2">
                  <c:v>3</c:v>
                </c:pt>
              </c:numCache>
            </c:numRef>
          </c:val>
        </c:ser>
        <c:dLbls>
          <c:showVal val="1"/>
        </c:dLbls>
        <c:gapWidth val="70"/>
        <c:axId val="108669568"/>
        <c:axId val="108700032"/>
      </c:barChart>
      <c:catAx>
        <c:axId val="108669568"/>
        <c:scaling>
          <c:orientation val="minMax"/>
        </c:scaling>
        <c:axPos val="b"/>
        <c:majorTickMark val="none"/>
        <c:tickLblPos val="none"/>
        <c:spPr>
          <a:ln w="3175">
            <a:solidFill>
              <a:srgbClr val="000000"/>
            </a:solidFill>
            <a:prstDash val="solid"/>
          </a:ln>
        </c:spPr>
        <c:crossAx val="108700032"/>
        <c:crossesAt val="0"/>
        <c:auto val="1"/>
        <c:lblAlgn val="ctr"/>
        <c:lblOffset val="100"/>
        <c:tickMarkSkip val="1"/>
      </c:catAx>
      <c:valAx>
        <c:axId val="108700032"/>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8669568"/>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3"/>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4896942111858494E-2"/>
          <c:y val="8.2352941176470601E-2"/>
          <c:w val="0.92330649459144132"/>
          <c:h val="0.72352941176470598"/>
        </c:manualLayout>
      </c:layout>
      <c:barChart>
        <c:barDir val="col"/>
        <c:grouping val="clustered"/>
        <c:ser>
          <c:idx val="0"/>
          <c:order val="0"/>
          <c:spPr>
            <a:solidFill>
              <a:srgbClr val="99CC00"/>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'計画概要書(改修後)'!$R$59:$R$62</c:f>
              <c:strCache>
                <c:ptCount val="4"/>
                <c:pt idx="0">
                  <c:v>熱負荷抑制</c:v>
                </c:pt>
                <c:pt idx="1">
                  <c:v>自然ｴﾈﾙｷﾞｰ</c:v>
                </c:pt>
                <c:pt idx="2">
                  <c:v>設備の効率的利用</c:v>
                </c:pt>
                <c:pt idx="3">
                  <c:v>運用ﾏﾈｼﾞﾒﾝﾄ</c:v>
                </c:pt>
              </c:strCache>
            </c:strRef>
          </c:cat>
          <c:val>
            <c:numRef>
              <c:f>'計画概要書(改修後)'!$S$59:$S$62</c:f>
              <c:numCache>
                <c:formatCode>0.0_ </c:formatCode>
                <c:ptCount val="4"/>
                <c:pt idx="0">
                  <c:v>0.1</c:v>
                </c:pt>
                <c:pt idx="1">
                  <c:v>3</c:v>
                </c:pt>
                <c:pt idx="2">
                  <c:v>0.9</c:v>
                </c:pt>
                <c:pt idx="3">
                  <c:v>3</c:v>
                </c:pt>
              </c:numCache>
            </c:numRef>
          </c:val>
        </c:ser>
        <c:dLbls>
          <c:showVal val="1"/>
        </c:dLbls>
        <c:gapWidth val="40"/>
        <c:axId val="108715008"/>
        <c:axId val="108770048"/>
      </c:barChart>
      <c:catAx>
        <c:axId val="108715008"/>
        <c:scaling>
          <c:orientation val="minMax"/>
        </c:scaling>
        <c:axPos val="b"/>
        <c:majorTickMark val="none"/>
        <c:tickLblPos val="none"/>
        <c:spPr>
          <a:ln w="3175">
            <a:solidFill>
              <a:srgbClr val="000000"/>
            </a:solidFill>
            <a:prstDash val="solid"/>
          </a:ln>
        </c:spPr>
        <c:crossAx val="108770048"/>
        <c:crossesAt val="0"/>
        <c:auto val="1"/>
        <c:lblAlgn val="ctr"/>
        <c:lblOffset val="100"/>
        <c:tickMarkSkip val="1"/>
      </c:catAx>
      <c:valAx>
        <c:axId val="108770048"/>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8715008"/>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8.0924969694061752E-2"/>
          <c:y val="8.4337597472695897E-2"/>
          <c:w val="0.9046255540800473"/>
          <c:h val="0.72289369262310788"/>
        </c:manualLayout>
      </c:layout>
      <c:barChart>
        <c:barDir val="col"/>
        <c:grouping val="clustered"/>
        <c:ser>
          <c:idx val="0"/>
          <c:order val="0"/>
          <c:spPr>
            <a:solidFill>
              <a:srgbClr val="FFFF99"/>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'計画概要書(改修後)'!$R$48:$R$51</c:f>
              <c:strCache>
                <c:ptCount val="4"/>
                <c:pt idx="0">
                  <c:v>音環境</c:v>
                </c:pt>
                <c:pt idx="1">
                  <c:v>温熱環境</c:v>
                </c:pt>
                <c:pt idx="2">
                  <c:v>光・視環境</c:v>
                </c:pt>
                <c:pt idx="3">
                  <c:v>空気質環境</c:v>
                </c:pt>
              </c:strCache>
            </c:strRef>
          </c:cat>
          <c:val>
            <c:numRef>
              <c:f>'計画概要書(改修後)'!$S$48:$S$51</c:f>
              <c:numCache>
                <c:formatCode>0.0_ </c:formatCode>
                <c:ptCount val="4"/>
                <c:pt idx="0">
                  <c:v>3</c:v>
                </c:pt>
                <c:pt idx="1">
                  <c:v>3</c:v>
                </c:pt>
                <c:pt idx="2">
                  <c:v>3</c:v>
                </c:pt>
                <c:pt idx="3">
                  <c:v>3</c:v>
                </c:pt>
              </c:numCache>
            </c:numRef>
          </c:val>
        </c:ser>
        <c:dLbls>
          <c:showVal val="1"/>
        </c:dLbls>
        <c:gapWidth val="40"/>
        <c:axId val="108822528"/>
        <c:axId val="108824064"/>
      </c:barChart>
      <c:catAx>
        <c:axId val="108822528"/>
        <c:scaling>
          <c:orientation val="minMax"/>
        </c:scaling>
        <c:axPos val="b"/>
        <c:majorTickMark val="none"/>
        <c:tickLblPos val="none"/>
        <c:spPr>
          <a:ln w="3175">
            <a:solidFill>
              <a:srgbClr val="000000"/>
            </a:solidFill>
            <a:prstDash val="solid"/>
          </a:ln>
        </c:spPr>
        <c:crossAx val="108824064"/>
        <c:crossesAt val="0"/>
        <c:auto val="1"/>
        <c:lblAlgn val="ctr"/>
        <c:lblOffset val="100"/>
        <c:tickMarkSkip val="1"/>
      </c:catAx>
      <c:valAx>
        <c:axId val="108824064"/>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8822528"/>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7278488384247118E-2"/>
          <c:y val="8.383233532934134E-2"/>
          <c:w val="0.91131770629571118"/>
          <c:h val="0.71257485029940126"/>
        </c:manualLayout>
      </c:layout>
      <c:barChart>
        <c:barDir val="col"/>
        <c:grouping val="clustered"/>
        <c:ser>
          <c:idx val="0"/>
          <c:order val="0"/>
          <c:spPr>
            <a:solidFill>
              <a:srgbClr val="FFFF99"/>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'計画概要書(改修後)'!$X$48:$X$50</c:f>
              <c:strCache>
                <c:ptCount val="3"/>
                <c:pt idx="0">
                  <c:v>生物環境</c:v>
                </c:pt>
                <c:pt idx="1">
                  <c:v>まちなみ景観</c:v>
                </c:pt>
                <c:pt idx="2">
                  <c:v>地域性・文化</c:v>
                </c:pt>
              </c:strCache>
            </c:strRef>
          </c:cat>
          <c:val>
            <c:numRef>
              <c:f>'計画概要書(改修後)'!$Y$48:$Y$50</c:f>
              <c:numCache>
                <c:formatCode>0.0_ </c:formatCode>
                <c:ptCount val="3"/>
                <c:pt idx="0">
                  <c:v>3</c:v>
                </c:pt>
                <c:pt idx="1">
                  <c:v>3</c:v>
                </c:pt>
                <c:pt idx="2">
                  <c:v>3</c:v>
                </c:pt>
              </c:numCache>
            </c:numRef>
          </c:val>
        </c:ser>
        <c:dLbls>
          <c:showVal val="1"/>
        </c:dLbls>
        <c:gapWidth val="70"/>
        <c:axId val="108872448"/>
        <c:axId val="108873984"/>
      </c:barChart>
      <c:catAx>
        <c:axId val="108872448"/>
        <c:scaling>
          <c:orientation val="minMax"/>
        </c:scaling>
        <c:axPos val="b"/>
        <c:majorTickMark val="none"/>
        <c:tickLblPos val="none"/>
        <c:spPr>
          <a:ln w="3175">
            <a:solidFill>
              <a:srgbClr val="000000"/>
            </a:solidFill>
            <a:prstDash val="solid"/>
          </a:ln>
        </c:spPr>
        <c:crossAx val="108873984"/>
        <c:crossesAt val="0"/>
        <c:auto val="1"/>
        <c:lblAlgn val="ctr"/>
        <c:lblOffset val="100"/>
        <c:tickMarkSkip val="1"/>
      </c:catAx>
      <c:valAx>
        <c:axId val="108873984"/>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8872448"/>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3"/>
  </c:printSettings>
  <c:userShapes r:id="rId1"/>
</c:chartSpace>
</file>

<file path=xl/ctrlProps/ctrlProp1.xml><?xml version="1.0" encoding="utf-8"?>
<formControlPr xmlns="http://schemas.microsoft.com/office/spreadsheetml/2009/9/main" objectType="Radio" firstButton="1" fmlaLink="$O$3" lockText="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image" Target="../media/image15.png"/><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image" Target="../media/image14.png"/><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chart" Target="../charts/chart29.xml"/><Relationship Id="rId7" Type="http://schemas.openxmlformats.org/officeDocument/2006/relationships/chart" Target="../charts/chart33.xml"/><Relationship Id="rId12" Type="http://schemas.openxmlformats.org/officeDocument/2006/relationships/chart" Target="../charts/chart38.xml"/><Relationship Id="rId17" Type="http://schemas.openxmlformats.org/officeDocument/2006/relationships/image" Target="../media/image16.png"/><Relationship Id="rId2" Type="http://schemas.openxmlformats.org/officeDocument/2006/relationships/chart" Target="../charts/chart28.xml"/><Relationship Id="rId16" Type="http://schemas.openxmlformats.org/officeDocument/2006/relationships/image" Target="../media/image15.png"/><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5" Type="http://schemas.openxmlformats.org/officeDocument/2006/relationships/image" Target="../media/image14.png"/><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 Id="rId14" Type="http://schemas.openxmlformats.org/officeDocument/2006/relationships/chart" Target="../charts/chart40.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image" Target="../media/image15.png"/><Relationship Id="rId3" Type="http://schemas.openxmlformats.org/officeDocument/2006/relationships/chart" Target="../charts/chart7.xml"/><Relationship Id="rId7" Type="http://schemas.openxmlformats.org/officeDocument/2006/relationships/chart" Target="../charts/chart11.xml"/><Relationship Id="rId12" Type="http://schemas.openxmlformats.org/officeDocument/2006/relationships/image" Target="../media/image14.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0" Type="http://schemas.openxmlformats.org/officeDocument/2006/relationships/chart" Target="../charts/chart14.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image" Target="../media/image16.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12</xdr:col>
      <xdr:colOff>933450</xdr:colOff>
      <xdr:row>4</xdr:row>
      <xdr:rowOff>171450</xdr:rowOff>
    </xdr:from>
    <xdr:to>
      <xdr:col>14</xdr:col>
      <xdr:colOff>1085850</xdr:colOff>
      <xdr:row>9</xdr:row>
      <xdr:rowOff>161925</xdr:rowOff>
    </xdr:to>
    <xdr:pic>
      <xdr:nvPicPr>
        <xdr:cNvPr id="12" name="図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029200" y="790575"/>
          <a:ext cx="2838450" cy="1743075"/>
        </a:xfrm>
        <a:prstGeom prst="rect">
          <a:avLst/>
        </a:prstGeom>
      </xdr:spPr>
    </xdr:pic>
    <xdr:clientData/>
  </xdr:twoCellAnchor>
  <xdr:twoCellAnchor editAs="oneCell">
    <xdr:from>
      <xdr:col>1</xdr:col>
      <xdr:colOff>19050</xdr:colOff>
      <xdr:row>0</xdr:row>
      <xdr:rowOff>57150</xdr:rowOff>
    </xdr:from>
    <xdr:to>
      <xdr:col>8</xdr:col>
      <xdr:colOff>933450</xdr:colOff>
      <xdr:row>2</xdr:row>
      <xdr:rowOff>123825</xdr:rowOff>
    </xdr:to>
    <xdr:pic>
      <xdr:nvPicPr>
        <xdr:cNvPr id="2" name="Picture 1" descr="LOGO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 y="57150"/>
          <a:ext cx="2095500" cy="514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1019175</xdr:colOff>
      <xdr:row>0</xdr:row>
      <xdr:rowOff>133350</xdr:rowOff>
    </xdr:from>
    <xdr:to>
      <xdr:col>13</xdr:col>
      <xdr:colOff>542925</xdr:colOff>
      <xdr:row>1</xdr:row>
      <xdr:rowOff>228600</xdr:rowOff>
    </xdr:to>
    <xdr:pic>
      <xdr:nvPicPr>
        <xdr:cNvPr id="3" name="Picture 9" descr="標示結果OL"/>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295525" y="133350"/>
          <a:ext cx="391477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13</xdr:col>
      <xdr:colOff>790575</xdr:colOff>
      <xdr:row>0</xdr:row>
      <xdr:rowOff>142875</xdr:rowOff>
    </xdr:from>
    <xdr:to>
      <xdr:col>14</xdr:col>
      <xdr:colOff>1038225</xdr:colOff>
      <xdr:row>1</xdr:row>
      <xdr:rowOff>228600</xdr:rowOff>
    </xdr:to>
    <xdr:pic>
      <xdr:nvPicPr>
        <xdr:cNvPr id="4" name="Picture 10" descr="重点評価OL"/>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6457950" y="142875"/>
          <a:ext cx="1362075" cy="257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352425</xdr:colOff>
      <xdr:row>2</xdr:row>
      <xdr:rowOff>57150</xdr:rowOff>
    </xdr:from>
    <xdr:to>
      <xdr:col>14</xdr:col>
      <xdr:colOff>238125</xdr:colOff>
      <xdr:row>4</xdr:row>
      <xdr:rowOff>85725</xdr:rowOff>
    </xdr:to>
    <xdr:sp macro="" textlink="">
      <xdr:nvSpPr>
        <xdr:cNvPr id="6" name="Rectangle 12"/>
        <xdr:cNvSpPr>
          <a:spLocks noChangeArrowheads="1"/>
        </xdr:cNvSpPr>
      </xdr:nvSpPr>
      <xdr:spPr bwMode="auto">
        <a:xfrm>
          <a:off x="6019800" y="504825"/>
          <a:ext cx="1000125" cy="200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ラベル表示</a:t>
          </a:r>
        </a:p>
      </xdr:txBody>
    </xdr:sp>
    <xdr:clientData/>
  </xdr:twoCellAnchor>
  <xdr:twoCellAnchor>
    <xdr:from>
      <xdr:col>13</xdr:col>
      <xdr:colOff>1047750</xdr:colOff>
      <xdr:row>5</xdr:row>
      <xdr:rowOff>161925</xdr:rowOff>
    </xdr:from>
    <xdr:to>
      <xdr:col>14</xdr:col>
      <xdr:colOff>1095375</xdr:colOff>
      <xdr:row>7</xdr:row>
      <xdr:rowOff>200025</xdr:rowOff>
    </xdr:to>
    <xdr:graphicFrame macro="">
      <xdr:nvGraphicFramePr>
        <xdr:cNvPr id="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352425</xdr:colOff>
      <xdr:row>7</xdr:row>
      <xdr:rowOff>76200</xdr:rowOff>
    </xdr:from>
    <xdr:to>
      <xdr:col>15</xdr:col>
      <xdr:colOff>190500</xdr:colOff>
      <xdr:row>8</xdr:row>
      <xdr:rowOff>47625</xdr:rowOff>
    </xdr:to>
    <xdr:graphicFrame macro="">
      <xdr:nvGraphicFramePr>
        <xdr:cNvPr id="8"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1019175</xdr:colOff>
      <xdr:row>8</xdr:row>
      <xdr:rowOff>66675</xdr:rowOff>
    </xdr:from>
    <xdr:to>
      <xdr:col>15</xdr:col>
      <xdr:colOff>19050</xdr:colOff>
      <xdr:row>8</xdr:row>
      <xdr:rowOff>200025</xdr:rowOff>
    </xdr:to>
    <xdr:sp macro="" textlink="ラベル!$F$16">
      <xdr:nvSpPr>
        <xdr:cNvPr id="9" name="Text Box 4"/>
        <xdr:cNvSpPr txBox="1">
          <a:spLocks noChangeArrowheads="1" noTextEdit="1"/>
        </xdr:cNvSpPr>
      </xdr:nvSpPr>
      <xdr:spPr bwMode="auto">
        <a:xfrm>
          <a:off x="5114925" y="2209800"/>
          <a:ext cx="2800350" cy="133350"/>
        </a:xfrm>
        <a:prstGeom prst="rect">
          <a:avLst/>
        </a:prstGeom>
        <a:noFill/>
        <a:ln w="9525">
          <a:noFill/>
          <a:miter lim="800000"/>
          <a:headEnd/>
          <a:tailEnd/>
        </a:ln>
      </xdr:spPr>
      <xdr:txBody>
        <a:bodyPr vertOverflow="clip" wrap="square" lIns="27432" tIns="18288" rIns="0" bIns="0" anchor="ctr" upright="1"/>
        <a:lstStyle/>
        <a:p>
          <a:pPr algn="l" rtl="0">
            <a:defRPr sz="1000"/>
          </a:pPr>
          <a:fld id="{9ADC3394-5793-4C35-9075-AEB9C6D4D412}" type="TxLink">
            <a:rPr lang="ja-JP" altLang="en-US" sz="700" b="0" i="0" u="none" strike="noStrike" baseline="0">
              <a:solidFill>
                <a:srgbClr val="000000"/>
              </a:solidFill>
              <a:latin typeface="ＭＳ Ｐゴシック"/>
              <a:ea typeface="ＭＳ Ｐゴシック"/>
            </a:rPr>
            <a:pPr algn="l" rtl="0">
              <a:defRPr sz="1000"/>
            </a:pPr>
            <a:t>評価は建築主の自己評価に基づくものです。改修後3年間有効。</a:t>
          </a:fld>
          <a:endParaRPr lang="ja-JP" altLang="en-US" sz="200" b="0" i="0" u="none" strike="noStrike" baseline="0">
            <a:solidFill>
              <a:srgbClr val="000000"/>
            </a:solidFill>
            <a:latin typeface="ＭＳ Ｐゴシック"/>
            <a:ea typeface="ＭＳ Ｐゴシック"/>
          </a:endParaRPr>
        </a:p>
      </xdr:txBody>
    </xdr:sp>
    <xdr:clientData/>
  </xdr:twoCellAnchor>
  <xdr:twoCellAnchor editAs="oneCell">
    <xdr:from>
      <xdr:col>13</xdr:col>
      <xdr:colOff>590550</xdr:colOff>
      <xdr:row>9</xdr:row>
      <xdr:rowOff>0</xdr:rowOff>
    </xdr:from>
    <xdr:to>
      <xdr:col>14</xdr:col>
      <xdr:colOff>1095375</xdr:colOff>
      <xdr:row>9</xdr:row>
      <xdr:rowOff>161925</xdr:rowOff>
    </xdr:to>
    <xdr:sp macro="" textlink="ラベル!$D$12">
      <xdr:nvSpPr>
        <xdr:cNvPr id="10" name="Text Box 4"/>
        <xdr:cNvSpPr txBox="1">
          <a:spLocks noChangeArrowheads="1" noTextEdit="1"/>
        </xdr:cNvSpPr>
      </xdr:nvSpPr>
      <xdr:spPr bwMode="auto">
        <a:xfrm>
          <a:off x="6257925" y="2371725"/>
          <a:ext cx="1619250" cy="161925"/>
        </a:xfrm>
        <a:prstGeom prst="rect">
          <a:avLst/>
        </a:prstGeom>
        <a:noFill/>
        <a:ln w="9525">
          <a:noFill/>
          <a:miter lim="800000"/>
          <a:headEnd/>
          <a:tailEnd/>
        </a:ln>
      </xdr:spPr>
      <xdr:txBody>
        <a:bodyPr vertOverflow="clip" wrap="square" lIns="27432" tIns="18288" rIns="0" bIns="0" anchor="ctr" upright="1"/>
        <a:lstStyle/>
        <a:p>
          <a:pPr algn="ctr" rtl="0">
            <a:defRPr sz="1000"/>
          </a:pPr>
          <a:fld id="{775797CB-DDBB-4B6E-BD5C-67D606DECA58}" type="TxLink">
            <a:rPr lang="ja-JP" altLang="en-US" sz="600" b="0" i="0" u="none" strike="noStrike" baseline="0">
              <a:solidFill>
                <a:srgbClr val="000000"/>
              </a:solidFill>
              <a:latin typeface="ＭＳ Ｐゴシック"/>
              <a:ea typeface="ＭＳ Ｐゴシック"/>
            </a:rPr>
            <a:pPr algn="ctr" rtl="0">
              <a:defRPr sz="1000"/>
            </a:pPr>
            <a:t>公表番号　平成00年度　№000</a:t>
          </a:fld>
          <a:endParaRPr lang="en-US" altLang="ja-JP" sz="550" b="0" i="0" u="none" strike="noStrike" baseline="0">
            <a:solidFill>
              <a:srgbClr val="000000"/>
            </a:solidFill>
            <a:latin typeface="ＭＳ Ｐゴシック"/>
            <a:ea typeface="ＭＳ Ｐゴシック"/>
          </a:endParaRPr>
        </a:p>
      </xdr:txBody>
    </xdr:sp>
    <xdr:clientData/>
  </xdr:twoCellAnchor>
  <xdr:twoCellAnchor>
    <xdr:from>
      <xdr:col>12</xdr:col>
      <xdr:colOff>209550</xdr:colOff>
      <xdr:row>2</xdr:row>
      <xdr:rowOff>0</xdr:rowOff>
    </xdr:from>
    <xdr:to>
      <xdr:col>15</xdr:col>
      <xdr:colOff>752475</xdr:colOff>
      <xdr:row>10</xdr:row>
      <xdr:rowOff>133350</xdr:rowOff>
    </xdr:to>
    <xdr:sp macro="" textlink="ラベル!$B$14">
      <xdr:nvSpPr>
        <xdr:cNvPr id="11" name="Text Box 17"/>
        <xdr:cNvSpPr txBox="1">
          <a:spLocks noChangeArrowheads="1" noTextEdit="1"/>
        </xdr:cNvSpPr>
      </xdr:nvSpPr>
      <xdr:spPr bwMode="auto">
        <a:xfrm>
          <a:off x="4305300" y="447675"/>
          <a:ext cx="4343400" cy="2438400"/>
        </a:xfrm>
        <a:prstGeom prst="rect">
          <a:avLst/>
        </a:prstGeom>
        <a:noFill/>
        <a:ln w="9525">
          <a:noFill/>
          <a:miter lim="800000"/>
          <a:headEnd/>
          <a:tailEnd/>
        </a:ln>
      </xdr:spPr>
      <xdr:txBody>
        <a:bodyPr vertOverflow="clip" wrap="square" lIns="320040" tIns="182880" rIns="320040" bIns="182880" anchor="ctr" upright="1"/>
        <a:lstStyle/>
        <a:p>
          <a:pPr algn="ctr" rtl="0">
            <a:defRPr sz="1000"/>
          </a:pPr>
          <a:fld id="{4C4F637E-664C-45CB-8A9F-2B586DDD16FE}" type="TxLink">
            <a:rPr lang="en-US" altLang="en-US" sz="20000" b="0" i="0" u="none" strike="noStrike" baseline="0">
              <a:solidFill>
                <a:schemeClr val="bg1">
                  <a:lumMod val="75000"/>
                </a:schemeClr>
              </a:solidFill>
              <a:latin typeface="ＭＳ Ｐゴシック"/>
              <a:ea typeface="ＭＳ Ｐゴシック"/>
            </a:rPr>
            <a:pPr algn="ctr" rtl="0">
              <a:defRPr sz="1000"/>
            </a:pPr>
            <a:t>×</a:t>
          </a:fld>
          <a:endParaRPr lang="en-US" altLang="ja-JP" sz="20000" b="0" i="0" u="none" strike="noStrike" baseline="0">
            <a:solidFill>
              <a:schemeClr val="bg1">
                <a:lumMod val="75000"/>
              </a:schemeClr>
            </a:solidFill>
            <a:latin typeface="ＭＳ Ｐゴシック"/>
            <a:ea typeface="ＭＳ Ｐゴシック"/>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0.2148</cdr:x>
      <cdr:y>0.88936</cdr:y>
    </cdr:from>
    <cdr:to>
      <cdr:x>0.84179</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0.10607</cdr:y>
    </cdr:from>
    <cdr:to>
      <cdr:x>0.38095</cdr:x>
      <cdr:y>0.22258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0.44399</cdr:x>
      <cdr:y>0.09671</cdr:y>
    </cdr:from>
    <cdr:to>
      <cdr:x>0.58458</cdr:x>
      <cdr:y>0.22522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0.6244</cdr:x>
      <cdr:y>0.09671</cdr:y>
    </cdr:from>
    <cdr:to>
      <cdr:x>0.7715</cdr:x>
      <cdr:y>0.21321</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0.74324</cdr:x>
      <cdr:y>0.3004</cdr:y>
    </cdr:from>
    <cdr:to>
      <cdr:x>0.87849</cdr:x>
      <cdr:y>0.41713</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0.74443</cdr:x>
      <cdr:y>0.66211</cdr:y>
    </cdr:from>
    <cdr:to>
      <cdr:x>0.83646</cdr:x>
      <cdr:y>0.8023</cdr:y>
    </cdr:to>
    <cdr:sp macro="" textlink="">
      <cdr:nvSpPr>
        <cdr:cNvPr id="12295" name="Text Box 7"/>
        <cdr:cNvSpPr txBox="1">
          <a:spLocks xmlns:a="http://schemas.openxmlformats.org/drawingml/2006/main" noChangeArrowheads="1"/>
        </cdr:cNvSpPr>
      </cdr:nvSpPr>
      <cdr:spPr bwMode="auto">
        <a:xfrm xmlns:a="http://schemas.openxmlformats.org/drawingml/2006/main">
          <a:off x="2133051" y="1731181"/>
          <a:ext cx="265100" cy="365875"/>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u="none" strike="noStrike" baseline="0">
              <a:solidFill>
                <a:srgbClr val="000000"/>
              </a:solidFill>
              <a:latin typeface="Arial"/>
              <a:cs typeface="Arial"/>
            </a:rPr>
            <a:t>C</a:t>
          </a:r>
        </a:p>
      </cdr:txBody>
    </cdr:sp>
  </cdr:relSizeAnchor>
  <cdr:relSizeAnchor xmlns:cdr="http://schemas.openxmlformats.org/drawingml/2006/chartDrawing">
    <cdr:from>
      <cdr:x>0.3746</cdr:x>
      <cdr:y>0.0176</cdr:y>
    </cdr:from>
    <cdr:to>
      <cdr:x>0.44865</cdr:x>
      <cdr:y>0.10233</cdr:y>
    </cdr:to>
    <cdr:sp macro="" textlink="">
      <cdr:nvSpPr>
        <cdr:cNvPr id="13321" name="Text Box 9"/>
        <cdr:cNvSpPr txBox="1">
          <a:spLocks xmlns:a="http://schemas.openxmlformats.org/drawingml/2006/main" noChangeArrowheads="1"/>
        </cdr:cNvSpPr>
      </cdr:nvSpPr>
      <cdr:spPr bwMode="auto">
        <a:xfrm xmlns:a="http://schemas.openxmlformats.org/drawingml/2006/main">
          <a:off x="1045451" y="45770"/>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0.86182</cdr:x>
      <cdr:y>0.43858</cdr:y>
    </cdr:from>
    <cdr:to>
      <cdr:x>0.97503</cdr:x>
      <cdr:y>0.51879</cdr:y>
    </cdr:to>
    <cdr:sp macro="" textlink="">
      <cdr:nvSpPr>
        <cdr:cNvPr id="12297" name="Text Box 12"/>
        <cdr:cNvSpPr txBox="1">
          <a:spLocks xmlns:a="http://schemas.openxmlformats.org/drawingml/2006/main" noChangeArrowheads="1"/>
        </cdr:cNvSpPr>
      </cdr:nvSpPr>
      <cdr:spPr bwMode="auto">
        <a:xfrm xmlns:a="http://schemas.openxmlformats.org/drawingml/2006/main">
          <a:off x="2471188" y="1147794"/>
          <a:ext cx="266453" cy="20934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0.6009</cdr:x>
      <cdr:y>0.0176</cdr:y>
    </cdr:from>
    <cdr:to>
      <cdr:x>0.67495</cdr:x>
      <cdr:y>0.10233</cdr:y>
    </cdr:to>
    <cdr:sp macro="" textlink="">
      <cdr:nvSpPr>
        <cdr:cNvPr id="13325" name="Text Box 13"/>
        <cdr:cNvSpPr txBox="1">
          <a:spLocks xmlns:a="http://schemas.openxmlformats.org/drawingml/2006/main" noChangeArrowheads="1"/>
        </cdr:cNvSpPr>
      </cdr:nvSpPr>
      <cdr:spPr bwMode="auto">
        <a:xfrm xmlns:a="http://schemas.openxmlformats.org/drawingml/2006/main">
          <a:off x="1677018" y="45770"/>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0.75944</cdr:x>
      <cdr:y>0.0176</cdr:y>
    </cdr:from>
    <cdr:to>
      <cdr:x>0.94821</cdr:x>
      <cdr:y>0.10233</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19473" y="45770"/>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1.xml><?xml version="1.0" encoding="utf-8"?>
<c:userShapes xmlns:c="http://schemas.openxmlformats.org/drawingml/2006/chart">
  <cdr:relSizeAnchor xmlns:cdr="http://schemas.openxmlformats.org/drawingml/2006/chartDrawing">
    <cdr:from>
      <cdr:x>0.86364</cdr:x>
      <cdr:y>0</cdr:y>
    </cdr:from>
    <cdr:to>
      <cdr:x>1</cdr:x>
      <cdr:y>0.13266</cdr:y>
    </cdr:to>
    <cdr:sp macro="" textlink="">
      <cdr:nvSpPr>
        <cdr:cNvPr id="66565" name="Text Box 5"/>
        <cdr:cNvSpPr txBox="1">
          <a:spLocks xmlns:a="http://schemas.openxmlformats.org/drawingml/2006/main" noChangeArrowheads="1" noTextEdit="1"/>
        </cdr:cNvSpPr>
      </cdr:nvSpPr>
      <cdr:spPr bwMode="auto">
        <a:xfrm xmlns:a="http://schemas.openxmlformats.org/drawingml/2006/main">
          <a:off x="13741618" y="2375"/>
          <a:ext cx="341593" cy="21986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altLang="ja-JP" sz="1100" b="0" i="0" u="none" strike="noStrike" baseline="0">
              <a:solidFill>
                <a:srgbClr val="FF0000"/>
              </a:solidFill>
              <a:latin typeface="Arial"/>
              <a:cs typeface="Arial"/>
            </a:rPr>
            <a:t>26%</a:t>
          </a:r>
        </a:p>
      </cdr:txBody>
    </cdr:sp>
  </cdr:relSizeAnchor>
  <cdr:relSizeAnchor xmlns:cdr="http://schemas.openxmlformats.org/drawingml/2006/chartDrawing">
    <cdr:from>
      <cdr:x>0.86364</cdr:x>
      <cdr:y>0</cdr:y>
    </cdr:from>
    <cdr:to>
      <cdr:x>1</cdr:x>
      <cdr:y>0.13266</cdr:y>
    </cdr:to>
    <cdr:sp macro="" textlink="">
      <cdr:nvSpPr>
        <cdr:cNvPr id="66566" name="Text Box 6"/>
        <cdr:cNvSpPr txBox="1">
          <a:spLocks xmlns:a="http://schemas.openxmlformats.org/drawingml/2006/main" noChangeArrowheads="1" noTextEdit="1"/>
        </cdr:cNvSpPr>
      </cdr:nvSpPr>
      <cdr:spPr bwMode="auto">
        <a:xfrm xmlns:a="http://schemas.openxmlformats.org/drawingml/2006/main">
          <a:off x="13741618" y="2375"/>
          <a:ext cx="341593" cy="21986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altLang="ja-JP" sz="1100" b="0" i="0" u="none" strike="noStrike" baseline="0">
              <a:solidFill>
                <a:srgbClr val="FF0000"/>
              </a:solidFill>
              <a:latin typeface="Arial"/>
              <a:cs typeface="Arial"/>
            </a:rPr>
            <a:t>26%</a:t>
          </a:r>
        </a:p>
      </cdr:txBody>
    </cdr:sp>
  </cdr:relSizeAnchor>
  <cdr:relSizeAnchor xmlns:cdr="http://schemas.openxmlformats.org/drawingml/2006/chartDrawing">
    <cdr:from>
      <cdr:x>0.77873</cdr:x>
      <cdr:y>0.16069</cdr:y>
    </cdr:from>
    <cdr:to>
      <cdr:x>0.97089</cdr:x>
      <cdr:y>0.31197</cdr:y>
    </cdr:to>
    <cdr:sp macro="" textlink="#REF!">
      <cdr:nvSpPr>
        <cdr:cNvPr id="66568" name="Text Box 8"/>
        <cdr:cNvSpPr txBox="1">
          <a:spLocks xmlns:a="http://schemas.openxmlformats.org/drawingml/2006/main" noChangeArrowheads="1" noTextEdit="1"/>
        </cdr:cNvSpPr>
      </cdr:nvSpPr>
      <cdr:spPr bwMode="auto">
        <a:xfrm xmlns:a="http://schemas.openxmlformats.org/drawingml/2006/main">
          <a:off x="1953959" y="269494"/>
          <a:ext cx="481363" cy="2507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5DEF51D0-EB16-49D2-A4EB-96B608F575DB}" type="TxLink">
            <a:rPr lang="en-US" altLang="ja-JP" sz="900" b="1" i="0" u="none" strike="noStrike" baseline="0">
              <a:solidFill>
                <a:srgbClr val="000000"/>
              </a:solidFill>
              <a:latin typeface="Arial"/>
              <a:cs typeface="Arial"/>
            </a:rPr>
            <a:pPr algn="r" rtl="0">
              <a:defRPr sz="1000"/>
            </a:pPr>
            <a:t>100%</a:t>
          </a:fld>
          <a:endParaRPr lang="en-US" altLang="ja-JP" sz="900" b="1" i="0" u="none" strike="noStrike" baseline="0">
            <a:solidFill>
              <a:srgbClr val="000000"/>
            </a:solidFill>
            <a:latin typeface="Arial"/>
            <a:cs typeface="Arial"/>
          </a:endParaRPr>
        </a:p>
      </cdr:txBody>
    </cdr:sp>
  </cdr:relSizeAnchor>
  <cdr:relSizeAnchor xmlns:cdr="http://schemas.openxmlformats.org/drawingml/2006/chartDrawing">
    <cdr:from>
      <cdr:x>0.81457</cdr:x>
      <cdr:y>0.31055</cdr:y>
    </cdr:from>
    <cdr:to>
      <cdr:x>0.97329</cdr:x>
      <cdr:y>0.46112</cdr:y>
    </cdr:to>
    <cdr:sp macro="" textlink="#REF!">
      <cdr:nvSpPr>
        <cdr:cNvPr id="66569" name="Text Box 9"/>
        <cdr:cNvSpPr txBox="1">
          <a:spLocks xmlns:a="http://schemas.openxmlformats.org/drawingml/2006/main" noChangeArrowheads="1" noTextEdit="1"/>
        </cdr:cNvSpPr>
      </cdr:nvSpPr>
      <cdr:spPr bwMode="auto">
        <a:xfrm xmlns:a="http://schemas.openxmlformats.org/drawingml/2006/main">
          <a:off x="2043725" y="517868"/>
          <a:ext cx="397621" cy="24954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9AB888EC-2EC0-40DF-917C-4CE6026E9790}" type="TxLink">
            <a:rPr lang="en-US" altLang="ja-JP" sz="900" b="1" i="0" u="none" strike="noStrike" baseline="0">
              <a:solidFill>
                <a:srgbClr val="000000"/>
              </a:solidFill>
              <a:latin typeface="Arial"/>
              <a:cs typeface="Arial"/>
            </a:rPr>
            <a:pPr algn="r" rtl="0">
              <a:defRPr sz="1000"/>
            </a:pPr>
            <a:t>#VALUE!</a:t>
          </a:fld>
          <a:endParaRPr lang="en-US" altLang="ja-JP" sz="900" b="1" i="0" u="none" strike="noStrike" baseline="0">
            <a:solidFill>
              <a:srgbClr val="000000"/>
            </a:solidFill>
            <a:latin typeface="Arial"/>
            <a:cs typeface="Arial"/>
          </a:endParaRPr>
        </a:p>
      </cdr:txBody>
    </cdr:sp>
  </cdr:relSizeAnchor>
  <cdr:relSizeAnchor xmlns:cdr="http://schemas.openxmlformats.org/drawingml/2006/chartDrawing">
    <cdr:from>
      <cdr:x>0.81457</cdr:x>
      <cdr:y>0.49434</cdr:y>
    </cdr:from>
    <cdr:to>
      <cdr:x>0.97329</cdr:x>
      <cdr:y>0.64491</cdr:y>
    </cdr:to>
    <cdr:sp macro="" textlink="#REF!">
      <cdr:nvSpPr>
        <cdr:cNvPr id="66570" name="Text Box 10"/>
        <cdr:cNvSpPr txBox="1">
          <a:spLocks xmlns:a="http://schemas.openxmlformats.org/drawingml/2006/main" noChangeArrowheads="1" noTextEdit="1"/>
        </cdr:cNvSpPr>
      </cdr:nvSpPr>
      <cdr:spPr bwMode="auto">
        <a:xfrm xmlns:a="http://schemas.openxmlformats.org/drawingml/2006/main">
          <a:off x="2043725" y="822477"/>
          <a:ext cx="397621" cy="2495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73B6C606-BFDC-4A69-A15B-F9A2F9923787}" type="TxLink">
            <a:rPr lang="en-US" altLang="ja-JP" sz="900" b="1" i="0" u="none" strike="noStrike" baseline="0">
              <a:solidFill>
                <a:srgbClr val="000000"/>
              </a:solidFill>
              <a:latin typeface="Arial"/>
              <a:cs typeface="Arial"/>
            </a:rPr>
            <a:pPr algn="r" rtl="0">
              <a:defRPr sz="1000"/>
            </a:pPr>
            <a:t>#VALUE!</a:t>
          </a:fld>
          <a:endParaRPr lang="en-US" altLang="ja-JP" sz="900" b="1" i="0" u="none" strike="noStrike" baseline="0">
            <a:solidFill>
              <a:srgbClr val="000000"/>
            </a:solidFill>
            <a:latin typeface="Arial"/>
            <a:cs typeface="Arial"/>
          </a:endParaRPr>
        </a:p>
      </cdr:txBody>
    </cdr:sp>
  </cdr:relSizeAnchor>
  <cdr:relSizeAnchor xmlns:cdr="http://schemas.openxmlformats.org/drawingml/2006/chartDrawing">
    <cdr:from>
      <cdr:x>0.81457</cdr:x>
      <cdr:y>0.67814</cdr:y>
    </cdr:from>
    <cdr:to>
      <cdr:x>0.97329</cdr:x>
      <cdr:y>0.82847</cdr:y>
    </cdr:to>
    <cdr:sp macro="" textlink="#REF!">
      <cdr:nvSpPr>
        <cdr:cNvPr id="66571" name="Text Box 11"/>
        <cdr:cNvSpPr txBox="1">
          <a:spLocks xmlns:a="http://schemas.openxmlformats.org/drawingml/2006/main" noChangeArrowheads="1" noTextEdit="1"/>
        </cdr:cNvSpPr>
      </cdr:nvSpPr>
      <cdr:spPr bwMode="auto">
        <a:xfrm xmlns:a="http://schemas.openxmlformats.org/drawingml/2006/main">
          <a:off x="2043725" y="1127087"/>
          <a:ext cx="397621" cy="24915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3BAEBFA7-5070-4F6F-BEB0-7875ADCCDA6B}" type="TxLink">
            <a:rPr lang="en-US" altLang="ja-JP" sz="900" b="1" i="0" u="none" strike="noStrike" baseline="0">
              <a:solidFill>
                <a:srgbClr val="000000"/>
              </a:solidFill>
              <a:latin typeface="Arial"/>
              <a:cs typeface="Arial"/>
            </a:rPr>
            <a:pPr algn="r" rtl="0">
              <a:defRPr sz="1000"/>
            </a:pPr>
            <a:t>#VALUE!</a:t>
          </a:fld>
          <a:endParaRPr lang="en-US" altLang="ja-JP" sz="900" b="1" i="0" u="none" strike="noStrike" baseline="0">
            <a:solidFill>
              <a:srgbClr val="000000"/>
            </a:solidFill>
            <a:latin typeface="Arial"/>
            <a:cs typeface="Arial"/>
          </a:endParaRPr>
        </a:p>
      </cdr:txBody>
    </cdr:sp>
  </cdr:relSizeAnchor>
</c:userShapes>
</file>

<file path=xl/drawings/drawing12.xml><?xml version="1.0" encoding="utf-8"?>
<xdr:wsDr xmlns:xdr="http://schemas.openxmlformats.org/drawingml/2006/spreadsheetDrawing" xmlns:a="http://schemas.openxmlformats.org/drawingml/2006/main">
  <xdr:twoCellAnchor editAs="absolute">
    <xdr:from>
      <xdr:col>12</xdr:col>
      <xdr:colOff>371475</xdr:colOff>
      <xdr:row>9</xdr:row>
      <xdr:rowOff>123825</xdr:rowOff>
    </xdr:from>
    <xdr:to>
      <xdr:col>13</xdr:col>
      <xdr:colOff>600075</xdr:colOff>
      <xdr:row>12</xdr:row>
      <xdr:rowOff>190500</xdr:rowOff>
    </xdr:to>
    <xdr:sp macro="" textlink="">
      <xdr:nvSpPr>
        <xdr:cNvPr id="2" name="Text Box 82"/>
        <xdr:cNvSpPr txBox="1">
          <a:spLocks noChangeArrowheads="1"/>
        </xdr:cNvSpPr>
      </xdr:nvSpPr>
      <xdr:spPr bwMode="auto">
        <a:xfrm>
          <a:off x="7905750" y="1924050"/>
          <a:ext cx="1133475" cy="866775"/>
        </a:xfrm>
        <a:prstGeom prst="rect">
          <a:avLst/>
        </a:prstGeom>
        <a:solidFill>
          <a:srgbClr val="C0C0C0"/>
        </a:solidFill>
        <a:ln w="9525">
          <a:noFill/>
          <a:miter lim="800000"/>
          <a:headEnd/>
          <a:tailEnd/>
        </a:ln>
      </xdr:spPr>
      <xdr:txBody>
        <a:bodyPr vertOverflow="clip" wrap="square" lIns="27432" tIns="18288" rIns="27432" bIns="0" anchor="t" upright="1"/>
        <a:lstStyle/>
        <a:p>
          <a:pPr algn="ctr" rtl="0">
            <a:lnSpc>
              <a:spcPts val="1200"/>
            </a:lnSpc>
            <a:defRPr sz="1000"/>
          </a:pPr>
          <a:r>
            <a:rPr lang="ja-JP" altLang="en-US" sz="1000" b="1" i="0" u="none" strike="noStrike" baseline="0">
              <a:solidFill>
                <a:srgbClr val="FFFFFF"/>
              </a:solidFill>
              <a:latin typeface="ＭＳ Ｐゴシック"/>
              <a:ea typeface="ＭＳ Ｐゴシック"/>
            </a:rPr>
            <a:t>外観入力シートの改修前</a:t>
          </a:r>
        </a:p>
        <a:p>
          <a:pPr algn="ctr" rtl="0">
            <a:lnSpc>
              <a:spcPts val="1100"/>
            </a:lnSpc>
            <a:defRPr sz="1000"/>
          </a:pPr>
          <a:r>
            <a:rPr lang="ja-JP" altLang="en-US" sz="1000" b="1" i="0" u="none" strike="noStrike" baseline="0">
              <a:solidFill>
                <a:srgbClr val="FFFFFF"/>
              </a:solidFill>
              <a:latin typeface="ＭＳ Ｐゴシック"/>
              <a:ea typeface="ＭＳ Ｐゴシック"/>
            </a:rPr>
            <a:t>外観パース図にデータを貼り付けてください</a:t>
          </a:r>
        </a:p>
      </xdr:txBody>
    </xdr:sp>
    <xdr:clientData fPrintsWithSheet="0"/>
  </xdr:twoCellAnchor>
  <xdr:twoCellAnchor>
    <xdr:from>
      <xdr:col>0</xdr:col>
      <xdr:colOff>47625</xdr:colOff>
      <xdr:row>92</xdr:row>
      <xdr:rowOff>66675</xdr:rowOff>
    </xdr:from>
    <xdr:to>
      <xdr:col>15</xdr:col>
      <xdr:colOff>0</xdr:colOff>
      <xdr:row>96</xdr:row>
      <xdr:rowOff>104775</xdr:rowOff>
    </xdr:to>
    <xdr:sp macro="" textlink="">
      <xdr:nvSpPr>
        <xdr:cNvPr id="3" name="Text Box 141"/>
        <xdr:cNvSpPr txBox="1">
          <a:spLocks noChangeArrowheads="1"/>
        </xdr:cNvSpPr>
      </xdr:nvSpPr>
      <xdr:spPr bwMode="auto">
        <a:xfrm>
          <a:off x="47625" y="15287625"/>
          <a:ext cx="10125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900" b="1" i="0" u="none" strike="noStrike" baseline="0">
              <a:solidFill>
                <a:srgbClr val="000000"/>
              </a:solidFill>
              <a:latin typeface="ＭＳ Ｐゴシック"/>
              <a:ea typeface="ＭＳ Ｐゴシック"/>
            </a:rPr>
            <a:t>■CASBEE: Comprehensive Assessment System for Built Environment Efficiency</a:t>
          </a: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1" i="0" u="none" strike="noStrike" baseline="0">
              <a:solidFill>
                <a:srgbClr val="000000"/>
              </a:solidFill>
              <a:latin typeface="ＭＳ Ｐゴシック"/>
              <a:ea typeface="ＭＳ Ｐゴシック"/>
            </a:rPr>
            <a:t>Q: Quality</a:t>
          </a: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（建築物の環境品質）、</a:t>
          </a:r>
          <a:r>
            <a:rPr lang="en-US" altLang="ja-JP"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en-US" altLang="ja-JP"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en-US" altLang="ja-JP"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defRPr sz="1000"/>
          </a:pPr>
          <a:r>
            <a:rPr lang="ja-JP" altLang="en-US" sz="900" b="0" i="0" u="none" strike="noStrike" baseline="0">
              <a:solidFill>
                <a:srgbClr val="000000"/>
              </a:solidFill>
              <a:latin typeface="ＭＳ Ｐゴシック"/>
              <a:ea typeface="ＭＳ Ｐゴシック"/>
            </a:rPr>
            <a:t>■「ライフサイクル</a:t>
          </a:r>
          <a:r>
            <a:rPr lang="en-US" altLang="ja-JP" sz="900" b="0" i="0" u="none" strike="noStrike" baseline="0">
              <a:solidFill>
                <a:srgbClr val="000000"/>
              </a:solidFill>
              <a:latin typeface="ＭＳ Ｐゴシック"/>
              <a:ea typeface="ＭＳ Ｐゴシック"/>
            </a:rPr>
            <a:t>CO</a:t>
          </a:r>
          <a:r>
            <a:rPr lang="en-US" altLang="ja-JP"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a:t>
          </a:r>
          <a:r>
            <a:rPr lang="en-US" altLang="ja-JP" sz="900" b="0" i="0" u="none" strike="noStrike" baseline="0">
              <a:solidFill>
                <a:srgbClr val="000000"/>
              </a:solidFill>
              <a:latin typeface="ＭＳ Ｐゴシック"/>
              <a:ea typeface="ＭＳ Ｐゴシック"/>
            </a:rPr>
            <a:t>CO</a:t>
          </a:r>
          <a:r>
            <a:rPr lang="en-US" altLang="ja-JP"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a:t>
          </a:r>
          <a:r>
            <a:rPr lang="en-US" altLang="ja-JP" sz="900" b="0" i="0" u="none" strike="noStrike" baseline="0">
              <a:solidFill>
                <a:srgbClr val="000000"/>
              </a:solidFill>
              <a:latin typeface="ＭＳ Ｐゴシック"/>
              <a:ea typeface="ＭＳ Ｐゴシック"/>
            </a:rPr>
            <a:t>Q2</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LR1</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LR2</a:t>
          </a:r>
          <a:r>
            <a:rPr lang="ja-JP" altLang="en-US" sz="900" b="0" i="0" u="none" strike="noStrike" baseline="0">
              <a:solidFill>
                <a:srgbClr val="000000"/>
              </a:solidFill>
              <a:latin typeface="ＭＳ Ｐゴシック"/>
              <a:ea typeface="ＭＳ Ｐゴシック"/>
            </a:rPr>
            <a:t>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LCCO</a:t>
          </a:r>
          <a:r>
            <a:rPr lang="en-US" altLang="ja-JP"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LCCO</a:t>
          </a:r>
          <a:r>
            <a:rPr lang="en-US" altLang="ja-JP"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11</xdr:col>
      <xdr:colOff>114300</xdr:colOff>
      <xdr:row>52</xdr:row>
      <xdr:rowOff>85725</xdr:rowOff>
    </xdr:from>
    <xdr:to>
      <xdr:col>14</xdr:col>
      <xdr:colOff>619125</xdr:colOff>
      <xdr:row>60</xdr:row>
      <xdr:rowOff>114300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257175</xdr:colOff>
      <xdr:row>52</xdr:row>
      <xdr:rowOff>76200</xdr:rowOff>
    </xdr:from>
    <xdr:to>
      <xdr:col>10</xdr:col>
      <xdr:colOff>771525</xdr:colOff>
      <xdr:row>60</xdr:row>
      <xdr:rowOff>114300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52</xdr:row>
      <xdr:rowOff>76200</xdr:rowOff>
    </xdr:from>
    <xdr:to>
      <xdr:col>6</xdr:col>
      <xdr:colOff>428625</xdr:colOff>
      <xdr:row>60</xdr:row>
      <xdr:rowOff>123825</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41</xdr:row>
      <xdr:rowOff>66675</xdr:rowOff>
    </xdr:from>
    <xdr:to>
      <xdr:col>6</xdr:col>
      <xdr:colOff>447675</xdr:colOff>
      <xdr:row>49</xdr:row>
      <xdr:rowOff>123825</xdr:rowOff>
    </xdr:to>
    <xdr:graphicFrame macro="">
      <xdr:nvGraphicFramePr>
        <xdr:cNvPr id="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95250</xdr:colOff>
      <xdr:row>41</xdr:row>
      <xdr:rowOff>76200</xdr:rowOff>
    </xdr:from>
    <xdr:to>
      <xdr:col>14</xdr:col>
      <xdr:colOff>619125</xdr:colOff>
      <xdr:row>49</xdr:row>
      <xdr:rowOff>142875</xdr:rowOff>
    </xdr:to>
    <xdr:graphicFrame macro="">
      <xdr:nvGraphicFramePr>
        <xdr:cNvPr id="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628650</xdr:colOff>
      <xdr:row>59</xdr:row>
      <xdr:rowOff>47625</xdr:rowOff>
    </xdr:from>
    <xdr:to>
      <xdr:col>8</xdr:col>
      <xdr:colOff>228599</xdr:colOff>
      <xdr:row>61</xdr:row>
      <xdr:rowOff>19050</xdr:rowOff>
    </xdr:to>
    <xdr:sp macro="" textlink="">
      <xdr:nvSpPr>
        <xdr:cNvPr id="9" name="Text Box 7"/>
        <xdr:cNvSpPr txBox="1">
          <a:spLocks noChangeArrowheads="1"/>
        </xdr:cNvSpPr>
      </xdr:nvSpPr>
      <xdr:spPr bwMode="auto">
        <a:xfrm>
          <a:off x="3990975" y="11372850"/>
          <a:ext cx="581024" cy="3714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水資源　　</a:t>
          </a:r>
        </a:p>
        <a:p>
          <a:pPr algn="ctr" rtl="0">
            <a:defRPr sz="1000"/>
          </a:pPr>
          <a:r>
            <a:rPr lang="ja-JP" altLang="en-US" sz="800" b="0" i="0" u="none" strike="noStrike" baseline="0">
              <a:solidFill>
                <a:srgbClr val="000000"/>
              </a:solidFill>
              <a:latin typeface="ＭＳ Ｐゴシック"/>
              <a:ea typeface="ＭＳ Ｐゴシック"/>
            </a:rPr>
            <a:t>　保護</a:t>
          </a:r>
        </a:p>
      </xdr:txBody>
    </xdr:sp>
    <xdr:clientData/>
  </xdr:twoCellAnchor>
  <xdr:twoCellAnchor>
    <xdr:from>
      <xdr:col>10</xdr:col>
      <xdr:colOff>771525</xdr:colOff>
      <xdr:row>21</xdr:row>
      <xdr:rowOff>180975</xdr:rowOff>
    </xdr:from>
    <xdr:to>
      <xdr:col>16</xdr:col>
      <xdr:colOff>19050</xdr:colOff>
      <xdr:row>37</xdr:row>
      <xdr:rowOff>85725</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276225</xdr:colOff>
      <xdr:row>41</xdr:row>
      <xdr:rowOff>76200</xdr:rowOff>
    </xdr:from>
    <xdr:to>
      <xdr:col>10</xdr:col>
      <xdr:colOff>790575</xdr:colOff>
      <xdr:row>49</xdr:row>
      <xdr:rowOff>133350</xdr:rowOff>
    </xdr:to>
    <xdr:graphicFrame macro="">
      <xdr:nvGraphicFramePr>
        <xdr:cNvPr id="1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123825</xdr:colOff>
      <xdr:row>26</xdr:row>
      <xdr:rowOff>19050</xdr:rowOff>
    </xdr:from>
    <xdr:to>
      <xdr:col>6</xdr:col>
      <xdr:colOff>104775</xdr:colOff>
      <xdr:row>38</xdr:row>
      <xdr:rowOff>0</xdr:rowOff>
    </xdr:to>
    <xdr:graphicFrame macro="">
      <xdr:nvGraphicFramePr>
        <xdr:cNvPr id="12"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180975</xdr:colOff>
      <xdr:row>48</xdr:row>
      <xdr:rowOff>95250</xdr:rowOff>
    </xdr:from>
    <xdr:to>
      <xdr:col>2</xdr:col>
      <xdr:colOff>666750</xdr:colOff>
      <xdr:row>49</xdr:row>
      <xdr:rowOff>47625</xdr:rowOff>
    </xdr:to>
    <xdr:sp macro="" textlink="">
      <xdr:nvSpPr>
        <xdr:cNvPr id="13" name="Text Box 20"/>
        <xdr:cNvSpPr txBox="1">
          <a:spLocks noChangeArrowheads="1"/>
        </xdr:cNvSpPr>
      </xdr:nvSpPr>
      <xdr:spPr bwMode="auto">
        <a:xfrm>
          <a:off x="400050" y="9248775"/>
          <a:ext cx="485775" cy="14287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u="none" strike="noStrike" baseline="0">
              <a:solidFill>
                <a:srgbClr val="000000"/>
              </a:solidFill>
              <a:latin typeface="ＭＳ Ｐゴシック"/>
              <a:ea typeface="ＭＳ Ｐゴシック"/>
            </a:rPr>
            <a:t>音環境　　　　　　　　　　</a:t>
          </a:r>
        </a:p>
      </xdr:txBody>
    </xdr:sp>
    <xdr:clientData/>
  </xdr:twoCellAnchor>
  <xdr:twoCellAnchor>
    <xdr:from>
      <xdr:col>7</xdr:col>
      <xdr:colOff>657225</xdr:colOff>
      <xdr:row>48</xdr:row>
      <xdr:rowOff>95250</xdr:rowOff>
    </xdr:from>
    <xdr:to>
      <xdr:col>8</xdr:col>
      <xdr:colOff>180975</xdr:colOff>
      <xdr:row>49</xdr:row>
      <xdr:rowOff>47625</xdr:rowOff>
    </xdr:to>
    <xdr:sp macro="" textlink="">
      <xdr:nvSpPr>
        <xdr:cNvPr id="14" name="Text Box 21"/>
        <xdr:cNvSpPr txBox="1">
          <a:spLocks noChangeArrowheads="1"/>
        </xdr:cNvSpPr>
      </xdr:nvSpPr>
      <xdr:spPr bwMode="auto">
        <a:xfrm>
          <a:off x="4019550" y="9248775"/>
          <a:ext cx="504825" cy="14287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u="none" strike="noStrike" baseline="0">
              <a:solidFill>
                <a:srgbClr val="000000"/>
              </a:solidFill>
              <a:latin typeface="ＭＳ Ｐゴシック"/>
              <a:ea typeface="ＭＳ Ｐゴシック"/>
            </a:rPr>
            <a:t>機能性  </a:t>
          </a:r>
        </a:p>
      </xdr:txBody>
    </xdr:sp>
    <xdr:clientData/>
  </xdr:twoCellAnchor>
  <xdr:oneCellAnchor>
    <xdr:from>
      <xdr:col>11</xdr:col>
      <xdr:colOff>514350</xdr:colOff>
      <xdr:row>48</xdr:row>
      <xdr:rowOff>104764</xdr:rowOff>
    </xdr:from>
    <xdr:ext cx="535312" cy="142885"/>
    <xdr:sp macro="" textlink="">
      <xdr:nvSpPr>
        <xdr:cNvPr id="15" name="Text Box 22"/>
        <xdr:cNvSpPr txBox="1">
          <a:spLocks noChangeArrowheads="1"/>
        </xdr:cNvSpPr>
      </xdr:nvSpPr>
      <xdr:spPr bwMode="auto">
        <a:xfrm>
          <a:off x="7229475" y="9258289"/>
          <a:ext cx="535312" cy="142885"/>
        </a:xfrm>
        <a:prstGeom prst="rect">
          <a:avLst/>
        </a:prstGeom>
        <a:noFill/>
        <a:ln w="9525">
          <a:noFill/>
          <a:miter lim="800000"/>
          <a:headEnd/>
          <a:tailEnd/>
        </a:ln>
      </xdr:spPr>
      <xdr:txBody>
        <a:bodyPr wrap="square" lIns="0" tIns="0" rIns="0" bIns="0" anchor="ctr" upright="1">
          <a:no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xdr:from>
      <xdr:col>8</xdr:col>
      <xdr:colOff>485775</xdr:colOff>
      <xdr:row>59</xdr:row>
      <xdr:rowOff>47625</xdr:rowOff>
    </xdr:from>
    <xdr:to>
      <xdr:col>9</xdr:col>
      <xdr:colOff>647700</xdr:colOff>
      <xdr:row>60</xdr:row>
      <xdr:rowOff>190500</xdr:rowOff>
    </xdr:to>
    <xdr:sp macro="" textlink="">
      <xdr:nvSpPr>
        <xdr:cNvPr id="16" name="Text Box 104"/>
        <xdr:cNvSpPr txBox="1">
          <a:spLocks noChangeArrowheads="1"/>
        </xdr:cNvSpPr>
      </xdr:nvSpPr>
      <xdr:spPr bwMode="auto">
        <a:xfrm>
          <a:off x="4829175" y="11372850"/>
          <a:ext cx="704850" cy="3429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非再生材料の</a:t>
          </a:r>
        </a:p>
        <a:p>
          <a:pPr algn="ctr" rtl="0">
            <a:lnSpc>
              <a:spcPts val="1000"/>
            </a:lnSpc>
            <a:defRPr sz="1000"/>
          </a:pPr>
          <a:r>
            <a:rPr lang="ja-JP" altLang="en-US" sz="800" b="0" i="0" u="none" strike="noStrike" baseline="0">
              <a:solidFill>
                <a:srgbClr val="000000"/>
              </a:solidFill>
              <a:latin typeface="ＭＳ Ｐゴシック"/>
              <a:ea typeface="ＭＳ Ｐゴシック"/>
            </a:rPr>
            <a:t>使用削減</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9</xdr:col>
      <xdr:colOff>47625</xdr:colOff>
      <xdr:row>48</xdr:row>
      <xdr:rowOff>47624</xdr:rowOff>
    </xdr:from>
    <xdr:to>
      <xdr:col>9</xdr:col>
      <xdr:colOff>542925</xdr:colOff>
      <xdr:row>50</xdr:row>
      <xdr:rowOff>38099</xdr:rowOff>
    </xdr:to>
    <xdr:sp macro="" textlink="">
      <xdr:nvSpPr>
        <xdr:cNvPr id="17" name="Text Box 107"/>
        <xdr:cNvSpPr txBox="1">
          <a:spLocks noChangeArrowheads="1"/>
        </xdr:cNvSpPr>
      </xdr:nvSpPr>
      <xdr:spPr bwMode="auto">
        <a:xfrm>
          <a:off x="4933950" y="9201149"/>
          <a:ext cx="495300" cy="3714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 耐用性</a:t>
          </a:r>
        </a:p>
        <a:p>
          <a:pPr algn="ctr" rtl="0">
            <a:defRPr sz="1000"/>
          </a:pPr>
          <a:r>
            <a:rPr lang="ja-JP" altLang="en-US" sz="800" b="0" i="0" u="none" strike="noStrike" baseline="0">
              <a:solidFill>
                <a:srgbClr val="000000"/>
              </a:solidFill>
              <a:latin typeface="ＭＳ Ｐゴシック"/>
              <a:ea typeface="ＭＳ Ｐゴシック"/>
            </a:rPr>
            <a:t> ・信頼性</a:t>
          </a:r>
        </a:p>
      </xdr:txBody>
    </xdr:sp>
    <xdr:clientData/>
  </xdr:twoCellAnchor>
  <xdr:twoCellAnchor>
    <xdr:from>
      <xdr:col>10</xdr:col>
      <xdr:colOff>28575</xdr:colOff>
      <xdr:row>48</xdr:row>
      <xdr:rowOff>47624</xdr:rowOff>
    </xdr:from>
    <xdr:to>
      <xdr:col>10</xdr:col>
      <xdr:colOff>533400</xdr:colOff>
      <xdr:row>50</xdr:row>
      <xdr:rowOff>38099</xdr:rowOff>
    </xdr:to>
    <xdr:sp macro="" textlink="">
      <xdr:nvSpPr>
        <xdr:cNvPr id="18" name="Text Box 108"/>
        <xdr:cNvSpPr txBox="1">
          <a:spLocks noChangeArrowheads="1"/>
        </xdr:cNvSpPr>
      </xdr:nvSpPr>
      <xdr:spPr bwMode="auto">
        <a:xfrm>
          <a:off x="5838825" y="9201149"/>
          <a:ext cx="504825" cy="3714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対応性</a:t>
          </a:r>
        </a:p>
        <a:p>
          <a:pPr algn="ctr" rtl="0">
            <a:defRPr sz="1000"/>
          </a:pPr>
          <a:r>
            <a:rPr lang="ja-JP" altLang="en-US" sz="800" b="0" i="0" u="none" strike="noStrike" baseline="0">
              <a:solidFill>
                <a:srgbClr val="000000"/>
              </a:solidFill>
              <a:latin typeface="ＭＳ Ｐゴシック"/>
              <a:ea typeface="ＭＳ Ｐゴシック"/>
            </a:rPr>
            <a:t> ・更新性　</a:t>
          </a:r>
        </a:p>
      </xdr:txBody>
    </xdr:sp>
    <xdr:clientData/>
  </xdr:twoCellAnchor>
  <xdr:twoCellAnchor>
    <xdr:from>
      <xdr:col>12</xdr:col>
      <xdr:colOff>600074</xdr:colOff>
      <xdr:row>48</xdr:row>
      <xdr:rowOff>47625</xdr:rowOff>
    </xdr:from>
    <xdr:to>
      <xdr:col>13</xdr:col>
      <xdr:colOff>314324</xdr:colOff>
      <xdr:row>50</xdr:row>
      <xdr:rowOff>9525</xdr:rowOff>
    </xdr:to>
    <xdr:sp macro="" textlink="">
      <xdr:nvSpPr>
        <xdr:cNvPr id="19" name="Text Box 109"/>
        <xdr:cNvSpPr txBox="1">
          <a:spLocks noChangeArrowheads="1"/>
        </xdr:cNvSpPr>
      </xdr:nvSpPr>
      <xdr:spPr bwMode="auto">
        <a:xfrm>
          <a:off x="8134349" y="9201150"/>
          <a:ext cx="619125" cy="3429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まちなみ</a:t>
          </a:r>
        </a:p>
        <a:p>
          <a:pPr algn="ctr" rtl="0">
            <a:defRPr sz="1000"/>
          </a:pPr>
          <a:r>
            <a:rPr lang="ja-JP" altLang="en-US" sz="800" b="0" i="0" u="none" strike="noStrike" baseline="0">
              <a:solidFill>
                <a:srgbClr val="000000"/>
              </a:solidFill>
              <a:latin typeface="ＭＳ Ｐゴシック"/>
              <a:ea typeface="ＭＳ Ｐゴシック"/>
            </a:rPr>
            <a:t>・景観　</a:t>
          </a:r>
        </a:p>
      </xdr:txBody>
    </xdr:sp>
    <xdr:clientData/>
  </xdr:twoCellAnchor>
  <xdr:twoCellAnchor>
    <xdr:from>
      <xdr:col>13</xdr:col>
      <xdr:colOff>628649</xdr:colOff>
      <xdr:row>48</xdr:row>
      <xdr:rowOff>47625</xdr:rowOff>
    </xdr:from>
    <xdr:to>
      <xdr:col>14</xdr:col>
      <xdr:colOff>381000</xdr:colOff>
      <xdr:row>50</xdr:row>
      <xdr:rowOff>9525</xdr:rowOff>
    </xdr:to>
    <xdr:sp macro="" textlink="">
      <xdr:nvSpPr>
        <xdr:cNvPr id="20" name="Text Box 110"/>
        <xdr:cNvSpPr txBox="1">
          <a:spLocks noChangeArrowheads="1"/>
        </xdr:cNvSpPr>
      </xdr:nvSpPr>
      <xdr:spPr bwMode="auto">
        <a:xfrm>
          <a:off x="9067799" y="9201150"/>
          <a:ext cx="619126" cy="3429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地域性・　</a:t>
          </a:r>
        </a:p>
        <a:p>
          <a:pPr algn="ctr" rtl="0">
            <a:defRPr sz="1000"/>
          </a:pPr>
          <a:r>
            <a:rPr lang="ja-JP" altLang="en-US" sz="800" b="0" i="0" u="none" strike="noStrike" baseline="0">
              <a:solidFill>
                <a:srgbClr val="000000"/>
              </a:solidFill>
              <a:latin typeface="ＭＳ Ｐゴシック"/>
              <a:ea typeface="ＭＳ Ｐゴシック"/>
            </a:rPr>
            <a:t>アメニティ　　　　　　　　　</a:t>
          </a:r>
        </a:p>
      </xdr:txBody>
    </xdr:sp>
    <xdr:clientData/>
  </xdr:twoCellAnchor>
  <xdr:twoCellAnchor>
    <xdr:from>
      <xdr:col>0</xdr:col>
      <xdr:colOff>19050</xdr:colOff>
      <xdr:row>21</xdr:row>
      <xdr:rowOff>180975</xdr:rowOff>
    </xdr:from>
    <xdr:to>
      <xdr:col>5</xdr:col>
      <xdr:colOff>76200</xdr:colOff>
      <xdr:row>25</xdr:row>
      <xdr:rowOff>9525</xdr:rowOff>
    </xdr:to>
    <xdr:graphicFrame macro="">
      <xdr:nvGraphicFramePr>
        <xdr:cNvPr id="21"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66675</xdr:colOff>
      <xdr:row>25</xdr:row>
      <xdr:rowOff>47625</xdr:rowOff>
    </xdr:from>
    <xdr:to>
      <xdr:col>7</xdr:col>
      <xdr:colOff>0</xdr:colOff>
      <xdr:row>26</xdr:row>
      <xdr:rowOff>19050</xdr:rowOff>
    </xdr:to>
    <xdr:sp macro="" textlink="">
      <xdr:nvSpPr>
        <xdr:cNvPr id="22" name="Text Box 129"/>
        <xdr:cNvSpPr txBox="1">
          <a:spLocks noChangeArrowheads="1"/>
        </xdr:cNvSpPr>
      </xdr:nvSpPr>
      <xdr:spPr bwMode="auto">
        <a:xfrm>
          <a:off x="123825" y="4371975"/>
          <a:ext cx="3238500" cy="2762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950" b="0" i="0" u="none" strike="noStrike" baseline="0">
              <a:solidFill>
                <a:srgbClr val="000000"/>
              </a:solidFill>
              <a:latin typeface="ＭＳ Ｐゴシック"/>
              <a:ea typeface="ＭＳ Ｐゴシック"/>
            </a:rPr>
            <a:t>S: </a:t>
          </a:r>
          <a:r>
            <a:rPr lang="en-US" altLang="ja-JP" sz="950" b="0" i="0" u="none" strike="noStrike" baseline="0">
              <a:solidFill>
                <a:srgbClr val="333333"/>
              </a:solidFill>
              <a:latin typeface="ＭＳ Ｐゴシック"/>
              <a:ea typeface="ＭＳ Ｐゴシック"/>
            </a:rPr>
            <a:t>★★★★★  </a:t>
          </a:r>
          <a:r>
            <a:rPr lang="en-US" altLang="ja-JP" sz="950" b="0" i="0" u="none" strike="noStrike" baseline="0">
              <a:solidFill>
                <a:srgbClr val="000000"/>
              </a:solidFill>
              <a:latin typeface="ＭＳ Ｐゴシック"/>
              <a:ea typeface="ＭＳ Ｐゴシック"/>
            </a:rPr>
            <a:t>A: </a:t>
          </a:r>
          <a:r>
            <a:rPr lang="en-US" altLang="ja-JP" sz="950" b="0" i="0" u="none" strike="noStrike" baseline="0">
              <a:solidFill>
                <a:srgbClr val="333333"/>
              </a:solidFill>
              <a:latin typeface="ＭＳ Ｐゴシック"/>
              <a:ea typeface="ＭＳ Ｐゴシック"/>
            </a:rPr>
            <a:t>★★★★  </a:t>
          </a:r>
          <a:r>
            <a:rPr lang="en-US" altLang="ja-JP" sz="950" b="0" i="0" u="none" strike="noStrike" baseline="0">
              <a:solidFill>
                <a:srgbClr val="000000"/>
              </a:solidFill>
              <a:latin typeface="ＭＳ Ｐゴシック"/>
              <a:ea typeface="ＭＳ Ｐゴシック"/>
            </a:rPr>
            <a:t>B</a:t>
          </a:r>
          <a:r>
            <a:rPr lang="en-US" altLang="ja-JP" sz="950" b="0" i="0" u="none" strike="noStrike" baseline="30000">
              <a:solidFill>
                <a:srgbClr val="000000"/>
              </a:solidFill>
              <a:latin typeface="ＭＳ Ｐゴシック"/>
              <a:ea typeface="ＭＳ Ｐゴシック"/>
            </a:rPr>
            <a:t>+</a:t>
          </a:r>
          <a:r>
            <a:rPr lang="en-US" altLang="ja-JP" sz="950" b="0" i="0" u="none" strike="noStrike" baseline="0">
              <a:solidFill>
                <a:srgbClr val="000000"/>
              </a:solidFill>
              <a:latin typeface="ＭＳ Ｐゴシック"/>
              <a:ea typeface="ＭＳ Ｐゴシック"/>
            </a:rPr>
            <a:t>: </a:t>
          </a:r>
          <a:r>
            <a:rPr lang="en-US" altLang="ja-JP" sz="950" b="0" i="0" u="none" strike="noStrike" baseline="0">
              <a:solidFill>
                <a:srgbClr val="333333"/>
              </a:solidFill>
              <a:latin typeface="ＭＳ Ｐゴシック"/>
              <a:ea typeface="ＭＳ Ｐゴシック"/>
            </a:rPr>
            <a:t>★★★  </a:t>
          </a:r>
          <a:r>
            <a:rPr lang="en-US" altLang="ja-JP" sz="950" b="0" i="0" u="none" strike="noStrike" baseline="0">
              <a:solidFill>
                <a:srgbClr val="000000"/>
              </a:solidFill>
              <a:latin typeface="ＭＳ Ｐゴシック"/>
              <a:ea typeface="ＭＳ Ｐゴシック"/>
            </a:rPr>
            <a:t>B</a:t>
          </a:r>
          <a:r>
            <a:rPr lang="en-US" altLang="ja-JP" sz="950" b="0" i="0" u="none" strike="noStrike" baseline="30000">
              <a:solidFill>
                <a:srgbClr val="000000"/>
              </a:solidFill>
              <a:latin typeface="ＭＳ Ｐゴシック"/>
              <a:ea typeface="ＭＳ Ｐゴシック"/>
            </a:rPr>
            <a:t>-</a:t>
          </a:r>
          <a:r>
            <a:rPr lang="en-US" altLang="ja-JP" sz="950" b="0" i="0" u="none" strike="noStrike" baseline="0">
              <a:solidFill>
                <a:srgbClr val="000000"/>
              </a:solidFill>
              <a:latin typeface="ＭＳ Ｐゴシック"/>
              <a:ea typeface="ＭＳ Ｐゴシック"/>
            </a:rPr>
            <a:t>: </a:t>
          </a:r>
          <a:r>
            <a:rPr lang="en-US" altLang="ja-JP" sz="950" b="0" i="0" u="none" strike="noStrike" baseline="0">
              <a:solidFill>
                <a:srgbClr val="333333"/>
              </a:solidFill>
              <a:latin typeface="ＭＳ Ｐゴシック"/>
              <a:ea typeface="ＭＳ Ｐゴシック"/>
            </a:rPr>
            <a:t>★★  </a:t>
          </a:r>
          <a:r>
            <a:rPr lang="en-US" altLang="ja-JP" sz="950" b="0" i="0" u="none" strike="noStrike" baseline="0">
              <a:solidFill>
                <a:srgbClr val="000000"/>
              </a:solidFill>
              <a:latin typeface="ＭＳ Ｐゴシック"/>
              <a:ea typeface="ＭＳ Ｐゴシック"/>
            </a:rPr>
            <a:t>C: </a:t>
          </a:r>
          <a:r>
            <a:rPr lang="en-US" altLang="ja-JP" sz="950" b="0" i="0" u="none" strike="noStrike" baseline="0">
              <a:solidFill>
                <a:srgbClr val="333333"/>
              </a:solidFill>
              <a:latin typeface="ＭＳ Ｐゴシック"/>
              <a:ea typeface="ＭＳ Ｐゴシック"/>
            </a:rPr>
            <a:t>★</a:t>
          </a:r>
        </a:p>
      </xdr:txBody>
    </xdr:sp>
    <xdr:clientData/>
  </xdr:twoCellAnchor>
  <xdr:oneCellAnchor>
    <xdr:from>
      <xdr:col>13</xdr:col>
      <xdr:colOff>276225</xdr:colOff>
      <xdr:row>40</xdr:row>
      <xdr:rowOff>180975</xdr:rowOff>
    </xdr:from>
    <xdr:ext cx="779957" cy="201850"/>
    <xdr:sp macro="" textlink="">
      <xdr:nvSpPr>
        <xdr:cNvPr id="23" name="Text Box 135"/>
        <xdr:cNvSpPr txBox="1">
          <a:spLocks noChangeArrowheads="1"/>
        </xdr:cNvSpPr>
      </xdr:nvSpPr>
      <xdr:spPr bwMode="auto">
        <a:xfrm>
          <a:off x="8715375" y="78105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13</xdr:col>
      <xdr:colOff>228600</xdr:colOff>
      <xdr:row>51</xdr:row>
      <xdr:rowOff>180975</xdr:rowOff>
    </xdr:from>
    <xdr:ext cx="845040" cy="201850"/>
    <xdr:sp macro="" textlink="">
      <xdr:nvSpPr>
        <xdr:cNvPr id="24" name="Text Box 136"/>
        <xdr:cNvSpPr txBox="1">
          <a:spLocks noChangeArrowheads="1"/>
        </xdr:cNvSpPr>
      </xdr:nvSpPr>
      <xdr:spPr bwMode="auto">
        <a:xfrm>
          <a:off x="8667750" y="9944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51</xdr:row>
      <xdr:rowOff>171450</xdr:rowOff>
    </xdr:from>
    <xdr:ext cx="845040" cy="201850"/>
    <xdr:sp macro="" textlink="">
      <xdr:nvSpPr>
        <xdr:cNvPr id="25" name="Text Box 137"/>
        <xdr:cNvSpPr txBox="1">
          <a:spLocks noChangeArrowheads="1"/>
        </xdr:cNvSpPr>
      </xdr:nvSpPr>
      <xdr:spPr bwMode="auto">
        <a:xfrm>
          <a:off x="4838700" y="993457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19050</xdr:colOff>
      <xdr:row>40</xdr:row>
      <xdr:rowOff>171450</xdr:rowOff>
    </xdr:from>
    <xdr:ext cx="779957" cy="201850"/>
    <xdr:sp macro="" textlink="">
      <xdr:nvSpPr>
        <xdr:cNvPr id="26" name="Text Box 138"/>
        <xdr:cNvSpPr txBox="1">
          <a:spLocks noChangeArrowheads="1"/>
        </xdr:cNvSpPr>
      </xdr:nvSpPr>
      <xdr:spPr bwMode="auto">
        <a:xfrm>
          <a:off x="4905375" y="7800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304800</xdr:colOff>
      <xdr:row>40</xdr:row>
      <xdr:rowOff>171450</xdr:rowOff>
    </xdr:from>
    <xdr:ext cx="779957" cy="201850"/>
    <xdr:sp macro="" textlink="">
      <xdr:nvSpPr>
        <xdr:cNvPr id="27" name="Text Box 139"/>
        <xdr:cNvSpPr txBox="1">
          <a:spLocks noChangeArrowheads="1"/>
        </xdr:cNvSpPr>
      </xdr:nvSpPr>
      <xdr:spPr bwMode="auto">
        <a:xfrm>
          <a:off x="1952625" y="7800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219075</xdr:colOff>
      <xdr:row>51</xdr:row>
      <xdr:rowOff>180975</xdr:rowOff>
    </xdr:from>
    <xdr:ext cx="845040" cy="201850"/>
    <xdr:sp macro="" textlink="">
      <xdr:nvSpPr>
        <xdr:cNvPr id="28" name="Text Box 140"/>
        <xdr:cNvSpPr txBox="1">
          <a:spLocks noChangeArrowheads="1"/>
        </xdr:cNvSpPr>
      </xdr:nvSpPr>
      <xdr:spPr bwMode="auto">
        <a:xfrm>
          <a:off x="1866900" y="9944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2</xdr:col>
      <xdr:colOff>895350</xdr:colOff>
      <xdr:row>48</xdr:row>
      <xdr:rowOff>104775</xdr:rowOff>
    </xdr:from>
    <xdr:to>
      <xdr:col>4</xdr:col>
      <xdr:colOff>38100</xdr:colOff>
      <xdr:row>49</xdr:row>
      <xdr:rowOff>28575</xdr:rowOff>
    </xdr:to>
    <xdr:sp macro="" textlink="">
      <xdr:nvSpPr>
        <xdr:cNvPr id="29" name="Text Box 142"/>
        <xdr:cNvSpPr txBox="1">
          <a:spLocks noChangeArrowheads="1"/>
        </xdr:cNvSpPr>
      </xdr:nvSpPr>
      <xdr:spPr bwMode="auto">
        <a:xfrm>
          <a:off x="1114425" y="9258300"/>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u="none" strike="noStrike" baseline="0">
              <a:solidFill>
                <a:srgbClr val="000000"/>
              </a:solidFill>
              <a:latin typeface="ＭＳ Ｐゴシック"/>
              <a:ea typeface="ＭＳ Ｐゴシック"/>
            </a:rPr>
            <a:t>温熱環境</a:t>
          </a:r>
        </a:p>
      </xdr:txBody>
    </xdr:sp>
    <xdr:clientData/>
  </xdr:twoCellAnchor>
  <xdr:oneCellAnchor>
    <xdr:from>
      <xdr:col>4</xdr:col>
      <xdr:colOff>253382</xdr:colOff>
      <xdr:row>48</xdr:row>
      <xdr:rowOff>114300</xdr:rowOff>
    </xdr:from>
    <xdr:ext cx="455638" cy="133370"/>
    <xdr:sp macro="" textlink="">
      <xdr:nvSpPr>
        <xdr:cNvPr id="30" name="Text Box 143"/>
        <xdr:cNvSpPr txBox="1">
          <a:spLocks noChangeArrowheads="1"/>
        </xdr:cNvSpPr>
      </xdr:nvSpPr>
      <xdr:spPr bwMode="auto">
        <a:xfrm>
          <a:off x="1901207" y="9267825"/>
          <a:ext cx="455638"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a:t>
          </a:r>
        </a:p>
      </xdr:txBody>
    </xdr:sp>
    <xdr:clientData/>
  </xdr:oneCellAnchor>
  <xdr:twoCellAnchor>
    <xdr:from>
      <xdr:col>5</xdr:col>
      <xdr:colOff>133350</xdr:colOff>
      <xdr:row>48</xdr:row>
      <xdr:rowOff>95250</xdr:rowOff>
    </xdr:from>
    <xdr:to>
      <xdr:col>6</xdr:col>
      <xdr:colOff>361950</xdr:colOff>
      <xdr:row>49</xdr:row>
      <xdr:rowOff>47625</xdr:rowOff>
    </xdr:to>
    <xdr:sp macro="" textlink="">
      <xdr:nvSpPr>
        <xdr:cNvPr id="31" name="Text Box 144"/>
        <xdr:cNvSpPr txBox="1">
          <a:spLocks noChangeArrowheads="1"/>
        </xdr:cNvSpPr>
      </xdr:nvSpPr>
      <xdr:spPr bwMode="auto">
        <a:xfrm>
          <a:off x="2524125" y="9248775"/>
          <a:ext cx="704850" cy="14287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u="none" strike="noStrike" baseline="0">
              <a:solidFill>
                <a:srgbClr val="000000"/>
              </a:solidFill>
              <a:latin typeface="ＭＳ Ｐゴシック"/>
              <a:ea typeface="ＭＳ Ｐゴシック"/>
            </a:rPr>
            <a:t>空気質環境　　　　　　　</a:t>
          </a:r>
        </a:p>
      </xdr:txBody>
    </xdr:sp>
    <xdr:clientData/>
  </xdr:twoCellAnchor>
  <xdr:twoCellAnchor>
    <xdr:from>
      <xdr:col>9</xdr:col>
      <xdr:colOff>876300</xdr:colOff>
      <xdr:row>59</xdr:row>
      <xdr:rowOff>47625</xdr:rowOff>
    </xdr:from>
    <xdr:to>
      <xdr:col>10</xdr:col>
      <xdr:colOff>590550</xdr:colOff>
      <xdr:row>60</xdr:row>
      <xdr:rowOff>190500</xdr:rowOff>
    </xdr:to>
    <xdr:sp macro="" textlink="">
      <xdr:nvSpPr>
        <xdr:cNvPr id="32" name="Text Box 145"/>
        <xdr:cNvSpPr txBox="1">
          <a:spLocks noChangeArrowheads="1"/>
        </xdr:cNvSpPr>
      </xdr:nvSpPr>
      <xdr:spPr bwMode="auto">
        <a:xfrm>
          <a:off x="5762625" y="11372850"/>
          <a:ext cx="638175" cy="3429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汚染物質</a:t>
          </a:r>
        </a:p>
        <a:p>
          <a:pPr algn="ctr" rtl="0">
            <a:lnSpc>
              <a:spcPts val="1000"/>
            </a:lnSpc>
            <a:defRPr sz="1000"/>
          </a:pPr>
          <a:r>
            <a:rPr lang="ja-JP" altLang="en-US" sz="800" b="0" i="0" u="none" strike="noStrike" baseline="0">
              <a:solidFill>
                <a:srgbClr val="000000"/>
              </a:solidFill>
              <a:latin typeface="ＭＳ Ｐゴシック"/>
              <a:ea typeface="ＭＳ Ｐゴシック"/>
            </a:rPr>
            <a:t>回避</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2</xdr:col>
      <xdr:colOff>142875</xdr:colOff>
      <xdr:row>59</xdr:row>
      <xdr:rowOff>47625</xdr:rowOff>
    </xdr:from>
    <xdr:to>
      <xdr:col>2</xdr:col>
      <xdr:colOff>647700</xdr:colOff>
      <xdr:row>61</xdr:row>
      <xdr:rowOff>19050</xdr:rowOff>
    </xdr:to>
    <xdr:sp macro="" textlink="">
      <xdr:nvSpPr>
        <xdr:cNvPr id="33" name="Text Box 23"/>
        <xdr:cNvSpPr txBox="1">
          <a:spLocks noChangeArrowheads="1"/>
        </xdr:cNvSpPr>
      </xdr:nvSpPr>
      <xdr:spPr bwMode="auto">
        <a:xfrm>
          <a:off x="361950" y="11372850"/>
          <a:ext cx="504825" cy="3714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u="none" strike="noStrike" baseline="0">
              <a:solidFill>
                <a:srgbClr val="000000"/>
              </a:solidFill>
              <a:latin typeface="ＭＳ Ｐゴシック"/>
              <a:ea typeface="ＭＳ Ｐゴシック"/>
            </a:rPr>
            <a:t>   建物の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xdr:from>
      <xdr:col>2</xdr:col>
      <xdr:colOff>885825</xdr:colOff>
      <xdr:row>59</xdr:row>
      <xdr:rowOff>47625</xdr:rowOff>
    </xdr:from>
    <xdr:to>
      <xdr:col>4</xdr:col>
      <xdr:colOff>19050</xdr:colOff>
      <xdr:row>61</xdr:row>
      <xdr:rowOff>38100</xdr:rowOff>
    </xdr:to>
    <xdr:sp macro="" textlink="">
      <xdr:nvSpPr>
        <xdr:cNvPr id="34" name="Text Box 101"/>
        <xdr:cNvSpPr txBox="1">
          <a:spLocks noChangeArrowheads="1"/>
        </xdr:cNvSpPr>
      </xdr:nvSpPr>
      <xdr:spPr bwMode="auto">
        <a:xfrm>
          <a:off x="1104900" y="11372850"/>
          <a:ext cx="561975" cy="3905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u="none" strike="noStrike" baseline="0">
              <a:solidFill>
                <a:srgbClr val="000000"/>
              </a:solidFill>
              <a:latin typeface="ＭＳ Ｐゴシック"/>
              <a:ea typeface="ＭＳ Ｐゴシック"/>
            </a:rPr>
            <a:t> 自然エネ     </a:t>
          </a:r>
        </a:p>
        <a:p>
          <a:pPr algn="ctr" rtl="0">
            <a:lnSpc>
              <a:spcPts val="1000"/>
            </a:lnSpc>
            <a:defRPr sz="1000"/>
          </a:pPr>
          <a:r>
            <a:rPr lang="ja-JP" altLang="en-US" sz="825" b="0" i="0" u="none" strike="noStrike" baseline="0">
              <a:solidFill>
                <a:srgbClr val="000000"/>
              </a:solidFill>
              <a:latin typeface="ＭＳ Ｐゴシック"/>
              <a:ea typeface="ＭＳ Ｐゴシック"/>
            </a:rPr>
            <a:t>  ルギー</a:t>
          </a:r>
        </a:p>
      </xdr:txBody>
    </xdr:sp>
    <xdr:clientData/>
  </xdr:twoCellAnchor>
  <xdr:twoCellAnchor>
    <xdr:from>
      <xdr:col>4</xdr:col>
      <xdr:colOff>152400</xdr:colOff>
      <xdr:row>59</xdr:row>
      <xdr:rowOff>47624</xdr:rowOff>
    </xdr:from>
    <xdr:to>
      <xdr:col>5</xdr:col>
      <xdr:colOff>76200</xdr:colOff>
      <xdr:row>61</xdr:row>
      <xdr:rowOff>57149</xdr:rowOff>
    </xdr:to>
    <xdr:sp macro="" textlink="">
      <xdr:nvSpPr>
        <xdr:cNvPr id="35" name="Text Box 102"/>
        <xdr:cNvSpPr txBox="1">
          <a:spLocks noChangeArrowheads="1"/>
        </xdr:cNvSpPr>
      </xdr:nvSpPr>
      <xdr:spPr bwMode="auto">
        <a:xfrm>
          <a:off x="1800225" y="11372849"/>
          <a:ext cx="666750" cy="4095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u="none" strike="noStrike" baseline="0">
              <a:solidFill>
                <a:srgbClr val="000000"/>
              </a:solidFill>
              <a:latin typeface="ＭＳ Ｐゴシック"/>
              <a:ea typeface="ＭＳ Ｐゴシック"/>
            </a:rPr>
            <a:t> 設備システ     </a:t>
          </a:r>
        </a:p>
        <a:p>
          <a:pPr algn="ctr" rtl="0">
            <a:lnSpc>
              <a:spcPts val="1000"/>
            </a:lnSpc>
            <a:defRPr sz="1000"/>
          </a:pPr>
          <a:r>
            <a:rPr lang="ja-JP" altLang="en-US" sz="825" b="0" i="0" u="none" strike="noStrike" baseline="0">
              <a:solidFill>
                <a:srgbClr val="000000"/>
              </a:solidFill>
              <a:latin typeface="ＭＳ Ｐゴシック"/>
              <a:ea typeface="ＭＳ Ｐゴシック"/>
            </a:rPr>
            <a:t> ム効率化</a:t>
          </a:r>
        </a:p>
      </xdr:txBody>
    </xdr:sp>
    <xdr:clientData/>
  </xdr:twoCellAnchor>
  <xdr:twoCellAnchor>
    <xdr:from>
      <xdr:col>5</xdr:col>
      <xdr:colOff>295275</xdr:colOff>
      <xdr:row>59</xdr:row>
      <xdr:rowOff>47624</xdr:rowOff>
    </xdr:from>
    <xdr:to>
      <xdr:col>6</xdr:col>
      <xdr:colOff>219075</xdr:colOff>
      <xdr:row>61</xdr:row>
      <xdr:rowOff>19049</xdr:rowOff>
    </xdr:to>
    <xdr:sp macro="" textlink="">
      <xdr:nvSpPr>
        <xdr:cNvPr id="36" name="Text Box 103"/>
        <xdr:cNvSpPr txBox="1">
          <a:spLocks noChangeArrowheads="1"/>
        </xdr:cNvSpPr>
      </xdr:nvSpPr>
      <xdr:spPr bwMode="auto">
        <a:xfrm>
          <a:off x="2686050" y="11372849"/>
          <a:ext cx="400050" cy="3714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u="none" strike="noStrike" baseline="0">
              <a:solidFill>
                <a:srgbClr val="000000"/>
              </a:solidFill>
              <a:latin typeface="ＭＳ Ｐゴシック"/>
              <a:ea typeface="ＭＳ Ｐゴシック"/>
            </a:rPr>
            <a:t>効率的              </a:t>
          </a:r>
        </a:p>
        <a:p>
          <a:pPr algn="ctr" rtl="0">
            <a:lnSpc>
              <a:spcPts val="1000"/>
            </a:lnSpc>
            <a:defRPr sz="1000"/>
          </a:pPr>
          <a:r>
            <a:rPr lang="ja-JP" altLang="en-US" sz="825" b="0" i="0" u="none" strike="noStrike" baseline="0">
              <a:solidFill>
                <a:srgbClr val="000000"/>
              </a:solidFill>
              <a:latin typeface="ＭＳ Ｐゴシック"/>
              <a:ea typeface="ＭＳ Ｐゴシック"/>
            </a:rPr>
            <a:t>運用</a:t>
          </a:r>
        </a:p>
      </xdr:txBody>
    </xdr:sp>
    <xdr:clientData/>
  </xdr:twoCellAnchor>
  <xdr:twoCellAnchor>
    <xdr:from>
      <xdr:col>11</xdr:col>
      <xdr:colOff>419100</xdr:colOff>
      <xdr:row>59</xdr:row>
      <xdr:rowOff>38100</xdr:rowOff>
    </xdr:from>
    <xdr:to>
      <xdr:col>12</xdr:col>
      <xdr:colOff>295275</xdr:colOff>
      <xdr:row>60</xdr:row>
      <xdr:rowOff>180975</xdr:rowOff>
    </xdr:to>
    <xdr:sp macro="" textlink="">
      <xdr:nvSpPr>
        <xdr:cNvPr id="37" name="Text Box 148"/>
        <xdr:cNvSpPr txBox="1">
          <a:spLocks noChangeArrowheads="1"/>
        </xdr:cNvSpPr>
      </xdr:nvSpPr>
      <xdr:spPr bwMode="auto">
        <a:xfrm>
          <a:off x="7134225" y="11363325"/>
          <a:ext cx="695325" cy="3429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地球温暖化</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12</xdr:col>
      <xdr:colOff>590549</xdr:colOff>
      <xdr:row>59</xdr:row>
      <xdr:rowOff>38100</xdr:rowOff>
    </xdr:from>
    <xdr:to>
      <xdr:col>13</xdr:col>
      <xdr:colOff>342899</xdr:colOff>
      <xdr:row>60</xdr:row>
      <xdr:rowOff>180975</xdr:rowOff>
    </xdr:to>
    <xdr:sp macro="" textlink="">
      <xdr:nvSpPr>
        <xdr:cNvPr id="38" name="Text Box 149"/>
        <xdr:cNvSpPr txBox="1">
          <a:spLocks noChangeArrowheads="1"/>
        </xdr:cNvSpPr>
      </xdr:nvSpPr>
      <xdr:spPr bwMode="auto">
        <a:xfrm>
          <a:off x="8124824" y="11363325"/>
          <a:ext cx="657225" cy="3429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地域環境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13</xdr:col>
      <xdr:colOff>657225</xdr:colOff>
      <xdr:row>59</xdr:row>
      <xdr:rowOff>38100</xdr:rowOff>
    </xdr:from>
    <xdr:to>
      <xdr:col>14</xdr:col>
      <xdr:colOff>400050</xdr:colOff>
      <xdr:row>60</xdr:row>
      <xdr:rowOff>190500</xdr:rowOff>
    </xdr:to>
    <xdr:sp macro="" textlink="">
      <xdr:nvSpPr>
        <xdr:cNvPr id="39" name="Text Box 150"/>
        <xdr:cNvSpPr txBox="1">
          <a:spLocks noChangeArrowheads="1"/>
        </xdr:cNvSpPr>
      </xdr:nvSpPr>
      <xdr:spPr bwMode="auto">
        <a:xfrm>
          <a:off x="9096375" y="11363325"/>
          <a:ext cx="609600" cy="3524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周辺環境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oneCellAnchor>
    <xdr:from>
      <xdr:col>5</xdr:col>
      <xdr:colOff>38100</xdr:colOff>
      <xdr:row>24</xdr:row>
      <xdr:rowOff>0</xdr:rowOff>
    </xdr:from>
    <xdr:ext cx="560410" cy="219419"/>
    <xdr:sp macro="" textlink="">
      <xdr:nvSpPr>
        <xdr:cNvPr id="40" name="Text Box 45"/>
        <xdr:cNvSpPr txBox="1">
          <a:spLocks noChangeArrowheads="1"/>
        </xdr:cNvSpPr>
      </xdr:nvSpPr>
      <xdr:spPr bwMode="auto">
        <a:xfrm>
          <a:off x="2428875" y="4133850"/>
          <a:ext cx="560410" cy="219419"/>
        </a:xfrm>
        <a:prstGeom prst="rect">
          <a:avLst/>
        </a:prstGeom>
        <a:noFill/>
        <a:ln w="9525">
          <a:noFill/>
          <a:miter lim="800000"/>
          <a:headEnd/>
          <a:tailEnd/>
        </a:ln>
      </xdr:spPr>
      <xdr:txBody>
        <a:bodyPr wrap="none" lIns="27432" tIns="27432" rIns="0" bIns="0" anchor="t" upright="1">
          <a:spAutoFit/>
        </a:bodyPr>
        <a:lstStyle/>
        <a:p>
          <a:pPr algn="l" rtl="0">
            <a:defRPr sz="1000"/>
          </a:pPr>
          <a:r>
            <a:rPr lang="en-US" altLang="ja-JP" sz="1300" b="1" i="0" u="none" strike="noStrike" baseline="0">
              <a:solidFill>
                <a:srgbClr val="000000"/>
              </a:solidFill>
              <a:latin typeface="Arial"/>
              <a:cs typeface="Arial"/>
            </a:rPr>
            <a:t>BEE = </a:t>
          </a:r>
        </a:p>
      </xdr:txBody>
    </xdr:sp>
    <xdr:clientData/>
  </xdr:oneCellAnchor>
  <xdr:oneCellAnchor>
    <xdr:from>
      <xdr:col>10</xdr:col>
      <xdr:colOff>88645</xdr:colOff>
      <xdr:row>35</xdr:row>
      <xdr:rowOff>133350</xdr:rowOff>
    </xdr:from>
    <xdr:ext cx="758926" cy="151836"/>
    <xdr:sp macro="" textlink="">
      <xdr:nvSpPr>
        <xdr:cNvPr id="41" name="Text Box 134"/>
        <xdr:cNvSpPr txBox="1">
          <a:spLocks noChangeArrowheads="1"/>
        </xdr:cNvSpPr>
      </xdr:nvSpPr>
      <xdr:spPr bwMode="auto">
        <a:xfrm>
          <a:off x="5898895" y="6477000"/>
          <a:ext cx="758926" cy="151836"/>
        </a:xfrm>
        <a:prstGeom prst="rect">
          <a:avLst/>
        </a:prstGeom>
        <a:noFill/>
        <a:ln w="9525">
          <a:noFill/>
          <a:miter lim="800000"/>
          <a:headEnd/>
          <a:tailEnd/>
        </a:ln>
      </xdr:spPr>
      <xdr:txBody>
        <a:bodyPr wrap="none" lIns="0" tIns="18288" rIns="27432" bIns="0" anchor="t" upright="1">
          <a:spAutoFit/>
        </a:bodyPr>
        <a:lstStyle/>
        <a:p>
          <a:pPr algn="r" rtl="0">
            <a:defRPr sz="1000"/>
          </a:pP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kg-CO</a:t>
          </a:r>
          <a:r>
            <a:rPr lang="en-US" altLang="ja-JP" sz="800" b="0" i="0" u="none" strike="noStrike" baseline="-25000">
              <a:solidFill>
                <a:srgbClr val="000000"/>
              </a:solidFill>
              <a:latin typeface="ＭＳ Ｐゴシック"/>
              <a:ea typeface="ＭＳ Ｐゴシック"/>
            </a:rPr>
            <a:t>2</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年・㎡）</a:t>
          </a:r>
        </a:p>
      </xdr:txBody>
    </xdr:sp>
    <xdr:clientData/>
  </xdr:oneCellAnchor>
  <xdr:oneCellAnchor>
    <xdr:from>
      <xdr:col>7</xdr:col>
      <xdr:colOff>9525</xdr:colOff>
      <xdr:row>25</xdr:row>
      <xdr:rowOff>76200</xdr:rowOff>
    </xdr:from>
    <xdr:ext cx="3114675" cy="152400"/>
    <xdr:sp macro="" textlink="">
      <xdr:nvSpPr>
        <xdr:cNvPr id="42" name="Text Box 129"/>
        <xdr:cNvSpPr txBox="1">
          <a:spLocks noChangeArrowheads="1"/>
        </xdr:cNvSpPr>
      </xdr:nvSpPr>
      <xdr:spPr bwMode="auto">
        <a:xfrm>
          <a:off x="3371850" y="4400550"/>
          <a:ext cx="3114675" cy="15240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800" b="0" i="0" u="none" strike="noStrike" baseline="0">
              <a:solidFill>
                <a:srgbClr val="000000"/>
              </a:solidFill>
              <a:latin typeface="ＭＳ Ｐゴシック"/>
              <a:ea typeface="ＭＳ Ｐゴシック"/>
            </a:rPr>
            <a:t>30%: </a:t>
          </a:r>
          <a:r>
            <a:rPr lang="en-US" altLang="ja-JP" sz="800" b="0" i="0" u="none" strike="noStrike" baseline="0">
              <a:solidFill>
                <a:srgbClr val="333333"/>
              </a:solidFill>
              <a:latin typeface="ＭＳ Ｐゴシック"/>
              <a:ea typeface="ＭＳ Ｐゴシック"/>
            </a:rPr>
            <a:t>☆☆☆☆☆  60%</a:t>
          </a:r>
          <a:r>
            <a:rPr lang="en-US" altLang="ja-JP" sz="800" b="0" i="0" u="none" strike="noStrike" baseline="0">
              <a:solidFill>
                <a:srgbClr val="000000"/>
              </a:solidFill>
              <a:latin typeface="ＭＳ Ｐゴシック"/>
              <a:ea typeface="ＭＳ Ｐゴシック"/>
            </a:rPr>
            <a:t>: </a:t>
          </a:r>
          <a:r>
            <a:rPr lang="en-US" altLang="ja-JP" sz="800" b="0" i="0" u="none" strike="noStrike" baseline="0">
              <a:solidFill>
                <a:srgbClr val="333333"/>
              </a:solidFill>
              <a:latin typeface="ＭＳ Ｐゴシック"/>
              <a:ea typeface="ＭＳ Ｐゴシック"/>
            </a:rPr>
            <a:t>☆☆☆☆  80%</a:t>
          </a:r>
          <a:r>
            <a:rPr lang="en-US" altLang="ja-JP" sz="800" b="0" i="0" u="none" strike="noStrike" baseline="0">
              <a:solidFill>
                <a:srgbClr val="000000"/>
              </a:solidFill>
              <a:latin typeface="ＭＳ Ｐゴシック"/>
              <a:ea typeface="ＭＳ Ｐゴシック"/>
            </a:rPr>
            <a:t>: ☆☆☆</a:t>
          </a:r>
          <a:r>
            <a:rPr lang="en-US" altLang="ja-JP" sz="800" b="0" i="0" u="none" strike="noStrike" baseline="0">
              <a:solidFill>
                <a:srgbClr val="333333"/>
              </a:solidFill>
              <a:latin typeface="ＭＳ Ｐゴシック"/>
              <a:ea typeface="ＭＳ Ｐゴシック"/>
            </a:rPr>
            <a:t> 100%</a:t>
          </a:r>
          <a:r>
            <a:rPr lang="en-US" altLang="ja-JP" sz="800" b="0" i="0" u="none" strike="noStrike" baseline="0">
              <a:solidFill>
                <a:srgbClr val="000000"/>
              </a:solidFill>
              <a:latin typeface="ＭＳ Ｐゴシック"/>
              <a:ea typeface="ＭＳ Ｐゴシック"/>
            </a:rPr>
            <a:t>: ☆☆</a:t>
          </a:r>
          <a:r>
            <a:rPr lang="en-US" altLang="ja-JP" sz="800" b="0" i="0" u="none" strike="noStrike" baseline="0">
              <a:solidFill>
                <a:srgbClr val="333333"/>
              </a:solidFill>
              <a:latin typeface="ＭＳ Ｐゴシック"/>
              <a:ea typeface="ＭＳ Ｐゴシック"/>
            </a:rPr>
            <a:t>  100%</a:t>
          </a:r>
          <a:r>
            <a:rPr lang="ja-JP" altLang="en-US" sz="800" b="0" i="0" u="none" strike="noStrike" baseline="0">
              <a:solidFill>
                <a:srgbClr val="333333"/>
              </a:solidFill>
              <a:latin typeface="ＭＳ Ｐゴシック"/>
              <a:ea typeface="ＭＳ Ｐゴシック"/>
            </a:rPr>
            <a:t>超</a:t>
          </a:r>
          <a:r>
            <a:rPr lang="en-US" altLang="ja-JP" sz="800" b="0" i="0" u="none" strike="noStrike" baseline="0">
              <a:solidFill>
                <a:srgbClr val="000000"/>
              </a:solidFill>
              <a:latin typeface="ＭＳ Ｐゴシック"/>
              <a:ea typeface="ＭＳ Ｐゴシック"/>
            </a:rPr>
            <a:t>: ☆</a:t>
          </a:r>
        </a:p>
      </xdr:txBody>
    </xdr:sp>
    <xdr:clientData/>
  </xdr:oneCellAnchor>
  <xdr:twoCellAnchor>
    <xdr:from>
      <xdr:col>7</xdr:col>
      <xdr:colOff>419100</xdr:colOff>
      <xdr:row>21</xdr:row>
      <xdr:rowOff>152400</xdr:rowOff>
    </xdr:from>
    <xdr:to>
      <xdr:col>10</xdr:col>
      <xdr:colOff>485775</xdr:colOff>
      <xdr:row>25</xdr:row>
      <xdr:rowOff>104775</xdr:rowOff>
    </xdr:to>
    <xdr:graphicFrame macro="">
      <xdr:nvGraphicFramePr>
        <xdr:cNvPr id="43"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38100</xdr:colOff>
      <xdr:row>27</xdr:row>
      <xdr:rowOff>142875</xdr:rowOff>
    </xdr:from>
    <xdr:to>
      <xdr:col>7</xdr:col>
      <xdr:colOff>942975</xdr:colOff>
      <xdr:row>28</xdr:row>
      <xdr:rowOff>180975</xdr:rowOff>
    </xdr:to>
    <xdr:sp macro="" textlink="">
      <xdr:nvSpPr>
        <xdr:cNvPr id="44" name="Text Box 131"/>
        <xdr:cNvSpPr txBox="1">
          <a:spLocks noChangeArrowheads="1"/>
        </xdr:cNvSpPr>
      </xdr:nvSpPr>
      <xdr:spPr bwMode="auto">
        <a:xfrm>
          <a:off x="3400425" y="4962525"/>
          <a:ext cx="904875" cy="2286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u="none" strike="noStrike" baseline="0">
              <a:solidFill>
                <a:srgbClr val="000000"/>
              </a:solidFill>
              <a:latin typeface="ＭＳ ゴシック"/>
              <a:ea typeface="ＭＳ ゴシック"/>
            </a:rPr>
            <a:t>①参照値</a:t>
          </a:r>
        </a:p>
      </xdr:txBody>
    </xdr:sp>
    <xdr:clientData/>
  </xdr:twoCellAnchor>
  <xdr:twoCellAnchor>
    <xdr:from>
      <xdr:col>7</xdr:col>
      <xdr:colOff>28575</xdr:colOff>
      <xdr:row>29</xdr:row>
      <xdr:rowOff>66675</xdr:rowOff>
    </xdr:from>
    <xdr:to>
      <xdr:col>8</xdr:col>
      <xdr:colOff>28575</xdr:colOff>
      <xdr:row>30</xdr:row>
      <xdr:rowOff>104775</xdr:rowOff>
    </xdr:to>
    <xdr:sp macro="" textlink="">
      <xdr:nvSpPr>
        <xdr:cNvPr id="45" name="Text Box 131"/>
        <xdr:cNvSpPr txBox="1">
          <a:spLocks noChangeArrowheads="1"/>
        </xdr:cNvSpPr>
      </xdr:nvSpPr>
      <xdr:spPr bwMode="auto">
        <a:xfrm>
          <a:off x="3390900" y="5267325"/>
          <a:ext cx="981075" cy="2286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u="none" strike="noStrike" baseline="0">
              <a:solidFill>
                <a:srgbClr val="000000"/>
              </a:solidFill>
              <a:latin typeface="ＭＳ ゴシック"/>
              <a:ea typeface="ＭＳ ゴシック"/>
            </a:rPr>
            <a:t>②建築物の取組み</a:t>
          </a:r>
        </a:p>
      </xdr:txBody>
    </xdr:sp>
    <xdr:clientData/>
  </xdr:twoCellAnchor>
  <xdr:twoCellAnchor>
    <xdr:from>
      <xdr:col>7</xdr:col>
      <xdr:colOff>19050</xdr:colOff>
      <xdr:row>30</xdr:row>
      <xdr:rowOff>142875</xdr:rowOff>
    </xdr:from>
    <xdr:to>
      <xdr:col>8</xdr:col>
      <xdr:colOff>19050</xdr:colOff>
      <xdr:row>32</xdr:row>
      <xdr:rowOff>57150</xdr:rowOff>
    </xdr:to>
    <xdr:sp macro="" textlink="">
      <xdr:nvSpPr>
        <xdr:cNvPr id="46" name="Text Box 131"/>
        <xdr:cNvSpPr txBox="1">
          <a:spLocks noChangeArrowheads="1"/>
        </xdr:cNvSpPr>
      </xdr:nvSpPr>
      <xdr:spPr bwMode="auto">
        <a:xfrm>
          <a:off x="3381375" y="5534025"/>
          <a:ext cx="981075" cy="295275"/>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u="none" strike="noStrike" baseline="0">
              <a:solidFill>
                <a:srgbClr val="000000"/>
              </a:solidFill>
              <a:latin typeface="ＭＳ ゴシック"/>
              <a:ea typeface="ＭＳ ゴシック"/>
            </a:rPr>
            <a:t>③上記</a:t>
          </a:r>
          <a:r>
            <a:rPr lang="en-US" altLang="ja-JP" sz="800" b="0" i="0" u="none" strike="noStrike" baseline="0">
              <a:solidFill>
                <a:srgbClr val="000000"/>
              </a:solidFill>
              <a:latin typeface="ＭＳ ゴシック"/>
              <a:ea typeface="ＭＳ ゴシック"/>
            </a:rPr>
            <a:t>+②</a:t>
          </a:r>
          <a:r>
            <a:rPr lang="ja-JP" altLang="en-US" sz="800" b="0" i="0" u="none" strike="noStrike" baseline="0">
              <a:solidFill>
                <a:srgbClr val="000000"/>
              </a:solidFill>
              <a:latin typeface="ＭＳ ゴシック"/>
              <a:ea typeface="ＭＳ ゴシック"/>
            </a:rPr>
            <a:t>以外の</a:t>
          </a:r>
        </a:p>
        <a:p>
          <a:pPr algn="l" rtl="0">
            <a:defRPr sz="1000"/>
          </a:pPr>
          <a:r>
            <a:rPr lang="ja-JP" altLang="en-US" sz="800" b="0" i="0" u="none" strike="noStrike" baseline="0">
              <a:solidFill>
                <a:srgbClr val="000000"/>
              </a:solidFill>
              <a:latin typeface="ＭＳ ゴシック"/>
              <a:ea typeface="ＭＳ ゴシック"/>
            </a:rPr>
            <a:t>　オンサイト手法</a:t>
          </a:r>
        </a:p>
      </xdr:txBody>
    </xdr:sp>
    <xdr:clientData/>
  </xdr:twoCellAnchor>
  <xdr:twoCellAnchor>
    <xdr:from>
      <xdr:col>7</xdr:col>
      <xdr:colOff>809625</xdr:colOff>
      <xdr:row>26</xdr:row>
      <xdr:rowOff>95250</xdr:rowOff>
    </xdr:from>
    <xdr:to>
      <xdr:col>10</xdr:col>
      <xdr:colOff>838200</xdr:colOff>
      <xdr:row>35</xdr:row>
      <xdr:rowOff>133350</xdr:rowOff>
    </xdr:to>
    <xdr:graphicFrame macro="">
      <xdr:nvGraphicFramePr>
        <xdr:cNvPr id="47"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819150</xdr:colOff>
      <xdr:row>2</xdr:row>
      <xdr:rowOff>200025</xdr:rowOff>
    </xdr:from>
    <xdr:to>
      <xdr:col>15</xdr:col>
      <xdr:colOff>0</xdr:colOff>
      <xdr:row>3</xdr:row>
      <xdr:rowOff>190500</xdr:rowOff>
    </xdr:to>
    <xdr:sp macro="" textlink="">
      <xdr:nvSpPr>
        <xdr:cNvPr id="48" name="WordArt 68"/>
        <xdr:cNvSpPr>
          <a:spLocks noChangeArrowheads="1" noChangeShapeType="1" noTextEdit="1"/>
        </xdr:cNvSpPr>
      </xdr:nvSpPr>
      <xdr:spPr bwMode="auto">
        <a:xfrm>
          <a:off x="9258300" y="514350"/>
          <a:ext cx="914400" cy="228600"/>
        </a:xfrm>
        <a:prstGeom prst="rect">
          <a:avLst/>
        </a:prstGeom>
      </xdr:spPr>
      <xdr:txBody>
        <a:bodyPr wrap="none" fromWordArt="1">
          <a:prstTxWarp prst="textPlain">
            <a:avLst>
              <a:gd name="adj" fmla="val 50000"/>
            </a:avLst>
          </a:prstTxWarp>
        </a:bodyPr>
        <a:lstStyle/>
        <a:p>
          <a:pPr algn="ctr" rtl="0"/>
          <a:r>
            <a:rPr lang="ja-JP" altLang="en-US" sz="1800" kern="10" spc="0">
              <a:ln w="9525">
                <a:noFill/>
                <a:round/>
                <a:headEnd/>
                <a:tailEnd/>
              </a:ln>
              <a:solidFill>
                <a:srgbClr val="000000"/>
              </a:solidFill>
              <a:effectLst/>
              <a:latin typeface="ＭＳ Ｐゴシック"/>
              <a:ea typeface="ＭＳ Ｐゴシック"/>
            </a:rPr>
            <a:t>（改修前）</a:t>
          </a:r>
        </a:p>
      </xdr:txBody>
    </xdr:sp>
    <xdr:clientData/>
  </xdr:twoCellAnchor>
  <xdr:twoCellAnchor>
    <xdr:from>
      <xdr:col>7</xdr:col>
      <xdr:colOff>9525</xdr:colOff>
      <xdr:row>32</xdr:row>
      <xdr:rowOff>95250</xdr:rowOff>
    </xdr:from>
    <xdr:to>
      <xdr:col>8</xdr:col>
      <xdr:colOff>314325</xdr:colOff>
      <xdr:row>34</xdr:row>
      <xdr:rowOff>9525</xdr:rowOff>
    </xdr:to>
    <xdr:sp macro="" textlink="">
      <xdr:nvSpPr>
        <xdr:cNvPr id="49" name="Text Box 49"/>
        <xdr:cNvSpPr txBox="1">
          <a:spLocks noChangeArrowheads="1"/>
        </xdr:cNvSpPr>
      </xdr:nvSpPr>
      <xdr:spPr bwMode="auto">
        <a:xfrm>
          <a:off x="3371850" y="5867400"/>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editAs="oneCell">
    <xdr:from>
      <xdr:col>12</xdr:col>
      <xdr:colOff>723900</xdr:colOff>
      <xdr:row>2</xdr:row>
      <xdr:rowOff>9525</xdr:rowOff>
    </xdr:from>
    <xdr:to>
      <xdr:col>13</xdr:col>
      <xdr:colOff>704850</xdr:colOff>
      <xdr:row>3</xdr:row>
      <xdr:rowOff>200025</xdr:rowOff>
    </xdr:to>
    <xdr:pic>
      <xdr:nvPicPr>
        <xdr:cNvPr id="50" name="Picture 77" descr="LOGO5"/>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8258175" y="323850"/>
          <a:ext cx="885825" cy="428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0</xdr:colOff>
      <xdr:row>1</xdr:row>
      <xdr:rowOff>209550</xdr:rowOff>
    </xdr:from>
    <xdr:to>
      <xdr:col>4</xdr:col>
      <xdr:colOff>704850</xdr:colOff>
      <xdr:row>4</xdr:row>
      <xdr:rowOff>76200</xdr:rowOff>
    </xdr:to>
    <xdr:pic>
      <xdr:nvPicPr>
        <xdr:cNvPr id="51" name="Picture 78" descr="LOGO8"/>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57150" y="285750"/>
          <a:ext cx="2295525" cy="581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85725</xdr:colOff>
      <xdr:row>2</xdr:row>
      <xdr:rowOff>9525</xdr:rowOff>
    </xdr:from>
    <xdr:to>
      <xdr:col>12</xdr:col>
      <xdr:colOff>476250</xdr:colOff>
      <xdr:row>3</xdr:row>
      <xdr:rowOff>200025</xdr:rowOff>
    </xdr:to>
    <xdr:pic>
      <xdr:nvPicPr>
        <xdr:cNvPr id="52" name="Picture 79" descr="LOGO2"/>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2476500" y="323850"/>
          <a:ext cx="5534025" cy="428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228600</xdr:colOff>
      <xdr:row>22</xdr:row>
      <xdr:rowOff>57150</xdr:rowOff>
    </xdr:from>
    <xdr:to>
      <xdr:col>6</xdr:col>
      <xdr:colOff>247650</xdr:colOff>
      <xdr:row>24</xdr:row>
      <xdr:rowOff>9525</xdr:rowOff>
    </xdr:to>
    <xdr:sp macro="" textlink="$G$23">
      <xdr:nvSpPr>
        <xdr:cNvPr id="53" name="Text Box 80"/>
        <xdr:cNvSpPr txBox="1">
          <a:spLocks noChangeArrowheads="1" noTextEdit="1"/>
        </xdr:cNvSpPr>
      </xdr:nvSpPr>
      <xdr:spPr bwMode="auto">
        <a:xfrm>
          <a:off x="2619375" y="3810000"/>
          <a:ext cx="495300" cy="333375"/>
        </a:xfrm>
        <a:prstGeom prst="rect">
          <a:avLst/>
        </a:prstGeom>
        <a:noFill/>
        <a:ln w="9525">
          <a:noFill/>
          <a:miter lim="800000"/>
          <a:headEnd/>
          <a:tailEnd/>
        </a:ln>
      </xdr:spPr>
      <xdr:txBody>
        <a:bodyPr vertOverflow="clip" wrap="square" lIns="45720" tIns="41148" rIns="0" bIns="0" anchor="t" upright="1"/>
        <a:lstStyle/>
        <a:p>
          <a:pPr algn="l" rtl="0">
            <a:defRPr sz="1000"/>
          </a:pPr>
          <a:fld id="{9F2F2AF3-A860-4DAF-8E04-F8D3A6640662}" type="TxLink">
            <a:rPr lang="en-US" altLang="ja-JP" sz="2000" b="1" i="0" u="none" strike="noStrike" baseline="0">
              <a:solidFill>
                <a:srgbClr val="FF0000"/>
              </a:solidFill>
              <a:latin typeface="Arial"/>
              <a:ea typeface="ＭＳ Ｐゴシック"/>
              <a:cs typeface="Arial"/>
            </a:rPr>
            <a:pPr algn="l" rtl="0">
              <a:defRPr sz="1000"/>
            </a:pPr>
            <a:t>#VALUE!</a:t>
          </a:fld>
          <a:endParaRPr lang="en-US" altLang="ja-JP" sz="2000" b="1" i="0" u="none" strike="noStrike" baseline="0">
            <a:solidFill>
              <a:srgbClr val="FF0000"/>
            </a:solidFill>
            <a:latin typeface="Arial"/>
            <a:cs typeface="Arial"/>
          </a:endParaRPr>
        </a:p>
      </xdr:txBody>
    </xdr:sp>
    <xdr:clientData/>
  </xdr:twoCellAnchor>
  <xdr:twoCellAnchor>
    <xdr:from>
      <xdr:col>11</xdr:col>
      <xdr:colOff>0</xdr:colOff>
      <xdr:row>7</xdr:row>
      <xdr:rowOff>9525</xdr:rowOff>
    </xdr:from>
    <xdr:to>
      <xdr:col>14</xdr:col>
      <xdr:colOff>847725</xdr:colOff>
      <xdr:row>14</xdr:row>
      <xdr:rowOff>247650</xdr:rowOff>
    </xdr:to>
    <xdr:sp macro="" textlink="">
      <xdr:nvSpPr>
        <xdr:cNvPr id="54" name="Rectangle 83"/>
        <xdr:cNvSpPr>
          <a:spLocks noChangeArrowheads="1"/>
        </xdr:cNvSpPr>
      </xdr:nvSpPr>
      <xdr:spPr bwMode="auto">
        <a:xfrm>
          <a:off x="6715125" y="1276350"/>
          <a:ext cx="3438525" cy="2105025"/>
        </a:xfrm>
        <a:prstGeom prst="rect">
          <a:avLst/>
        </a:prstGeom>
        <a:noFill/>
        <a:ln w="25400">
          <a:solidFill>
            <a:srgbClr val="000000"/>
          </a:solidFill>
          <a:miter lim="800000"/>
          <a:headEnd/>
          <a:tailEnd/>
        </a:ln>
        <a:extLst>
          <a:ext uri="{909E8E84-426E-40DD-AFC4-6F175D3DCCD1}">
            <a14:hiddenFill xmlns:a14="http://schemas.microsoft.com/office/drawing/2010/main" xmlns="">
              <a:solidFill>
                <a:srgbClr val="FFFFFF"/>
              </a:solidFill>
            </a14:hiddenFill>
          </a:ext>
        </a:extLst>
      </xdr:spPr>
    </xdr:sp>
    <xdr:clientData/>
  </xdr:twoCellAnchor>
</xdr:wsDr>
</file>

<file path=xl/drawings/drawing13.xml><?xml version="1.0" encoding="utf-8"?>
<c:userShapes xmlns:c="http://schemas.openxmlformats.org/drawingml/2006/chart">
  <cdr:relSizeAnchor xmlns:cdr="http://schemas.openxmlformats.org/drawingml/2006/chartDrawing">
    <cdr:from>
      <cdr:x>0.12875</cdr:x>
      <cdr:y>0.66253</cdr:y>
    </cdr:from>
    <cdr:to>
      <cdr:x>0.29935</cdr:x>
      <cdr:y>0.79895</cdr:y>
    </cdr:to>
    <cdr:sp macro="" textlink="#REF!">
      <cdr:nvSpPr>
        <cdr:cNvPr id="16385" name="Text Box 1"/>
        <cdr:cNvSpPr txBox="1">
          <a:spLocks xmlns:a="http://schemas.openxmlformats.org/drawingml/2006/main" noChangeArrowheads="1" noTextEdit="1"/>
        </cdr:cNvSpPr>
      </cdr:nvSpPr>
      <cdr:spPr bwMode="auto">
        <a:xfrm xmlns:a="http://schemas.openxmlformats.org/drawingml/2006/main">
          <a:off x="402958" y="1069663"/>
          <a:ext cx="529743" cy="2195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5F732504-DD0F-4937-9929-A9C22D53633F}" type="TxLink">
            <a:rPr lang="ja-JP" altLang="en-US" sz="1100" b="0" i="0" u="none" strike="noStrike">
              <a:solidFill>
                <a:srgbClr val="000000"/>
              </a:solidFill>
              <a:latin typeface="Arial"/>
              <a:ea typeface="ＭＳ Ｐゴシック"/>
              <a:cs typeface="Arial"/>
            </a:rPr>
            <a:pPr/>
            <a:t>#VALUE!</a:t>
          </a:fld>
          <a:endParaRPr lang="ja-JP" altLang="en-US"/>
        </a:p>
      </cdr:txBody>
    </cdr:sp>
  </cdr:relSizeAnchor>
  <cdr:relSizeAnchor xmlns:cdr="http://schemas.openxmlformats.org/drawingml/2006/chartDrawing">
    <cdr:from>
      <cdr:x>0.43772</cdr:x>
      <cdr:y>0.63313</cdr:y>
    </cdr:from>
    <cdr:to>
      <cdr:x>0.6122</cdr:x>
      <cdr:y>0.76955</cdr:y>
    </cdr:to>
    <cdr:sp macro="" textlink="#REF!">
      <cdr:nvSpPr>
        <cdr:cNvPr id="16386" name="Text Box 2"/>
        <cdr:cNvSpPr txBox="1">
          <a:spLocks xmlns:a="http://schemas.openxmlformats.org/drawingml/2006/main" noChangeArrowheads="1" noTextEdit="1"/>
        </cdr:cNvSpPr>
      </cdr:nvSpPr>
      <cdr:spPr bwMode="auto">
        <a:xfrm xmlns:a="http://schemas.openxmlformats.org/drawingml/2006/main">
          <a:off x="1362364" y="1022336"/>
          <a:ext cx="541782" cy="2195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BE17EF6D-B4E2-492F-8313-250817D836FA}"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0.74063</cdr:x>
      <cdr:y>0.63313</cdr:y>
    </cdr:from>
    <cdr:to>
      <cdr:x>0.9139</cdr:x>
      <cdr:y>0.76955</cdr:y>
    </cdr:to>
    <cdr:sp macro="" textlink="#REF!">
      <cdr:nvSpPr>
        <cdr:cNvPr id="16387" name="Text Box 3"/>
        <cdr:cNvSpPr txBox="1">
          <a:spLocks xmlns:a="http://schemas.openxmlformats.org/drawingml/2006/main" noChangeArrowheads="1" noTextEdit="1"/>
        </cdr:cNvSpPr>
      </cdr:nvSpPr>
      <cdr:spPr bwMode="auto">
        <a:xfrm xmlns:a="http://schemas.openxmlformats.org/drawingml/2006/main">
          <a:off x="2302958" y="1022336"/>
          <a:ext cx="538019" cy="2195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8A632AFE-ECE4-48A6-92D6-24041FE2F09C}"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0.06453</cdr:x>
      <cdr:y>0.44543</cdr:y>
    </cdr:from>
    <cdr:to>
      <cdr:x>0.98175</cdr:x>
      <cdr:y>0.44543</cdr:y>
    </cdr:to>
    <cdr:sp macro="" textlink="">
      <cdr:nvSpPr>
        <cdr:cNvPr id="16388" name="Line 4"/>
        <cdr:cNvSpPr>
          <a:spLocks xmlns:a="http://schemas.openxmlformats.org/drawingml/2006/main" noChangeShapeType="1"/>
        </cdr:cNvSpPr>
      </cdr:nvSpPr>
      <cdr:spPr bwMode="auto">
        <a:xfrm xmlns:a="http://schemas.openxmlformats.org/drawingml/2006/main">
          <a:off x="203552" y="720198"/>
          <a:ext cx="2848118"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4.xml><?xml version="1.0" encoding="utf-8"?>
<c:userShapes xmlns:c="http://schemas.openxmlformats.org/drawingml/2006/chart">
  <cdr:relSizeAnchor xmlns:cdr="http://schemas.openxmlformats.org/drawingml/2006/chartDrawing">
    <cdr:from>
      <cdr:x>0.14065</cdr:x>
      <cdr:y>0.63506</cdr:y>
    </cdr:from>
    <cdr:to>
      <cdr:x>0.30762</cdr:x>
      <cdr:y>0.77035</cdr:y>
    </cdr:to>
    <cdr:sp macro="" textlink="#REF!">
      <cdr:nvSpPr>
        <cdr:cNvPr id="17409" name="Text Box 1"/>
        <cdr:cNvSpPr txBox="1">
          <a:spLocks xmlns:a="http://schemas.openxmlformats.org/drawingml/2006/main" noChangeArrowheads="1" noTextEdit="1"/>
        </cdr:cNvSpPr>
      </cdr:nvSpPr>
      <cdr:spPr bwMode="auto">
        <a:xfrm xmlns:a="http://schemas.openxmlformats.org/drawingml/2006/main">
          <a:off x="421156" y="1031494"/>
          <a:ext cx="496205" cy="2190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25D8FFD1-8890-4C78-A95C-2DD58B54ABA5}"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0.43539</cdr:x>
      <cdr:y>0.63506</cdr:y>
    </cdr:from>
    <cdr:to>
      <cdr:x>0.60599</cdr:x>
      <cdr:y>0.77035</cdr:y>
    </cdr:to>
    <cdr:sp macro="" textlink="#REF!">
      <cdr:nvSpPr>
        <cdr:cNvPr id="17410" name="Text Box 2"/>
        <cdr:cNvSpPr txBox="1">
          <a:spLocks xmlns:a="http://schemas.openxmlformats.org/drawingml/2006/main" noChangeArrowheads="1" noTextEdit="1"/>
        </cdr:cNvSpPr>
      </cdr:nvSpPr>
      <cdr:spPr bwMode="auto">
        <a:xfrm xmlns:a="http://schemas.openxmlformats.org/drawingml/2006/main">
          <a:off x="1297065" y="1031494"/>
          <a:ext cx="506992" cy="2190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BCF31440-408C-4C1A-96DF-17D43980182E}"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0.74392</cdr:x>
      <cdr:y>0.63506</cdr:y>
    </cdr:from>
    <cdr:to>
      <cdr:x>0.90702</cdr:x>
      <cdr:y>0.77035</cdr:y>
    </cdr:to>
    <cdr:sp macro="" textlink="#REF!">
      <cdr:nvSpPr>
        <cdr:cNvPr id="17411" name="Text Box 3"/>
        <cdr:cNvSpPr txBox="1">
          <a:spLocks xmlns:a="http://schemas.openxmlformats.org/drawingml/2006/main" noChangeArrowheads="1" noTextEdit="1"/>
        </cdr:cNvSpPr>
      </cdr:nvSpPr>
      <cdr:spPr bwMode="auto">
        <a:xfrm xmlns:a="http://schemas.openxmlformats.org/drawingml/2006/main">
          <a:off x="2213966" y="1031494"/>
          <a:ext cx="484698" cy="2190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8E655EEE-467E-4EF5-94A5-53CACF34CDC5}"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0.07362</cdr:x>
      <cdr:y>0.44847</cdr:y>
    </cdr:from>
    <cdr:to>
      <cdr:x>0.97889</cdr:x>
      <cdr:y>0.44847</cdr:y>
    </cdr:to>
    <cdr:sp macro="" textlink="">
      <cdr:nvSpPr>
        <cdr:cNvPr id="17412" name="Line 4"/>
        <cdr:cNvSpPr>
          <a:spLocks xmlns:a="http://schemas.openxmlformats.org/drawingml/2006/main" noChangeShapeType="1"/>
        </cdr:cNvSpPr>
      </cdr:nvSpPr>
      <cdr:spPr bwMode="auto">
        <a:xfrm xmlns:a="http://schemas.openxmlformats.org/drawingml/2006/main">
          <a:off x="221955" y="729361"/>
          <a:ext cx="269029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5.xml><?xml version="1.0" encoding="utf-8"?>
<c:userShapes xmlns:c="http://schemas.openxmlformats.org/drawingml/2006/chart">
  <cdr:relSizeAnchor xmlns:cdr="http://schemas.openxmlformats.org/drawingml/2006/chartDrawing">
    <cdr:from>
      <cdr:x>0.09963</cdr:x>
      <cdr:y>0.63158</cdr:y>
    </cdr:from>
    <cdr:to>
      <cdr:x>0.25347</cdr:x>
      <cdr:y>0.76598</cdr:y>
    </cdr:to>
    <cdr:sp macro="" textlink="#REF!">
      <cdr:nvSpPr>
        <cdr:cNvPr id="18433" name="Text Box 1"/>
        <cdr:cNvSpPr txBox="1">
          <a:spLocks xmlns:a="http://schemas.openxmlformats.org/drawingml/2006/main" noChangeArrowheads="1" noTextEdit="1"/>
        </cdr:cNvSpPr>
      </cdr:nvSpPr>
      <cdr:spPr bwMode="auto">
        <a:xfrm xmlns:a="http://schemas.openxmlformats.org/drawingml/2006/main">
          <a:off x="325834" y="1031873"/>
          <a:ext cx="498206" cy="2189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BC6B73DF-5140-45C9-B235-34428E2BABFE}"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0.32602</cdr:x>
      <cdr:y>0.63158</cdr:y>
    </cdr:from>
    <cdr:to>
      <cdr:x>0.48253</cdr:x>
      <cdr:y>0.76598</cdr:y>
    </cdr:to>
    <cdr:sp macro="" textlink="#REF!">
      <cdr:nvSpPr>
        <cdr:cNvPr id="18434" name="Text Box 2"/>
        <cdr:cNvSpPr txBox="1">
          <a:spLocks xmlns:a="http://schemas.openxmlformats.org/drawingml/2006/main" noChangeArrowheads="1" noTextEdit="1"/>
        </cdr:cNvSpPr>
      </cdr:nvSpPr>
      <cdr:spPr bwMode="auto">
        <a:xfrm xmlns:a="http://schemas.openxmlformats.org/drawingml/2006/main">
          <a:off x="1058997" y="1031873"/>
          <a:ext cx="506850" cy="2189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61ED2979-17B2-42C9-9E42-4B51DC26D7FD}"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0.55896</cdr:x>
      <cdr:y>0.63158</cdr:y>
    </cdr:from>
    <cdr:to>
      <cdr:x>0.71474</cdr:x>
      <cdr:y>0.76598</cdr:y>
    </cdr:to>
    <cdr:sp macro="" textlink="#REF!">
      <cdr:nvSpPr>
        <cdr:cNvPr id="18435" name="Text Box 3"/>
        <cdr:cNvSpPr txBox="1">
          <a:spLocks xmlns:a="http://schemas.openxmlformats.org/drawingml/2006/main" noChangeArrowheads="1" noTextEdit="1"/>
        </cdr:cNvSpPr>
      </cdr:nvSpPr>
      <cdr:spPr bwMode="auto">
        <a:xfrm xmlns:a="http://schemas.openxmlformats.org/drawingml/2006/main">
          <a:off x="1813377" y="1031873"/>
          <a:ext cx="504492" cy="2189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E03824F3-D41F-4266-A7D8-DC2BEAB4CC51}"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0.79093</cdr:x>
      <cdr:y>0.63158</cdr:y>
    </cdr:from>
    <cdr:to>
      <cdr:x>0.95035</cdr:x>
      <cdr:y>0.76598</cdr:y>
    </cdr:to>
    <cdr:sp macro="" textlink="#REF!">
      <cdr:nvSpPr>
        <cdr:cNvPr id="18436" name="Text Box 4"/>
        <cdr:cNvSpPr txBox="1">
          <a:spLocks xmlns:a="http://schemas.openxmlformats.org/drawingml/2006/main" noChangeArrowheads="1" noTextEdit="1"/>
        </cdr:cNvSpPr>
      </cdr:nvSpPr>
      <cdr:spPr bwMode="auto">
        <a:xfrm xmlns:a="http://schemas.openxmlformats.org/drawingml/2006/main">
          <a:off x="2564614" y="1031873"/>
          <a:ext cx="516279" cy="2189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A879C79D-3541-4805-8332-7A8DEB8A50FC}"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0.06469</cdr:x>
      <cdr:y>0.44163</cdr:y>
    </cdr:from>
    <cdr:to>
      <cdr:x>0.98529</cdr:x>
      <cdr:y>0.44163</cdr:y>
    </cdr:to>
    <cdr:sp macro="" textlink="">
      <cdr:nvSpPr>
        <cdr:cNvPr id="18437" name="Line 5"/>
        <cdr:cNvSpPr>
          <a:spLocks xmlns:a="http://schemas.openxmlformats.org/drawingml/2006/main" noChangeShapeType="1"/>
        </cdr:cNvSpPr>
      </cdr:nvSpPr>
      <cdr:spPr bwMode="auto">
        <a:xfrm xmlns:a="http://schemas.openxmlformats.org/drawingml/2006/main" flipV="1">
          <a:off x="212677" y="722484"/>
          <a:ext cx="298137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6.xml><?xml version="1.0" encoding="utf-8"?>
<c:userShapes xmlns:c="http://schemas.openxmlformats.org/drawingml/2006/chart">
  <cdr:relSizeAnchor xmlns:cdr="http://schemas.openxmlformats.org/drawingml/2006/chartDrawing">
    <cdr:from>
      <cdr:x>0.11226</cdr:x>
      <cdr:y>0.62974</cdr:y>
    </cdr:from>
    <cdr:to>
      <cdr:x>0.25381</cdr:x>
      <cdr:y>0.76652</cdr:y>
    </cdr:to>
    <cdr:sp macro="" textlink="#REF!">
      <cdr:nvSpPr>
        <cdr:cNvPr id="19457" name="Text Box 1"/>
        <cdr:cNvSpPr txBox="1">
          <a:spLocks xmlns:a="http://schemas.openxmlformats.org/drawingml/2006/main" noChangeArrowheads="1" noTextEdit="1"/>
        </cdr:cNvSpPr>
      </cdr:nvSpPr>
      <cdr:spPr bwMode="auto">
        <a:xfrm xmlns:a="http://schemas.openxmlformats.org/drawingml/2006/main">
          <a:off x="374200" y="1004881"/>
          <a:ext cx="467847" cy="2175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C774C4F5-5CE5-447D-B409-FEA6C6D97974}"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0.33951</cdr:x>
      <cdr:y>0.62974</cdr:y>
    </cdr:from>
    <cdr:to>
      <cdr:x>0.48665</cdr:x>
      <cdr:y>0.76652</cdr:y>
    </cdr:to>
    <cdr:sp macro="" textlink="#REF!">
      <cdr:nvSpPr>
        <cdr:cNvPr id="19458" name="Text Box 2"/>
        <cdr:cNvSpPr txBox="1">
          <a:spLocks xmlns:a="http://schemas.openxmlformats.org/drawingml/2006/main" noChangeArrowheads="1" noTextEdit="1"/>
        </cdr:cNvSpPr>
      </cdr:nvSpPr>
      <cdr:spPr bwMode="auto">
        <a:xfrm xmlns:a="http://schemas.openxmlformats.org/drawingml/2006/main">
          <a:off x="1125322" y="1004881"/>
          <a:ext cx="486304" cy="2175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A539276F-A4EE-4DD7-9F1B-C02C0B1E7966}"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0.5624</cdr:x>
      <cdr:y>0.62974</cdr:y>
    </cdr:from>
    <cdr:to>
      <cdr:x>0.72022</cdr:x>
      <cdr:y>0.76652</cdr:y>
    </cdr:to>
    <cdr:sp macro="" textlink="#REF!">
      <cdr:nvSpPr>
        <cdr:cNvPr id="19459" name="Text Box 3"/>
        <cdr:cNvSpPr txBox="1">
          <a:spLocks xmlns:a="http://schemas.openxmlformats.org/drawingml/2006/main" noChangeArrowheads="1" noTextEdit="1"/>
        </cdr:cNvSpPr>
      </cdr:nvSpPr>
      <cdr:spPr bwMode="auto">
        <a:xfrm xmlns:a="http://schemas.openxmlformats.org/drawingml/2006/main">
          <a:off x="1862000" y="1004881"/>
          <a:ext cx="521613" cy="2175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2935A4C8-EB3E-467E-A976-D4336C6F16E8}"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0.79233</cdr:x>
      <cdr:y>0.62974</cdr:y>
    </cdr:from>
    <cdr:to>
      <cdr:x>0.93388</cdr:x>
      <cdr:y>0.76652</cdr:y>
    </cdr:to>
    <cdr:sp macro="" textlink="#REF!">
      <cdr:nvSpPr>
        <cdr:cNvPr id="19460" name="Text Box 4"/>
        <cdr:cNvSpPr txBox="1">
          <a:spLocks xmlns:a="http://schemas.openxmlformats.org/drawingml/2006/main" noChangeArrowheads="1" noTextEdit="1"/>
        </cdr:cNvSpPr>
      </cdr:nvSpPr>
      <cdr:spPr bwMode="auto">
        <a:xfrm xmlns:a="http://schemas.openxmlformats.org/drawingml/2006/main">
          <a:off x="2621950" y="1004881"/>
          <a:ext cx="467846" cy="2175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BB117ED0-7EF4-40CF-948C-B225FE8B73A3}"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0.07948</cdr:x>
      <cdr:y>0.44007</cdr:y>
    </cdr:from>
    <cdr:to>
      <cdr:x>0.98098</cdr:x>
      <cdr:y>0.44007</cdr:y>
    </cdr:to>
    <cdr:sp macro="" textlink="">
      <cdr:nvSpPr>
        <cdr:cNvPr id="19461"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7.xml><?xml version="1.0" encoding="utf-8"?>
<c:userShapes xmlns:c="http://schemas.openxmlformats.org/drawingml/2006/chart">
  <cdr:relSizeAnchor xmlns:cdr="http://schemas.openxmlformats.org/drawingml/2006/chartDrawing">
    <cdr:from>
      <cdr:x>0.13062</cdr:x>
      <cdr:y>0.62062</cdr:y>
    </cdr:from>
    <cdr:to>
      <cdr:x>0.29422</cdr:x>
      <cdr:y>0.75628</cdr:y>
    </cdr:to>
    <cdr:sp macro="" textlink="#REF!">
      <cdr:nvSpPr>
        <cdr:cNvPr id="20481" name="Text Box 1"/>
        <cdr:cNvSpPr txBox="1">
          <a:spLocks xmlns:a="http://schemas.openxmlformats.org/drawingml/2006/main" noChangeArrowheads="1" noTextEdit="1"/>
        </cdr:cNvSpPr>
      </cdr:nvSpPr>
      <cdr:spPr bwMode="auto">
        <a:xfrm xmlns:a="http://schemas.openxmlformats.org/drawingml/2006/main">
          <a:off x="411245" y="996285"/>
          <a:ext cx="511135" cy="217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ACC23D13-6B07-440A-9F35-FD9A5416E6E1}"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0.43771</cdr:x>
      <cdr:y>0.62062</cdr:y>
    </cdr:from>
    <cdr:to>
      <cdr:x>0.59501</cdr:x>
      <cdr:y>0.75628</cdr:y>
    </cdr:to>
    <cdr:sp macro="" textlink="#REF!">
      <cdr:nvSpPr>
        <cdr:cNvPr id="20482" name="Text Box 2"/>
        <cdr:cNvSpPr txBox="1">
          <a:spLocks xmlns:a="http://schemas.openxmlformats.org/drawingml/2006/main" noChangeArrowheads="1" noTextEdit="1"/>
        </cdr:cNvSpPr>
      </cdr:nvSpPr>
      <cdr:spPr bwMode="auto">
        <a:xfrm xmlns:a="http://schemas.openxmlformats.org/drawingml/2006/main">
          <a:off x="1370665" y="996285"/>
          <a:ext cx="491447" cy="217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2FC78788-9B59-4133-8BA2-AC7FBA815761}"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0.7322</cdr:x>
      <cdr:y>0.63849</cdr:y>
    </cdr:from>
    <cdr:to>
      <cdr:x>0.91471</cdr:x>
      <cdr:y>0.77415</cdr:y>
    </cdr:to>
    <cdr:sp macro="" textlink="#REF!">
      <cdr:nvSpPr>
        <cdr:cNvPr id="20483" name="Text Box 3"/>
        <cdr:cNvSpPr txBox="1">
          <a:spLocks xmlns:a="http://schemas.openxmlformats.org/drawingml/2006/main" noChangeArrowheads="1" noTextEdit="1"/>
        </cdr:cNvSpPr>
      </cdr:nvSpPr>
      <cdr:spPr bwMode="auto">
        <a:xfrm xmlns:a="http://schemas.openxmlformats.org/drawingml/2006/main">
          <a:off x="2290709" y="1024879"/>
          <a:ext cx="570199" cy="217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A69056F1-95D4-4764-9553-337BAF408134}"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0.06711</cdr:x>
      <cdr:y>0.44051</cdr:y>
    </cdr:from>
    <cdr:to>
      <cdr:x>0.97555</cdr:x>
      <cdr:y>0.44051</cdr:y>
    </cdr:to>
    <cdr:sp macro="" textlink="">
      <cdr:nvSpPr>
        <cdr:cNvPr id="20484" name="Line 4"/>
        <cdr:cNvSpPr>
          <a:spLocks xmlns:a="http://schemas.openxmlformats.org/drawingml/2006/main" noChangeShapeType="1"/>
        </cdr:cNvSpPr>
      </cdr:nvSpPr>
      <cdr:spPr bwMode="auto">
        <a:xfrm xmlns:a="http://schemas.openxmlformats.org/drawingml/2006/main">
          <a:off x="212849" y="708087"/>
          <a:ext cx="283812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8.xml><?xml version="1.0" encoding="utf-8"?>
<c:userShapes xmlns:c="http://schemas.openxmlformats.org/drawingml/2006/chart">
  <cdr:relSizeAnchor xmlns:cdr="http://schemas.openxmlformats.org/drawingml/2006/chartDrawing">
    <cdr:from>
      <cdr:x>0.13121</cdr:x>
      <cdr:y>0.62856</cdr:y>
    </cdr:from>
    <cdr:to>
      <cdr:x>0.31391</cdr:x>
      <cdr:y>0.76629</cdr:y>
    </cdr:to>
    <cdr:sp macro="" textlink="#REF!">
      <cdr:nvSpPr>
        <cdr:cNvPr id="22529" name="Text Box 1"/>
        <cdr:cNvSpPr txBox="1">
          <a:spLocks xmlns:a="http://schemas.openxmlformats.org/drawingml/2006/main" noChangeArrowheads="1" noTextEdit="1"/>
        </cdr:cNvSpPr>
      </cdr:nvSpPr>
      <cdr:spPr bwMode="auto">
        <a:xfrm xmlns:a="http://schemas.openxmlformats.org/drawingml/2006/main">
          <a:off x="393109" y="1003012"/>
          <a:ext cx="542949" cy="21908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CC53AF9D-7653-4F11-B969-BF3965597214}"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0.43902</cdr:x>
      <cdr:y>0.63444</cdr:y>
    </cdr:from>
    <cdr:to>
      <cdr:x>0.61809</cdr:x>
      <cdr:y>0.77216</cdr:y>
    </cdr:to>
    <cdr:sp macro="" textlink="#REF!">
      <cdr:nvSpPr>
        <cdr:cNvPr id="22530" name="Text Box 2"/>
        <cdr:cNvSpPr txBox="1">
          <a:spLocks xmlns:a="http://schemas.openxmlformats.org/drawingml/2006/main" noChangeArrowheads="1" noTextEdit="1"/>
        </cdr:cNvSpPr>
      </cdr:nvSpPr>
      <cdr:spPr bwMode="auto">
        <a:xfrm xmlns:a="http://schemas.openxmlformats.org/drawingml/2006/main">
          <a:off x="1307852" y="1012358"/>
          <a:ext cx="532162" cy="21908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8189843F-212E-485C-9464-0B13D96997AD}"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0.73691</cdr:x>
      <cdr:y>0.63444</cdr:y>
    </cdr:from>
    <cdr:to>
      <cdr:x>0.90678</cdr:x>
      <cdr:y>0.77216</cdr:y>
    </cdr:to>
    <cdr:sp macro="" textlink="#REF!">
      <cdr:nvSpPr>
        <cdr:cNvPr id="22531" name="Text Box 3"/>
        <cdr:cNvSpPr txBox="1">
          <a:spLocks xmlns:a="http://schemas.openxmlformats.org/drawingml/2006/main" noChangeArrowheads="1" noTextEdit="1"/>
        </cdr:cNvSpPr>
      </cdr:nvSpPr>
      <cdr:spPr bwMode="auto">
        <a:xfrm xmlns:a="http://schemas.openxmlformats.org/drawingml/2006/main">
          <a:off x="2193111" y="1012358"/>
          <a:ext cx="504834" cy="21908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3886C8E4-D0B9-4CB5-9014-5CCCD017243B}"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0.06588</cdr:x>
      <cdr:y>0.44759</cdr:y>
    </cdr:from>
    <cdr:to>
      <cdr:x>0.98083</cdr:x>
      <cdr:y>0.44759</cdr:y>
    </cdr:to>
    <cdr:sp macro="" textlink="">
      <cdr:nvSpPr>
        <cdr:cNvPr id="22532"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9.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0.21456</cdr:x>
      <cdr:y>0.88503</cdr:y>
    </cdr:from>
    <cdr:to>
      <cdr:x>0.86587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0.10848</cdr:y>
    </cdr:from>
    <cdr:to>
      <cdr:x>0.38843</cdr:x>
      <cdr:y>0.22378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0.09936</cdr:y>
    </cdr:from>
    <cdr:to>
      <cdr:x>0.59998</cdr:x>
      <cdr:y>0.22642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0.09936</cdr:y>
    </cdr:from>
    <cdr:to>
      <cdr:x>0.79438</cdr:x>
      <cdr:y>0.21441</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0.3004</cdr:y>
    </cdr:from>
    <cdr:to>
      <cdr:x>0.90475</cdr:x>
      <cdr:y>0.41593</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0.65781</cdr:y>
    </cdr:from>
    <cdr:to>
      <cdr:x>0.86152</cdr:x>
      <cdr:y>0.80744</cdr:y>
    </cdr:to>
    <cdr:sp macro="" textlink="">
      <cdr:nvSpPr>
        <cdr:cNvPr id="23559" name="Text Box 7"/>
        <cdr:cNvSpPr txBox="1">
          <a:spLocks xmlns:a="http://schemas.openxmlformats.org/drawingml/2006/main" noChangeArrowheads="1"/>
        </cdr:cNvSpPr>
      </cdr:nvSpPr>
      <cdr:spPr bwMode="auto">
        <a:xfrm xmlns:a="http://schemas.openxmlformats.org/drawingml/2006/main">
          <a:off x="2148605" y="1663573"/>
          <a:ext cx="267129" cy="377690"/>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u="none" strike="noStrike" baseline="0">
              <a:solidFill>
                <a:srgbClr val="000000"/>
              </a:solidFill>
              <a:latin typeface="Arial"/>
              <a:cs typeface="Arial"/>
            </a:rPr>
            <a:t>C</a:t>
          </a:r>
        </a:p>
      </cdr:txBody>
    </cdr:sp>
  </cdr:relSizeAnchor>
  <cdr:relSizeAnchor xmlns:cdr="http://schemas.openxmlformats.org/drawingml/2006/chartDrawing">
    <cdr:from>
      <cdr:x>0.37617</cdr:x>
      <cdr:y>0.01724</cdr:y>
    </cdr:from>
    <cdr:to>
      <cdr:x>0.45022</cdr:x>
      <cdr:y>0.10485</cdr:y>
    </cdr:to>
    <cdr:sp macro="" textlink="">
      <cdr:nvSpPr>
        <cdr:cNvPr id="13321" name="Text Box 9"/>
        <cdr:cNvSpPr txBox="1">
          <a:spLocks xmlns:a="http://schemas.openxmlformats.org/drawingml/2006/main" noChangeArrowheads="1"/>
        </cdr:cNvSpPr>
      </cdr:nvSpPr>
      <cdr:spPr bwMode="auto">
        <a:xfrm xmlns:a="http://schemas.openxmlformats.org/drawingml/2006/main">
          <a:off x="1049837" y="43347"/>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0.43697</cdr:y>
    </cdr:from>
    <cdr:to>
      <cdr:x>0.98323</cdr:x>
      <cdr:y>0.51997</cdr:y>
    </cdr:to>
    <cdr:sp macro="" textlink="">
      <cdr:nvSpPr>
        <cdr:cNvPr id="23561" name="Text Box 12"/>
        <cdr:cNvSpPr txBox="1">
          <a:spLocks xmlns:a="http://schemas.openxmlformats.org/drawingml/2006/main" noChangeArrowheads="1"/>
        </cdr:cNvSpPr>
      </cdr:nvSpPr>
      <cdr:spPr bwMode="auto">
        <a:xfrm xmlns:a="http://schemas.openxmlformats.org/drawingml/2006/main">
          <a:off x="2490124" y="1106146"/>
          <a:ext cx="266452" cy="20949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altLang="ja-JP"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0.61802</cdr:x>
      <cdr:y>0.01736</cdr:y>
    </cdr:from>
    <cdr:to>
      <cdr:x>0.69207</cdr:x>
      <cdr:y>0.10497</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3649"/>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0.77426</cdr:x>
      <cdr:y>0.01736</cdr:y>
    </cdr:from>
    <cdr:to>
      <cdr:x>0.96303</cdr:x>
      <cdr:y>0.10497</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833" y="43649"/>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4343400</xdr:colOff>
      <xdr:row>15</xdr:row>
      <xdr:rowOff>95250</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4343400" cy="2667000"/>
        </a:xfrm>
        <a:prstGeom prst="rect">
          <a:avLst/>
        </a:prstGeom>
      </xdr:spPr>
    </xdr:pic>
    <xdr:clientData/>
  </xdr:twoCellAnchor>
  <xdr:twoCellAnchor editAs="absolute">
    <xdr:from>
      <xdr:col>0</xdr:col>
      <xdr:colOff>2609850</xdr:colOff>
      <xdr:row>3</xdr:row>
      <xdr:rowOff>85725</xdr:rowOff>
    </xdr:from>
    <xdr:to>
      <xdr:col>0</xdr:col>
      <xdr:colOff>4267200</xdr:colOff>
      <xdr:row>10</xdr:row>
      <xdr:rowOff>161925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1790700</xdr:colOff>
      <xdr:row>9</xdr:row>
      <xdr:rowOff>142875</xdr:rowOff>
    </xdr:from>
    <xdr:to>
      <xdr:col>0</xdr:col>
      <xdr:colOff>4305300</xdr:colOff>
      <xdr:row>13</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2419350</xdr:colOff>
      <xdr:row>14</xdr:row>
      <xdr:rowOff>47625</xdr:rowOff>
    </xdr:from>
    <xdr:to>
      <xdr:col>0</xdr:col>
      <xdr:colOff>4038600</xdr:colOff>
      <xdr:row>15</xdr:row>
      <xdr:rowOff>38100</xdr:rowOff>
    </xdr:to>
    <xdr:sp macro="" textlink="$D$12">
      <xdr:nvSpPr>
        <xdr:cNvPr id="5" name="Text Box 4"/>
        <xdr:cNvSpPr txBox="1">
          <a:spLocks noChangeArrowheads="1" noTextEdit="1"/>
        </xdr:cNvSpPr>
      </xdr:nvSpPr>
      <xdr:spPr bwMode="auto">
        <a:xfrm>
          <a:off x="2419350" y="2447925"/>
          <a:ext cx="1619250" cy="161925"/>
        </a:xfrm>
        <a:prstGeom prst="rect">
          <a:avLst/>
        </a:prstGeom>
        <a:noFill/>
        <a:ln w="9525">
          <a:noFill/>
          <a:miter lim="800000"/>
          <a:headEnd/>
          <a:tailEnd/>
        </a:ln>
      </xdr:spPr>
      <xdr:txBody>
        <a:bodyPr vertOverflow="clip" wrap="square" lIns="27432" tIns="18288" rIns="0" bIns="0" anchor="ctr" upright="1"/>
        <a:lstStyle/>
        <a:p>
          <a:pPr algn="ctr" rtl="0">
            <a:defRPr sz="1000"/>
          </a:pPr>
          <a:fld id="{F84EFB42-E709-419F-A9D2-8DD3659BC7EB}" type="TxLink">
            <a:rPr lang="ja-JP" altLang="en-US" sz="800" b="0" i="0" u="none" strike="noStrike" baseline="0">
              <a:solidFill>
                <a:srgbClr val="000000"/>
              </a:solidFill>
              <a:latin typeface="ＭＳ Ｐゴシック"/>
              <a:ea typeface="ＭＳ Ｐゴシック"/>
            </a:rPr>
            <a:pPr algn="ctr" rtl="0">
              <a:defRPr sz="1000"/>
            </a:pPr>
            <a:t>公表番号　平成00年度　№000</a:t>
          </a:fld>
          <a:endParaRPr lang="en-US" altLang="ja-JP" sz="80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4332</xdr:row>
      <xdr:rowOff>114300</xdr:rowOff>
    </xdr:from>
    <xdr:to>
      <xdr:col>0</xdr:col>
      <xdr:colOff>4343400</xdr:colOff>
      <xdr:row>4349</xdr:row>
      <xdr:rowOff>85725</xdr:rowOff>
    </xdr:to>
    <xdr:sp macro="" textlink="$B$14">
      <xdr:nvSpPr>
        <xdr:cNvPr id="6" name="Text Box 7"/>
        <xdr:cNvSpPr txBox="1">
          <a:spLocks noChangeArrowheads="1" noTextEdit="1"/>
        </xdr:cNvSpPr>
      </xdr:nvSpPr>
      <xdr:spPr bwMode="auto">
        <a:xfrm>
          <a:off x="0" y="743235750"/>
          <a:ext cx="4343400" cy="2886075"/>
        </a:xfrm>
        <a:prstGeom prst="rect">
          <a:avLst/>
        </a:prstGeom>
        <a:noFill/>
        <a:ln w="9525">
          <a:noFill/>
          <a:miter lim="800000"/>
          <a:headEnd/>
          <a:tailEnd/>
        </a:ln>
      </xdr:spPr>
      <xdr:txBody>
        <a:bodyPr vertOverflow="clip" wrap="square" lIns="320040" tIns="182880" rIns="320040" bIns="182880" anchor="ctr" upright="1"/>
        <a:lstStyle/>
        <a:p>
          <a:pPr algn="ctr" rtl="0">
            <a:defRPr sz="1000"/>
          </a:pPr>
          <a:fld id="{B9923A4F-FCBF-4D5A-AB3E-5F608CE17CC4}" type="TxLink">
            <a:rPr lang="en-US" altLang="ja-JP" sz="20000" b="0" i="0" u="none" strike="noStrike" baseline="0">
              <a:solidFill>
                <a:srgbClr val="C0C0C0"/>
              </a:solidFill>
              <a:latin typeface="ＭＳ Ｐゴシック"/>
              <a:ea typeface="ＭＳ Ｐゴシック"/>
            </a:rPr>
            <a:pPr algn="ctr" rtl="0">
              <a:defRPr sz="1000"/>
            </a:pPr>
            <a:t>×</a:t>
          </a:fld>
          <a:endParaRPr lang="en-US" altLang="ja-JP" sz="20000" b="0" i="0" u="none" strike="noStrike" baseline="0">
            <a:solidFill>
              <a:srgbClr val="C0C0C0"/>
            </a:solidFill>
            <a:latin typeface="ＭＳ Ｐゴシック"/>
            <a:ea typeface="ＭＳ Ｐゴシック"/>
          </a:endParaRPr>
        </a:p>
      </xdr:txBody>
    </xdr:sp>
    <xdr:clientData/>
  </xdr:twoCellAnchor>
  <xdr:twoCellAnchor editAs="oneCell">
    <xdr:from>
      <xdr:col>0</xdr:col>
      <xdr:colOff>123825</xdr:colOff>
      <xdr:row>12</xdr:row>
      <xdr:rowOff>142875</xdr:rowOff>
    </xdr:from>
    <xdr:to>
      <xdr:col>0</xdr:col>
      <xdr:colOff>4429125</xdr:colOff>
      <xdr:row>13</xdr:row>
      <xdr:rowOff>133350</xdr:rowOff>
    </xdr:to>
    <xdr:sp macro="" textlink="$F$16">
      <xdr:nvSpPr>
        <xdr:cNvPr id="7" name="Text Box 4"/>
        <xdr:cNvSpPr txBox="1">
          <a:spLocks noChangeArrowheads="1" noTextEdit="1"/>
        </xdr:cNvSpPr>
      </xdr:nvSpPr>
      <xdr:spPr bwMode="auto">
        <a:xfrm>
          <a:off x="123825" y="2200275"/>
          <a:ext cx="4305300" cy="161925"/>
        </a:xfrm>
        <a:prstGeom prst="rect">
          <a:avLst/>
        </a:prstGeom>
        <a:noFill/>
        <a:ln w="9525">
          <a:noFill/>
          <a:miter lim="800000"/>
          <a:headEnd/>
          <a:tailEnd/>
        </a:ln>
      </xdr:spPr>
      <xdr:txBody>
        <a:bodyPr vertOverflow="clip" wrap="square" lIns="27432" tIns="18288" rIns="0" bIns="0" anchor="ctr" upright="1"/>
        <a:lstStyle/>
        <a:p>
          <a:pPr algn="l" rtl="0">
            <a:defRPr sz="1000"/>
          </a:pPr>
          <a:fld id="{8DB240CD-0445-433A-8EF4-2DC822DF18E8}" type="TxLink">
            <a:rPr lang="ja-JP" altLang="en-US" sz="1000" b="0" i="0" u="none" strike="noStrike" baseline="0">
              <a:solidFill>
                <a:srgbClr val="000000"/>
              </a:solidFill>
              <a:latin typeface="ＭＳ Ｐゴシック"/>
              <a:ea typeface="ＭＳ Ｐゴシック"/>
            </a:rPr>
            <a:pPr algn="l" rtl="0">
              <a:defRPr sz="1000"/>
            </a:pPr>
            <a:t>評価は建築主の自己評価に基づくものです。改修後3年間有効。</a:t>
          </a:fld>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0</xdr:row>
      <xdr:rowOff>0</xdr:rowOff>
    </xdr:from>
    <xdr:to>
      <xdr:col>0</xdr:col>
      <xdr:colOff>4438650</xdr:colOff>
      <xdr:row>15</xdr:row>
      <xdr:rowOff>114300</xdr:rowOff>
    </xdr:to>
    <xdr:sp macro="" textlink="$B$14">
      <xdr:nvSpPr>
        <xdr:cNvPr id="8" name="Text Box 14"/>
        <xdr:cNvSpPr txBox="1">
          <a:spLocks noChangeArrowheads="1" noTextEdit="1"/>
        </xdr:cNvSpPr>
      </xdr:nvSpPr>
      <xdr:spPr bwMode="auto">
        <a:xfrm>
          <a:off x="0" y="0"/>
          <a:ext cx="4438650" cy="2686050"/>
        </a:xfrm>
        <a:prstGeom prst="rect">
          <a:avLst/>
        </a:prstGeom>
        <a:noFill/>
        <a:ln w="9525">
          <a:noFill/>
          <a:prstDash val="sysDot"/>
          <a:miter lim="800000"/>
          <a:headEnd/>
          <a:tailEnd/>
        </a:ln>
      </xdr:spPr>
      <xdr:txBody>
        <a:bodyPr vertOverflow="clip" wrap="square" lIns="420624" tIns="0" rIns="0" bIns="242316" anchor="ctr" upright="1"/>
        <a:lstStyle/>
        <a:p>
          <a:pPr algn="ctr" rtl="0">
            <a:defRPr sz="1000"/>
          </a:pPr>
          <a:fld id="{F30E0110-D97A-49A9-83B8-B878B9CA60F4}" type="TxLink">
            <a:rPr lang="en-US" altLang="ja-JP" sz="20000" b="0" i="0" u="none" strike="noStrike" baseline="0">
              <a:solidFill>
                <a:srgbClr val="C0C0C0"/>
              </a:solidFill>
              <a:latin typeface="ＭＳ Ｐゴシック"/>
              <a:ea typeface="ＭＳ Ｐゴシック"/>
            </a:rPr>
            <a:pPr algn="ctr" rtl="0">
              <a:defRPr sz="1000"/>
            </a:pPr>
            <a:t>×</a:t>
          </a:fld>
          <a:endParaRPr lang="en-US" altLang="ja-JP" sz="20000" b="0" i="0" u="none" strike="noStrike" baseline="0">
            <a:solidFill>
              <a:srgbClr val="C0C0C0"/>
            </a:solidFill>
            <a:latin typeface="ＭＳ Ｐゴシック"/>
            <a:ea typeface="ＭＳ Ｐゴシック"/>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0.66709</cdr:x>
      <cdr:y>0.13486</cdr:y>
    </cdr:from>
    <cdr:to>
      <cdr:x>0.97363</cdr:x>
      <cdr:y>0.2375</cdr:y>
    </cdr:to>
    <cdr:sp macro="" textlink="#REF!">
      <cdr:nvSpPr>
        <cdr:cNvPr id="70657" name="Text Box 1"/>
        <cdr:cNvSpPr txBox="1">
          <a:spLocks xmlns:a="http://schemas.openxmlformats.org/drawingml/2006/main" noChangeArrowheads="1" noTextEdit="1"/>
        </cdr:cNvSpPr>
      </cdr:nvSpPr>
      <cdr:spPr bwMode="auto">
        <a:xfrm xmlns:a="http://schemas.openxmlformats.org/drawingml/2006/main">
          <a:off x="1661585" y="240824"/>
          <a:ext cx="762059" cy="18085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8385F573-02C9-4EC3-ABF8-4E266C08217C}" type="TxLink">
            <a:rPr lang="en-US" altLang="ja-JP" sz="800" b="1" i="0" u="none" strike="noStrike" baseline="0">
              <a:solidFill>
                <a:srgbClr val="000000"/>
              </a:solidFill>
              <a:latin typeface="Arial"/>
              <a:cs typeface="Arial"/>
            </a:rPr>
            <a:pPr algn="r" rtl="0">
              <a:defRPr sz="1000"/>
            </a:pPr>
            <a:t>100%</a:t>
          </a:fld>
          <a:endParaRPr lang="en-US" altLang="ja-JP" sz="800" b="1" i="0" u="none" strike="noStrike" baseline="0">
            <a:solidFill>
              <a:srgbClr val="000000"/>
            </a:solidFill>
            <a:latin typeface="Arial"/>
            <a:cs typeface="Arial"/>
          </a:endParaRPr>
        </a:p>
      </cdr:txBody>
    </cdr:sp>
  </cdr:relSizeAnchor>
  <cdr:relSizeAnchor xmlns:cdr="http://schemas.openxmlformats.org/drawingml/2006/chartDrawing">
    <cdr:from>
      <cdr:x>0.68969</cdr:x>
      <cdr:y>0.30821</cdr:y>
    </cdr:from>
    <cdr:to>
      <cdr:x>0.97315</cdr:x>
      <cdr:y>0.41084</cdr:y>
    </cdr:to>
    <cdr:sp macro="" textlink="#REF!">
      <cdr:nvSpPr>
        <cdr:cNvPr id="70658" name="Text Box 2"/>
        <cdr:cNvSpPr txBox="1">
          <a:spLocks xmlns:a="http://schemas.openxmlformats.org/drawingml/2006/main" noChangeArrowheads="1" noTextEdit="1"/>
        </cdr:cNvSpPr>
      </cdr:nvSpPr>
      <cdr:spPr bwMode="auto">
        <a:xfrm xmlns:a="http://schemas.openxmlformats.org/drawingml/2006/main">
          <a:off x="1717768" y="546279"/>
          <a:ext cx="704681" cy="18085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4C7E716A-16B6-4DD5-9B50-6BCA8476CD7F}" type="TxLink">
            <a:rPr lang="en-US" altLang="ja-JP" sz="900" b="1" i="0" u="none" strike="noStrike" baseline="0">
              <a:solidFill>
                <a:srgbClr val="000000"/>
              </a:solidFill>
              <a:latin typeface="Arial"/>
              <a:cs typeface="Arial"/>
            </a:rPr>
            <a:pPr algn="r" rtl="0">
              <a:defRPr sz="1000"/>
            </a:pPr>
            <a:t>#VALUE!</a:t>
          </a:fld>
          <a:endParaRPr lang="en-US" altLang="ja-JP" sz="900" b="1" i="0" u="none" strike="noStrike" baseline="0">
            <a:solidFill>
              <a:srgbClr val="000000"/>
            </a:solidFill>
            <a:latin typeface="Arial"/>
            <a:cs typeface="Arial"/>
          </a:endParaRPr>
        </a:p>
      </cdr:txBody>
    </cdr:sp>
  </cdr:relSizeAnchor>
  <cdr:relSizeAnchor xmlns:cdr="http://schemas.openxmlformats.org/drawingml/2006/chartDrawing">
    <cdr:from>
      <cdr:x>0.66709</cdr:x>
      <cdr:y>0.66861</cdr:y>
    </cdr:from>
    <cdr:to>
      <cdr:x>0.97363</cdr:x>
      <cdr:y>0.77125</cdr:y>
    </cdr:to>
    <cdr:sp macro="" textlink="#REF!">
      <cdr:nvSpPr>
        <cdr:cNvPr id="70659" name="Text Box 3"/>
        <cdr:cNvSpPr txBox="1">
          <a:spLocks xmlns:a="http://schemas.openxmlformats.org/drawingml/2006/main" noChangeArrowheads="1" noTextEdit="1"/>
        </cdr:cNvSpPr>
      </cdr:nvSpPr>
      <cdr:spPr bwMode="auto">
        <a:xfrm xmlns:a="http://schemas.openxmlformats.org/drawingml/2006/main">
          <a:off x="1661585" y="1181358"/>
          <a:ext cx="762059" cy="18085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6921AB12-3AA9-4169-96E5-0CBC3D5C66AE}" type="TxLink">
            <a:rPr lang="en-US" altLang="ja-JP" sz="900" b="1" i="0" u="none" strike="noStrike" baseline="0">
              <a:solidFill>
                <a:srgbClr val="000000"/>
              </a:solidFill>
              <a:latin typeface="Arial"/>
              <a:cs typeface="Arial"/>
            </a:rPr>
            <a:pPr algn="r" rtl="0">
              <a:defRPr sz="1000"/>
            </a:pPr>
            <a:t>#VALUE!</a:t>
          </a:fld>
          <a:endParaRPr lang="en-US" altLang="ja-JP" sz="900" b="1" i="0" u="none" strike="noStrike" baseline="0">
            <a:solidFill>
              <a:srgbClr val="000000"/>
            </a:solidFill>
            <a:latin typeface="Arial"/>
            <a:cs typeface="Arial"/>
          </a:endParaRPr>
        </a:p>
      </cdr:txBody>
    </cdr:sp>
  </cdr:relSizeAnchor>
  <cdr:relSizeAnchor xmlns:cdr="http://schemas.openxmlformats.org/drawingml/2006/chartDrawing">
    <cdr:from>
      <cdr:x>0.89181</cdr:x>
      <cdr:y>0</cdr:y>
    </cdr:from>
    <cdr:to>
      <cdr:x>1</cdr:x>
      <cdr:y>0.12581</cdr:y>
    </cdr:to>
    <cdr:sp macro="" textlink="#REF!">
      <cdr:nvSpPr>
        <cdr:cNvPr id="70660" name="Text Box 4"/>
        <cdr:cNvSpPr txBox="1">
          <a:spLocks xmlns:a="http://schemas.openxmlformats.org/drawingml/2006/main" noChangeArrowheads="1" noTextEdit="1"/>
        </cdr:cNvSpPr>
      </cdr:nvSpPr>
      <cdr:spPr bwMode="auto">
        <a:xfrm xmlns:a="http://schemas.openxmlformats.org/drawingml/2006/main">
          <a:off x="11193605" y="1627"/>
          <a:ext cx="268962" cy="22169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2CD0DABF-EDD0-428D-B379-A15A4F738FA4}" type="TxLink">
            <a:rPr lang="en-US" altLang="ja-JP" sz="1100" b="0" i="0" u="none" strike="noStrike" baseline="0">
              <a:solidFill>
                <a:srgbClr val="FF0000"/>
              </a:solidFill>
              <a:latin typeface="Arial"/>
              <a:cs typeface="Arial"/>
            </a:rPr>
            <a:pPr algn="ctr" rtl="0">
              <a:defRPr sz="1000"/>
            </a:pPr>
            <a:t>#VALUE!</a:t>
          </a:fld>
          <a:endParaRPr lang="en-US" altLang="ja-JP" sz="1100" b="0" i="0" u="none" strike="noStrike" baseline="0">
            <a:solidFill>
              <a:srgbClr val="FF0000"/>
            </a:solidFill>
            <a:latin typeface="Arial"/>
            <a:cs typeface="Arial"/>
          </a:endParaRPr>
        </a:p>
      </cdr:txBody>
    </cdr:sp>
  </cdr:relSizeAnchor>
  <cdr:relSizeAnchor xmlns:cdr="http://schemas.openxmlformats.org/drawingml/2006/chartDrawing">
    <cdr:from>
      <cdr:x>0.89181</cdr:x>
      <cdr:y>0</cdr:y>
    </cdr:from>
    <cdr:to>
      <cdr:x>1</cdr:x>
      <cdr:y>0.12581</cdr:y>
    </cdr:to>
    <cdr:sp macro="" textlink="#REF!">
      <cdr:nvSpPr>
        <cdr:cNvPr id="70661" name="Text Box 5"/>
        <cdr:cNvSpPr txBox="1">
          <a:spLocks xmlns:a="http://schemas.openxmlformats.org/drawingml/2006/main" noChangeArrowheads="1" noTextEdit="1"/>
        </cdr:cNvSpPr>
      </cdr:nvSpPr>
      <cdr:spPr bwMode="auto">
        <a:xfrm xmlns:a="http://schemas.openxmlformats.org/drawingml/2006/main">
          <a:off x="11193605" y="1627"/>
          <a:ext cx="268962" cy="22169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E1E608C3-C2F4-44CF-81F0-FF14A4026B14}" type="TxLink">
            <a:rPr lang="en-US" altLang="ja-JP" sz="1100" b="0" i="0" u="none" strike="noStrike" baseline="0">
              <a:solidFill>
                <a:srgbClr val="FF0000"/>
              </a:solidFill>
              <a:latin typeface="Arial"/>
              <a:cs typeface="Arial"/>
            </a:rPr>
            <a:pPr algn="ctr" rtl="0">
              <a:defRPr sz="1000"/>
            </a:pPr>
            <a:t>#VALUE!</a:t>
          </a:fld>
          <a:endParaRPr lang="en-US" altLang="ja-JP" sz="1100" b="0" i="0" u="none" strike="noStrike" baseline="0">
            <a:solidFill>
              <a:srgbClr val="FF0000"/>
            </a:solidFill>
            <a:latin typeface="Arial"/>
            <a:cs typeface="Arial"/>
          </a:endParaRPr>
        </a:p>
      </cdr:txBody>
    </cdr:sp>
  </cdr:relSizeAnchor>
  <cdr:relSizeAnchor xmlns:cdr="http://schemas.openxmlformats.org/drawingml/2006/chartDrawing">
    <cdr:from>
      <cdr:x>0.60867</cdr:x>
      <cdr:y>0.47044</cdr:y>
    </cdr:from>
    <cdr:to>
      <cdr:x>0.97339</cdr:x>
      <cdr:y>0.62699</cdr:y>
    </cdr:to>
    <cdr:sp macro="" textlink="#REF!">
      <cdr:nvSpPr>
        <cdr:cNvPr id="70662" name="Text Box 6"/>
        <cdr:cNvSpPr txBox="1">
          <a:spLocks xmlns:a="http://schemas.openxmlformats.org/drawingml/2006/main" noChangeArrowheads="1" noTextEdit="1"/>
        </cdr:cNvSpPr>
      </cdr:nvSpPr>
      <cdr:spPr bwMode="auto">
        <a:xfrm xmlns:a="http://schemas.openxmlformats.org/drawingml/2006/main">
          <a:off x="1516345" y="832148"/>
          <a:ext cx="906701" cy="27586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D4B7AB60-F4BC-465C-BDDE-6622925DE2EE}" type="TxLink">
            <a:rPr lang="en-US" altLang="ja-JP" sz="900" b="1" i="0" u="none" strike="noStrike" baseline="0">
              <a:solidFill>
                <a:srgbClr val="000000"/>
              </a:solidFill>
              <a:latin typeface="Arial"/>
              <a:cs typeface="Arial"/>
            </a:rPr>
            <a:pPr algn="r" rtl="0">
              <a:defRPr sz="1000"/>
            </a:pPr>
            <a:t>#VALUE!</a:t>
          </a:fld>
          <a:endParaRPr lang="en-US" altLang="ja-JP" sz="900" b="1" i="0" u="none" strike="noStrike" baseline="0">
            <a:solidFill>
              <a:srgbClr val="000000"/>
            </a:solidFill>
            <a:latin typeface="Arial"/>
            <a:cs typeface="Arial"/>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38100</xdr:colOff>
      <xdr:row>84</xdr:row>
      <xdr:rowOff>85725</xdr:rowOff>
    </xdr:from>
    <xdr:to>
      <xdr:col>14</xdr:col>
      <xdr:colOff>866775</xdr:colOff>
      <xdr:row>89</xdr:row>
      <xdr:rowOff>104775</xdr:rowOff>
    </xdr:to>
    <xdr:sp macro="" textlink="">
      <xdr:nvSpPr>
        <xdr:cNvPr id="2" name="Text Box 141"/>
        <xdr:cNvSpPr txBox="1">
          <a:spLocks noChangeArrowheads="1"/>
        </xdr:cNvSpPr>
      </xdr:nvSpPr>
      <xdr:spPr bwMode="auto">
        <a:xfrm>
          <a:off x="38100" y="18297525"/>
          <a:ext cx="10029825" cy="190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900" b="1" i="0" u="none" strike="noStrike" baseline="0">
              <a:solidFill>
                <a:srgbClr val="000000"/>
              </a:solidFill>
              <a:latin typeface="ＭＳ Ｐゴシック"/>
              <a:ea typeface="ＭＳ Ｐゴシック"/>
            </a:rPr>
            <a:t>■CASBEE: Comprehensive Assessment System for Built Environment Efficiency </a:t>
          </a:r>
          <a:r>
            <a:rPr lang="ja-JP" altLang="en-US" sz="900" b="0" i="0" u="none" strike="noStrike" baseline="0">
              <a:solidFill>
                <a:srgbClr val="000000"/>
              </a:solidFill>
              <a:latin typeface="ＭＳ Ｐゴシック"/>
              <a:ea typeface="ＭＳ Ｐゴシック"/>
            </a:rPr>
            <a:t>（建築環境総合性能評価システム）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1" i="0" u="none" strike="noStrike" baseline="0">
              <a:solidFill>
                <a:srgbClr val="000000"/>
              </a:solidFill>
              <a:latin typeface="ＭＳ Ｐゴシック"/>
              <a:ea typeface="ＭＳ Ｐゴシック"/>
            </a:rPr>
            <a:t>Q: Quality</a:t>
          </a: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（建築物の環境品質）、</a:t>
          </a:r>
          <a:r>
            <a:rPr lang="en-US" altLang="ja-JP"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en-US" altLang="ja-JP"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en-US" altLang="ja-JP"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defRPr sz="1000"/>
          </a:pPr>
          <a:r>
            <a:rPr lang="ja-JP" altLang="en-US" sz="900" b="0" i="0" u="none" strike="noStrike" baseline="0">
              <a:solidFill>
                <a:srgbClr val="000000"/>
              </a:solidFill>
              <a:latin typeface="ＭＳ Ｐゴシック"/>
              <a:ea typeface="ＭＳ Ｐゴシック"/>
            </a:rPr>
            <a:t>■「ライフサイクル</a:t>
          </a:r>
          <a:r>
            <a:rPr lang="en-US" altLang="ja-JP" sz="900" b="0" i="0" u="none" strike="noStrike" baseline="0">
              <a:solidFill>
                <a:srgbClr val="000000"/>
              </a:solidFill>
              <a:latin typeface="ＭＳ Ｐゴシック"/>
              <a:ea typeface="ＭＳ Ｐゴシック"/>
            </a:rPr>
            <a:t>CO</a:t>
          </a:r>
          <a:r>
            <a:rPr lang="en-US" altLang="ja-JP"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a:t>
          </a:r>
          <a:r>
            <a:rPr lang="en-US" altLang="ja-JP" sz="900" b="0" i="0" u="none" strike="noStrike" baseline="0">
              <a:solidFill>
                <a:srgbClr val="000000"/>
              </a:solidFill>
              <a:latin typeface="ＭＳ Ｐゴシック"/>
              <a:ea typeface="ＭＳ Ｐゴシック"/>
            </a:rPr>
            <a:t>CO</a:t>
          </a:r>
          <a:r>
            <a:rPr lang="en-US" altLang="ja-JP"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a:t>
          </a:r>
          <a:r>
            <a:rPr lang="en-US" altLang="ja-JP" sz="900" b="0" i="0" u="none" strike="noStrike" baseline="0">
              <a:solidFill>
                <a:srgbClr val="000000"/>
              </a:solidFill>
              <a:latin typeface="ＭＳ Ｐゴシック"/>
              <a:ea typeface="ＭＳ Ｐゴシック"/>
            </a:rPr>
            <a:t>Q2</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LR1</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LR2</a:t>
          </a:r>
          <a:r>
            <a:rPr lang="ja-JP" altLang="en-US" sz="900" b="0" i="0" u="none" strike="noStrike" baseline="0">
              <a:solidFill>
                <a:srgbClr val="000000"/>
              </a:solidFill>
              <a:latin typeface="ＭＳ Ｐゴシック"/>
              <a:ea typeface="ＭＳ Ｐゴシック"/>
            </a:rPr>
            <a:t>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LCCO</a:t>
          </a:r>
          <a:r>
            <a:rPr lang="en-US" altLang="ja-JP"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LCCO</a:t>
          </a:r>
          <a:r>
            <a:rPr lang="en-US" altLang="ja-JP"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7</xdr:col>
      <xdr:colOff>171450</xdr:colOff>
      <xdr:row>41</xdr:row>
      <xdr:rowOff>38100</xdr:rowOff>
    </xdr:from>
    <xdr:to>
      <xdr:col>10</xdr:col>
      <xdr:colOff>790575</xdr:colOff>
      <xdr:row>49</xdr:row>
      <xdr:rowOff>123825</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171450</xdr:colOff>
      <xdr:row>52</xdr:row>
      <xdr:rowOff>66675</xdr:rowOff>
    </xdr:from>
    <xdr:to>
      <xdr:col>14</xdr:col>
      <xdr:colOff>638175</xdr:colOff>
      <xdr:row>60</xdr:row>
      <xdr:rowOff>104775</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171450</xdr:colOff>
      <xdr:row>41</xdr:row>
      <xdr:rowOff>28575</xdr:rowOff>
    </xdr:from>
    <xdr:to>
      <xdr:col>14</xdr:col>
      <xdr:colOff>647700</xdr:colOff>
      <xdr:row>49</xdr:row>
      <xdr:rowOff>123825</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190500</xdr:colOff>
      <xdr:row>52</xdr:row>
      <xdr:rowOff>57150</xdr:rowOff>
    </xdr:from>
    <xdr:to>
      <xdr:col>10</xdr:col>
      <xdr:colOff>819150</xdr:colOff>
      <xdr:row>60</xdr:row>
      <xdr:rowOff>85725</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52</xdr:row>
      <xdr:rowOff>57150</xdr:rowOff>
    </xdr:from>
    <xdr:to>
      <xdr:col>7</xdr:col>
      <xdr:colOff>28575</xdr:colOff>
      <xdr:row>60</xdr:row>
      <xdr:rowOff>85725</xdr:rowOff>
    </xdr:to>
    <xdr:graphicFrame macro="">
      <xdr:nvGraphicFramePr>
        <xdr:cNvPr id="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41</xdr:row>
      <xdr:rowOff>38100</xdr:rowOff>
    </xdr:from>
    <xdr:to>
      <xdr:col>7</xdr:col>
      <xdr:colOff>28575</xdr:colOff>
      <xdr:row>49</xdr:row>
      <xdr:rowOff>95250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12</xdr:col>
      <xdr:colOff>762000</xdr:colOff>
      <xdr:row>40</xdr:row>
      <xdr:rowOff>171450</xdr:rowOff>
    </xdr:from>
    <xdr:ext cx="779957" cy="201850"/>
    <xdr:sp macro="" textlink="">
      <xdr:nvSpPr>
        <xdr:cNvPr id="9" name="Text Box 135"/>
        <xdr:cNvSpPr txBox="1">
          <a:spLocks noChangeArrowheads="1"/>
        </xdr:cNvSpPr>
      </xdr:nvSpPr>
      <xdr:spPr bwMode="auto">
        <a:xfrm>
          <a:off x="8305800" y="8553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12</xdr:col>
      <xdr:colOff>685800</xdr:colOff>
      <xdr:row>51</xdr:row>
      <xdr:rowOff>171450</xdr:rowOff>
    </xdr:from>
    <xdr:ext cx="845040" cy="201850"/>
    <xdr:sp macro="" textlink="">
      <xdr:nvSpPr>
        <xdr:cNvPr id="10" name="Text Box 136"/>
        <xdr:cNvSpPr txBox="1">
          <a:spLocks noChangeArrowheads="1"/>
        </xdr:cNvSpPr>
      </xdr:nvSpPr>
      <xdr:spPr bwMode="auto">
        <a:xfrm>
          <a:off x="8229600" y="1068705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447675</xdr:colOff>
      <xdr:row>51</xdr:row>
      <xdr:rowOff>171450</xdr:rowOff>
    </xdr:from>
    <xdr:ext cx="845040" cy="201850"/>
    <xdr:sp macro="" textlink="">
      <xdr:nvSpPr>
        <xdr:cNvPr id="11" name="Text Box 137"/>
        <xdr:cNvSpPr txBox="1">
          <a:spLocks noChangeArrowheads="1"/>
        </xdr:cNvSpPr>
      </xdr:nvSpPr>
      <xdr:spPr bwMode="auto">
        <a:xfrm>
          <a:off x="4791075" y="1068705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504825</xdr:colOff>
      <xdr:row>40</xdr:row>
      <xdr:rowOff>171450</xdr:rowOff>
    </xdr:from>
    <xdr:ext cx="779957" cy="201850"/>
    <xdr:sp macro="" textlink="">
      <xdr:nvSpPr>
        <xdr:cNvPr id="12" name="Text Box 138"/>
        <xdr:cNvSpPr txBox="1">
          <a:spLocks noChangeArrowheads="1"/>
        </xdr:cNvSpPr>
      </xdr:nvSpPr>
      <xdr:spPr bwMode="auto">
        <a:xfrm>
          <a:off x="4848225" y="8553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257175</xdr:colOff>
      <xdr:row>40</xdr:row>
      <xdr:rowOff>171450</xdr:rowOff>
    </xdr:from>
    <xdr:ext cx="779957" cy="201850"/>
    <xdr:sp macro="" textlink="">
      <xdr:nvSpPr>
        <xdr:cNvPr id="13" name="Text Box 139"/>
        <xdr:cNvSpPr txBox="1">
          <a:spLocks noChangeArrowheads="1"/>
        </xdr:cNvSpPr>
      </xdr:nvSpPr>
      <xdr:spPr bwMode="auto">
        <a:xfrm>
          <a:off x="1905000" y="8553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219075</xdr:colOff>
      <xdr:row>51</xdr:row>
      <xdr:rowOff>142875</xdr:rowOff>
    </xdr:from>
    <xdr:ext cx="845040" cy="201850"/>
    <xdr:sp macro="" textlink="">
      <xdr:nvSpPr>
        <xdr:cNvPr id="14" name="Text Box 140"/>
        <xdr:cNvSpPr txBox="1">
          <a:spLocks noChangeArrowheads="1"/>
        </xdr:cNvSpPr>
      </xdr:nvSpPr>
      <xdr:spPr bwMode="auto">
        <a:xfrm>
          <a:off x="1866900" y="1065847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2</xdr:col>
      <xdr:colOff>171450</xdr:colOff>
      <xdr:row>71</xdr:row>
      <xdr:rowOff>19050</xdr:rowOff>
    </xdr:from>
    <xdr:to>
      <xdr:col>6</xdr:col>
      <xdr:colOff>47625</xdr:colOff>
      <xdr:row>84</xdr:row>
      <xdr:rowOff>19050</xdr:rowOff>
    </xdr:to>
    <xdr:graphicFrame macro="">
      <xdr:nvGraphicFramePr>
        <xdr:cNvPr id="15"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47625</xdr:colOff>
      <xdr:row>25</xdr:row>
      <xdr:rowOff>66675</xdr:rowOff>
    </xdr:from>
    <xdr:ext cx="2929263" cy="176843"/>
    <xdr:sp macro="" textlink="">
      <xdr:nvSpPr>
        <xdr:cNvPr id="16" name="Text Box 129"/>
        <xdr:cNvSpPr txBox="1">
          <a:spLocks noChangeArrowheads="1"/>
        </xdr:cNvSpPr>
      </xdr:nvSpPr>
      <xdr:spPr bwMode="auto">
        <a:xfrm>
          <a:off x="104775" y="5124450"/>
          <a:ext cx="2929263" cy="176843"/>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950" b="0" i="0" u="none" strike="noStrike" baseline="0">
              <a:solidFill>
                <a:srgbClr val="000000"/>
              </a:solidFill>
              <a:latin typeface="ＭＳ Ｐゴシック"/>
              <a:ea typeface="ＭＳ Ｐゴシック"/>
            </a:rPr>
            <a:t>S: </a:t>
          </a:r>
          <a:r>
            <a:rPr lang="en-US" altLang="ja-JP" sz="950" b="0" i="0" u="none" strike="noStrike" baseline="0">
              <a:solidFill>
                <a:srgbClr val="333333"/>
              </a:solidFill>
              <a:latin typeface="ＭＳ Ｐゴシック"/>
              <a:ea typeface="ＭＳ Ｐゴシック"/>
            </a:rPr>
            <a:t>★★★★★  </a:t>
          </a:r>
          <a:r>
            <a:rPr lang="en-US" altLang="ja-JP" sz="950" b="0" i="0" u="none" strike="noStrike" baseline="0">
              <a:solidFill>
                <a:srgbClr val="000000"/>
              </a:solidFill>
              <a:latin typeface="ＭＳ Ｐゴシック"/>
              <a:ea typeface="ＭＳ Ｐゴシック"/>
            </a:rPr>
            <a:t>A: </a:t>
          </a:r>
          <a:r>
            <a:rPr lang="en-US" altLang="ja-JP" sz="950" b="0" i="0" u="none" strike="noStrike" baseline="0">
              <a:solidFill>
                <a:srgbClr val="333333"/>
              </a:solidFill>
              <a:latin typeface="ＭＳ Ｐゴシック"/>
              <a:ea typeface="ＭＳ Ｐゴシック"/>
            </a:rPr>
            <a:t>★★★★  </a:t>
          </a:r>
          <a:r>
            <a:rPr lang="en-US" altLang="ja-JP" sz="950" b="0" i="0" u="none" strike="noStrike" baseline="0">
              <a:solidFill>
                <a:srgbClr val="000000"/>
              </a:solidFill>
              <a:latin typeface="ＭＳ Ｐゴシック"/>
              <a:ea typeface="ＭＳ Ｐゴシック"/>
            </a:rPr>
            <a:t>B</a:t>
          </a:r>
          <a:r>
            <a:rPr lang="en-US" altLang="ja-JP" sz="950" b="0" i="0" u="none" strike="noStrike" baseline="30000">
              <a:solidFill>
                <a:srgbClr val="000000"/>
              </a:solidFill>
              <a:latin typeface="ＭＳ Ｐゴシック"/>
              <a:ea typeface="ＭＳ Ｐゴシック"/>
            </a:rPr>
            <a:t>+</a:t>
          </a:r>
          <a:r>
            <a:rPr lang="en-US" altLang="ja-JP" sz="950" b="0" i="0" u="none" strike="noStrike" baseline="0">
              <a:solidFill>
                <a:srgbClr val="000000"/>
              </a:solidFill>
              <a:latin typeface="ＭＳ Ｐゴシック"/>
              <a:ea typeface="ＭＳ Ｐゴシック"/>
            </a:rPr>
            <a:t>: </a:t>
          </a:r>
          <a:r>
            <a:rPr lang="en-US" altLang="ja-JP" sz="950" b="0" i="0" u="none" strike="noStrike" baseline="0">
              <a:solidFill>
                <a:srgbClr val="333333"/>
              </a:solidFill>
              <a:latin typeface="ＭＳ Ｐゴシック"/>
              <a:ea typeface="ＭＳ Ｐゴシック"/>
            </a:rPr>
            <a:t>★★★  </a:t>
          </a:r>
          <a:r>
            <a:rPr lang="en-US" altLang="ja-JP" sz="950" b="0" i="0" u="none" strike="noStrike" baseline="0">
              <a:solidFill>
                <a:srgbClr val="000000"/>
              </a:solidFill>
              <a:latin typeface="ＭＳ Ｐゴシック"/>
              <a:ea typeface="ＭＳ Ｐゴシック"/>
            </a:rPr>
            <a:t>B</a:t>
          </a:r>
          <a:r>
            <a:rPr lang="en-US" altLang="ja-JP" sz="950" b="0" i="0" u="none" strike="noStrike" baseline="30000">
              <a:solidFill>
                <a:srgbClr val="000000"/>
              </a:solidFill>
              <a:latin typeface="ＭＳ Ｐゴシック"/>
              <a:ea typeface="ＭＳ Ｐゴシック"/>
            </a:rPr>
            <a:t>-</a:t>
          </a:r>
          <a:r>
            <a:rPr lang="en-US" altLang="ja-JP" sz="950" b="0" i="0" u="none" strike="noStrike" baseline="0">
              <a:solidFill>
                <a:srgbClr val="000000"/>
              </a:solidFill>
              <a:latin typeface="ＭＳ Ｐゴシック"/>
              <a:ea typeface="ＭＳ Ｐゴシック"/>
            </a:rPr>
            <a:t>: </a:t>
          </a:r>
          <a:r>
            <a:rPr lang="en-US" altLang="ja-JP" sz="950" b="0" i="0" u="none" strike="noStrike" baseline="0">
              <a:solidFill>
                <a:srgbClr val="333333"/>
              </a:solidFill>
              <a:latin typeface="ＭＳ Ｐゴシック"/>
              <a:ea typeface="ＭＳ Ｐゴシック"/>
            </a:rPr>
            <a:t>★★  </a:t>
          </a:r>
          <a:r>
            <a:rPr lang="en-US" altLang="ja-JP" sz="950" b="0" i="0" u="none" strike="noStrike" baseline="0">
              <a:solidFill>
                <a:srgbClr val="000000"/>
              </a:solidFill>
              <a:latin typeface="ＭＳ Ｐゴシック"/>
              <a:ea typeface="ＭＳ Ｐゴシック"/>
            </a:rPr>
            <a:t>C: </a:t>
          </a:r>
          <a:r>
            <a:rPr lang="en-US" altLang="ja-JP" sz="950" b="0" i="0" u="none" strike="noStrike" baseline="0">
              <a:solidFill>
                <a:srgbClr val="333333"/>
              </a:solidFill>
              <a:latin typeface="ＭＳ Ｐゴシック"/>
              <a:ea typeface="ＭＳ Ｐゴシック"/>
            </a:rPr>
            <a:t>★</a:t>
          </a:r>
        </a:p>
      </xdr:txBody>
    </xdr:sp>
    <xdr:clientData/>
  </xdr:oneCellAnchor>
  <xdr:twoCellAnchor>
    <xdr:from>
      <xdr:col>3</xdr:col>
      <xdr:colOff>285750</xdr:colOff>
      <xdr:row>21</xdr:row>
      <xdr:rowOff>180975</xdr:rowOff>
    </xdr:from>
    <xdr:to>
      <xdr:col>6</xdr:col>
      <xdr:colOff>400050</xdr:colOff>
      <xdr:row>24</xdr:row>
      <xdr:rowOff>9525</xdr:rowOff>
    </xdr:to>
    <xdr:graphicFrame macro="">
      <xdr:nvGraphicFramePr>
        <xdr:cNvPr id="17"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285750</xdr:colOff>
      <xdr:row>23</xdr:row>
      <xdr:rowOff>161925</xdr:rowOff>
    </xdr:from>
    <xdr:to>
      <xdr:col>6</xdr:col>
      <xdr:colOff>419100</xdr:colOff>
      <xdr:row>25</xdr:row>
      <xdr:rowOff>95250</xdr:rowOff>
    </xdr:to>
    <xdr:graphicFrame macro="">
      <xdr:nvGraphicFramePr>
        <xdr:cNvPr id="18"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180975</xdr:colOff>
      <xdr:row>26</xdr:row>
      <xdr:rowOff>9525</xdr:rowOff>
    </xdr:from>
    <xdr:to>
      <xdr:col>6</xdr:col>
      <xdr:colOff>85725</xdr:colOff>
      <xdr:row>36</xdr:row>
      <xdr:rowOff>304800</xdr:rowOff>
    </xdr:to>
    <xdr:graphicFrame macro="">
      <xdr:nvGraphicFramePr>
        <xdr:cNvPr id="19"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733425</xdr:colOff>
      <xdr:row>36</xdr:row>
      <xdr:rowOff>219075</xdr:rowOff>
    </xdr:from>
    <xdr:to>
      <xdr:col>3</xdr:col>
      <xdr:colOff>400050</xdr:colOff>
      <xdr:row>38</xdr:row>
      <xdr:rowOff>0</xdr:rowOff>
    </xdr:to>
    <xdr:sp macro="" textlink="">
      <xdr:nvSpPr>
        <xdr:cNvPr id="20" name="Text Box 138"/>
        <xdr:cNvSpPr txBox="1">
          <a:spLocks noChangeArrowheads="1"/>
        </xdr:cNvSpPr>
      </xdr:nvSpPr>
      <xdr:spPr bwMode="auto">
        <a:xfrm>
          <a:off x="952500" y="7581900"/>
          <a:ext cx="685800" cy="323850"/>
        </a:xfrm>
        <a:prstGeom prst="rect">
          <a:avLst/>
        </a:prstGeom>
        <a:noFill/>
        <a:ln w="9525">
          <a:noFill/>
          <a:miter lim="800000"/>
          <a:headEnd/>
          <a:tailEnd/>
        </a:ln>
      </xdr:spPr>
      <xdr:txBody>
        <a:bodyPr vertOverflow="clip" wrap="square" lIns="27432" tIns="18288" rIns="0" bIns="0" anchor="ctr" upright="1"/>
        <a:lstStyle/>
        <a:p>
          <a:pPr algn="ctr" rtl="0">
            <a:defRPr sz="1000"/>
          </a:pPr>
          <a:r>
            <a:rPr lang="en-US" altLang="ja-JP" sz="1100" b="1" i="0" u="none" strike="noStrike" baseline="0">
              <a:solidFill>
                <a:srgbClr val="000000"/>
              </a:solidFill>
              <a:latin typeface="ＭＳ Ｐゴシック"/>
              <a:ea typeface="ＭＳ Ｐゴシック"/>
            </a:rPr>
            <a:t>⊿</a:t>
          </a:r>
          <a:r>
            <a:rPr lang="en-US" altLang="ja-JP" sz="1100" b="1" i="0" u="none" strike="noStrike" baseline="0">
              <a:solidFill>
                <a:srgbClr val="000000"/>
              </a:solidFill>
              <a:latin typeface="Arial"/>
              <a:cs typeface="Arial"/>
            </a:rPr>
            <a:t>BEE=</a:t>
          </a:r>
        </a:p>
      </xdr:txBody>
    </xdr:sp>
    <xdr:clientData/>
  </xdr:twoCellAnchor>
  <xdr:twoCellAnchor>
    <xdr:from>
      <xdr:col>10</xdr:col>
      <xdr:colOff>828675</xdr:colOff>
      <xdr:row>22</xdr:row>
      <xdr:rowOff>76200</xdr:rowOff>
    </xdr:from>
    <xdr:to>
      <xdr:col>15</xdr:col>
      <xdr:colOff>28575</xdr:colOff>
      <xdr:row>36</xdr:row>
      <xdr:rowOff>95250</xdr:rowOff>
    </xdr:to>
    <xdr:graphicFrame macro="">
      <xdr:nvGraphicFramePr>
        <xdr:cNvPr id="21"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xdr:col>
      <xdr:colOff>400050</xdr:colOff>
      <xdr:row>21</xdr:row>
      <xdr:rowOff>161925</xdr:rowOff>
    </xdr:from>
    <xdr:to>
      <xdr:col>3</xdr:col>
      <xdr:colOff>400050</xdr:colOff>
      <xdr:row>22</xdr:row>
      <xdr:rowOff>85725</xdr:rowOff>
    </xdr:to>
    <xdr:sp macro="" textlink="">
      <xdr:nvSpPr>
        <xdr:cNvPr id="22" name="Text Box 28"/>
        <xdr:cNvSpPr txBox="1">
          <a:spLocks noChangeArrowheads="1"/>
        </xdr:cNvSpPr>
      </xdr:nvSpPr>
      <xdr:spPr bwMode="auto">
        <a:xfrm>
          <a:off x="1638300" y="4229100"/>
          <a:ext cx="0" cy="171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0" algn="ctr">
              <a:solidFill>
                <a:srgbClr val="000000"/>
              </a:solidFill>
              <a:miter lim="800000"/>
              <a:headEnd/>
              <a:tailEnd/>
            </a14:hiddenLine>
          </a:ext>
        </a:extLst>
      </xdr:spPr>
    </xdr:sp>
    <xdr:clientData/>
  </xdr:twoCellAnchor>
  <xdr:twoCellAnchor editAs="oneCell">
    <xdr:from>
      <xdr:col>3</xdr:col>
      <xdr:colOff>400050</xdr:colOff>
      <xdr:row>21</xdr:row>
      <xdr:rowOff>161925</xdr:rowOff>
    </xdr:from>
    <xdr:to>
      <xdr:col>3</xdr:col>
      <xdr:colOff>400050</xdr:colOff>
      <xdr:row>22</xdr:row>
      <xdr:rowOff>85725</xdr:rowOff>
    </xdr:to>
    <xdr:sp macro="" textlink="">
      <xdr:nvSpPr>
        <xdr:cNvPr id="23" name="Text Box 29"/>
        <xdr:cNvSpPr txBox="1">
          <a:spLocks noChangeArrowheads="1"/>
        </xdr:cNvSpPr>
      </xdr:nvSpPr>
      <xdr:spPr bwMode="auto">
        <a:xfrm>
          <a:off x="1638300" y="4229100"/>
          <a:ext cx="0" cy="171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0" algn="ctr">
              <a:solidFill>
                <a:srgbClr val="000000"/>
              </a:solidFill>
              <a:miter lim="800000"/>
              <a:headEnd/>
              <a:tailEnd/>
            </a14:hiddenLine>
          </a:ext>
        </a:extLst>
      </xdr:spPr>
    </xdr:sp>
    <xdr:clientData/>
  </xdr:twoCellAnchor>
  <xdr:twoCellAnchor editAs="oneCell">
    <xdr:from>
      <xdr:col>3</xdr:col>
      <xdr:colOff>400050</xdr:colOff>
      <xdr:row>21</xdr:row>
      <xdr:rowOff>114300</xdr:rowOff>
    </xdr:from>
    <xdr:to>
      <xdr:col>3</xdr:col>
      <xdr:colOff>400050</xdr:colOff>
      <xdr:row>22</xdr:row>
      <xdr:rowOff>38100</xdr:rowOff>
    </xdr:to>
    <xdr:sp macro="" textlink="">
      <xdr:nvSpPr>
        <xdr:cNvPr id="24" name="Text Box 30"/>
        <xdr:cNvSpPr txBox="1">
          <a:spLocks noChangeArrowheads="1"/>
        </xdr:cNvSpPr>
      </xdr:nvSpPr>
      <xdr:spPr bwMode="auto">
        <a:xfrm>
          <a:off x="1638300" y="4181475"/>
          <a:ext cx="0" cy="171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0" algn="ctr">
              <a:solidFill>
                <a:srgbClr val="000000"/>
              </a:solidFill>
              <a:miter lim="800000"/>
              <a:headEnd/>
              <a:tailEnd/>
            </a14:hiddenLine>
          </a:ext>
        </a:extLst>
      </xdr:spPr>
    </xdr:sp>
    <xdr:clientData/>
  </xdr:twoCellAnchor>
  <xdr:twoCellAnchor>
    <xdr:from>
      <xdr:col>1</xdr:col>
      <xdr:colOff>152400</xdr:colOff>
      <xdr:row>22</xdr:row>
      <xdr:rowOff>85725</xdr:rowOff>
    </xdr:from>
    <xdr:to>
      <xdr:col>2</xdr:col>
      <xdr:colOff>561975</xdr:colOff>
      <xdr:row>23</xdr:row>
      <xdr:rowOff>257175</xdr:rowOff>
    </xdr:to>
    <xdr:sp macro="" textlink="">
      <xdr:nvSpPr>
        <xdr:cNvPr id="25" name="Text Box 31"/>
        <xdr:cNvSpPr txBox="1">
          <a:spLocks noChangeArrowheads="1"/>
        </xdr:cNvSpPr>
      </xdr:nvSpPr>
      <xdr:spPr bwMode="auto">
        <a:xfrm>
          <a:off x="209550" y="4400550"/>
          <a:ext cx="571500" cy="314325"/>
        </a:xfrm>
        <a:prstGeom prst="rect">
          <a:avLst/>
        </a:prstGeom>
        <a:noFill/>
        <a:ln w="0" algn="ctr">
          <a:noFill/>
          <a:miter lim="800000"/>
          <a:headEnd/>
          <a:tailEnd/>
        </a:ln>
        <a:effectLst/>
      </xdr:spPr>
      <xdr:txBody>
        <a:bodyPr vertOverflow="clip" wrap="square" lIns="0" tIns="0"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改修前 </a:t>
          </a:r>
        </a:p>
        <a:p>
          <a:pPr algn="l" rtl="0">
            <a:defRPr sz="1000"/>
          </a:pPr>
          <a:r>
            <a:rPr lang="en-US" altLang="ja-JP" sz="900" b="0" i="0" u="none" strike="noStrike" baseline="0">
              <a:solidFill>
                <a:srgbClr val="000000"/>
              </a:solidFill>
              <a:latin typeface="ＭＳ Ｐゴシック"/>
              <a:ea typeface="ＭＳ Ｐゴシック"/>
            </a:rPr>
            <a:t>BEE=</a:t>
          </a:r>
        </a:p>
      </xdr:txBody>
    </xdr:sp>
    <xdr:clientData/>
  </xdr:twoCellAnchor>
  <xdr:twoCellAnchor>
    <xdr:from>
      <xdr:col>1</xdr:col>
      <xdr:colOff>152400</xdr:colOff>
      <xdr:row>24</xdr:row>
      <xdr:rowOff>28575</xdr:rowOff>
    </xdr:from>
    <xdr:to>
      <xdr:col>2</xdr:col>
      <xdr:colOff>561975</xdr:colOff>
      <xdr:row>25</xdr:row>
      <xdr:rowOff>114300</xdr:rowOff>
    </xdr:to>
    <xdr:sp macro="" textlink="">
      <xdr:nvSpPr>
        <xdr:cNvPr id="26" name="Text Box 32"/>
        <xdr:cNvSpPr txBox="1">
          <a:spLocks noChangeArrowheads="1"/>
        </xdr:cNvSpPr>
      </xdr:nvSpPr>
      <xdr:spPr bwMode="auto">
        <a:xfrm>
          <a:off x="209550" y="4819650"/>
          <a:ext cx="571500" cy="352425"/>
        </a:xfrm>
        <a:prstGeom prst="rect">
          <a:avLst/>
        </a:prstGeom>
        <a:noFill/>
        <a:ln w="0" algn="ctr">
          <a:noFill/>
          <a:miter lim="800000"/>
          <a:headEnd/>
          <a:tailEnd/>
        </a:ln>
        <a:effectLst/>
      </xdr:spPr>
      <xdr:txBody>
        <a:bodyPr vertOverflow="clip" wrap="square" lIns="0" tIns="0"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改修後 </a:t>
          </a:r>
        </a:p>
        <a:p>
          <a:pPr algn="l" rtl="0">
            <a:defRPr sz="1000"/>
          </a:pPr>
          <a:r>
            <a:rPr lang="en-US" altLang="ja-JP" sz="900" b="0" i="0" u="none" strike="noStrike" baseline="0">
              <a:solidFill>
                <a:srgbClr val="000000"/>
              </a:solidFill>
              <a:latin typeface="ＭＳ Ｐゴシック"/>
              <a:ea typeface="ＭＳ Ｐゴシック"/>
            </a:rPr>
            <a:t>BEE=</a:t>
          </a:r>
        </a:p>
      </xdr:txBody>
    </xdr:sp>
    <xdr:clientData/>
  </xdr:twoCellAnchor>
  <xdr:twoCellAnchor>
    <xdr:from>
      <xdr:col>7</xdr:col>
      <xdr:colOff>952500</xdr:colOff>
      <xdr:row>23</xdr:row>
      <xdr:rowOff>133350</xdr:rowOff>
    </xdr:from>
    <xdr:to>
      <xdr:col>10</xdr:col>
      <xdr:colOff>428625</xdr:colOff>
      <xdr:row>25</xdr:row>
      <xdr:rowOff>104775</xdr:rowOff>
    </xdr:to>
    <xdr:graphicFrame macro="">
      <xdr:nvGraphicFramePr>
        <xdr:cNvPr id="27"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942975</xdr:colOff>
      <xdr:row>21</xdr:row>
      <xdr:rowOff>180975</xdr:rowOff>
    </xdr:from>
    <xdr:to>
      <xdr:col>10</xdr:col>
      <xdr:colOff>428625</xdr:colOff>
      <xdr:row>23</xdr:row>
      <xdr:rowOff>314325</xdr:rowOff>
    </xdr:to>
    <xdr:graphicFrame macro="">
      <xdr:nvGraphicFramePr>
        <xdr:cNvPr id="2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10</xdr:col>
      <xdr:colOff>193420</xdr:colOff>
      <xdr:row>34</xdr:row>
      <xdr:rowOff>66675</xdr:rowOff>
    </xdr:from>
    <xdr:ext cx="758926" cy="151836"/>
    <xdr:sp macro="" textlink="">
      <xdr:nvSpPr>
        <xdr:cNvPr id="29" name="Text Box 134"/>
        <xdr:cNvSpPr txBox="1">
          <a:spLocks noChangeArrowheads="1"/>
        </xdr:cNvSpPr>
      </xdr:nvSpPr>
      <xdr:spPr bwMode="auto">
        <a:xfrm>
          <a:off x="6003670" y="7029450"/>
          <a:ext cx="758926" cy="151836"/>
        </a:xfrm>
        <a:prstGeom prst="rect">
          <a:avLst/>
        </a:prstGeom>
        <a:noFill/>
        <a:ln w="9525">
          <a:noFill/>
          <a:miter lim="800000"/>
          <a:headEnd/>
          <a:tailEnd/>
        </a:ln>
      </xdr:spPr>
      <xdr:txBody>
        <a:bodyPr wrap="none" lIns="0" tIns="18288" rIns="27432" bIns="0" anchor="t" upright="1">
          <a:spAutoFit/>
        </a:bodyPr>
        <a:lstStyle/>
        <a:p>
          <a:pPr algn="r" rtl="0">
            <a:defRPr sz="1000"/>
          </a:pP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kg-CO</a:t>
          </a:r>
          <a:r>
            <a:rPr lang="en-US" altLang="ja-JP" sz="800" b="0" i="0" u="none" strike="noStrike" baseline="-25000">
              <a:solidFill>
                <a:srgbClr val="000000"/>
              </a:solidFill>
              <a:latin typeface="ＭＳ Ｐゴシック"/>
              <a:ea typeface="ＭＳ Ｐゴシック"/>
            </a:rPr>
            <a:t>2</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年・㎡）</a:t>
          </a:r>
        </a:p>
      </xdr:txBody>
    </xdr:sp>
    <xdr:clientData/>
  </xdr:oneCellAnchor>
  <xdr:oneCellAnchor>
    <xdr:from>
      <xdr:col>7</xdr:col>
      <xdr:colOff>28575</xdr:colOff>
      <xdr:row>25</xdr:row>
      <xdr:rowOff>114300</xdr:rowOff>
    </xdr:from>
    <xdr:ext cx="3114675" cy="152400"/>
    <xdr:sp macro="" textlink="">
      <xdr:nvSpPr>
        <xdr:cNvPr id="30" name="Text Box 129"/>
        <xdr:cNvSpPr txBox="1">
          <a:spLocks noChangeArrowheads="1"/>
        </xdr:cNvSpPr>
      </xdr:nvSpPr>
      <xdr:spPr bwMode="auto">
        <a:xfrm>
          <a:off x="3390900" y="5172075"/>
          <a:ext cx="3114675" cy="15240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800" b="0" i="0" u="none" strike="noStrike" baseline="0">
              <a:solidFill>
                <a:srgbClr val="000000"/>
              </a:solidFill>
              <a:latin typeface="ＭＳ Ｐゴシック"/>
              <a:ea typeface="ＭＳ Ｐゴシック"/>
            </a:rPr>
            <a:t>30%: </a:t>
          </a:r>
          <a:r>
            <a:rPr lang="en-US" altLang="ja-JP" sz="800" b="0" i="0" u="none" strike="noStrike" baseline="0">
              <a:solidFill>
                <a:srgbClr val="333333"/>
              </a:solidFill>
              <a:latin typeface="ＭＳ Ｐゴシック"/>
              <a:ea typeface="ＭＳ Ｐゴシック"/>
            </a:rPr>
            <a:t>☆☆☆☆☆  60%</a:t>
          </a:r>
          <a:r>
            <a:rPr lang="en-US" altLang="ja-JP" sz="800" b="0" i="0" u="none" strike="noStrike" baseline="0">
              <a:solidFill>
                <a:srgbClr val="000000"/>
              </a:solidFill>
              <a:latin typeface="ＭＳ Ｐゴシック"/>
              <a:ea typeface="ＭＳ Ｐゴシック"/>
            </a:rPr>
            <a:t>: </a:t>
          </a:r>
          <a:r>
            <a:rPr lang="en-US" altLang="ja-JP" sz="800" b="0" i="0" u="none" strike="noStrike" baseline="0">
              <a:solidFill>
                <a:srgbClr val="333333"/>
              </a:solidFill>
              <a:latin typeface="ＭＳ Ｐゴシック"/>
              <a:ea typeface="ＭＳ Ｐゴシック"/>
            </a:rPr>
            <a:t>☆☆☆☆  80%</a:t>
          </a:r>
          <a:r>
            <a:rPr lang="en-US" altLang="ja-JP" sz="800" b="0" i="0" u="none" strike="noStrike" baseline="0">
              <a:solidFill>
                <a:srgbClr val="000000"/>
              </a:solidFill>
              <a:latin typeface="ＭＳ Ｐゴシック"/>
              <a:ea typeface="ＭＳ Ｐゴシック"/>
            </a:rPr>
            <a:t>: ☆☆☆</a:t>
          </a:r>
          <a:r>
            <a:rPr lang="en-US" altLang="ja-JP" sz="800" b="0" i="0" u="none" strike="noStrike" baseline="0">
              <a:solidFill>
                <a:srgbClr val="333333"/>
              </a:solidFill>
              <a:latin typeface="ＭＳ Ｐゴシック"/>
              <a:ea typeface="ＭＳ Ｐゴシック"/>
            </a:rPr>
            <a:t> 100%</a:t>
          </a:r>
          <a:r>
            <a:rPr lang="en-US" altLang="ja-JP" sz="800" b="0" i="0" u="none" strike="noStrike" baseline="0">
              <a:solidFill>
                <a:srgbClr val="000000"/>
              </a:solidFill>
              <a:latin typeface="ＭＳ Ｐゴシック"/>
              <a:ea typeface="ＭＳ Ｐゴシック"/>
            </a:rPr>
            <a:t>: ☆☆</a:t>
          </a:r>
          <a:r>
            <a:rPr lang="en-US" altLang="ja-JP" sz="800" b="0" i="0" u="none" strike="noStrike" baseline="0">
              <a:solidFill>
                <a:srgbClr val="333333"/>
              </a:solidFill>
              <a:latin typeface="ＭＳ Ｐゴシック"/>
              <a:ea typeface="ＭＳ Ｐゴシック"/>
            </a:rPr>
            <a:t>  100%</a:t>
          </a:r>
          <a:r>
            <a:rPr lang="ja-JP" altLang="en-US" sz="800" b="0" i="0" u="none" strike="noStrike" baseline="0">
              <a:solidFill>
                <a:srgbClr val="333333"/>
              </a:solidFill>
              <a:latin typeface="ＭＳ Ｐゴシック"/>
              <a:ea typeface="ＭＳ Ｐゴシック"/>
            </a:rPr>
            <a:t>超</a:t>
          </a:r>
          <a:r>
            <a:rPr lang="en-US" altLang="ja-JP" sz="800" b="0" i="0" u="none" strike="noStrike" baseline="0">
              <a:solidFill>
                <a:srgbClr val="000000"/>
              </a:solidFill>
              <a:latin typeface="ＭＳ Ｐゴシック"/>
              <a:ea typeface="ＭＳ Ｐゴシック"/>
            </a:rPr>
            <a:t>: ☆</a:t>
          </a:r>
        </a:p>
      </xdr:txBody>
    </xdr:sp>
    <xdr:clientData/>
  </xdr:oneCellAnchor>
  <xdr:twoCellAnchor>
    <xdr:from>
      <xdr:col>7</xdr:col>
      <xdr:colOff>38100</xdr:colOff>
      <xdr:row>27</xdr:row>
      <xdr:rowOff>114300</xdr:rowOff>
    </xdr:from>
    <xdr:to>
      <xdr:col>8</xdr:col>
      <xdr:colOff>228600</xdr:colOff>
      <xdr:row>30</xdr:row>
      <xdr:rowOff>19050</xdr:rowOff>
    </xdr:to>
    <xdr:sp macro="" textlink="">
      <xdr:nvSpPr>
        <xdr:cNvPr id="31" name="Text Box 131"/>
        <xdr:cNvSpPr txBox="1">
          <a:spLocks noChangeArrowheads="1"/>
        </xdr:cNvSpPr>
      </xdr:nvSpPr>
      <xdr:spPr bwMode="auto">
        <a:xfrm>
          <a:off x="3400425" y="5676900"/>
          <a:ext cx="1171575" cy="504825"/>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u="none" strike="noStrike" baseline="0">
              <a:solidFill>
                <a:srgbClr val="000000"/>
              </a:solidFill>
              <a:latin typeface="ＭＳ ゴシック"/>
              <a:ea typeface="ＭＳ ゴシック"/>
            </a:rPr>
            <a:t>③建築物の</a:t>
          </a:r>
        </a:p>
        <a:p>
          <a:pPr algn="l" rtl="0">
            <a:defRPr sz="1000"/>
          </a:pPr>
          <a:r>
            <a:rPr lang="ja-JP" altLang="en-US" sz="800" b="0" i="0" u="none" strike="noStrike" baseline="0">
              <a:solidFill>
                <a:srgbClr val="000000"/>
              </a:solidFill>
              <a:latin typeface="ＭＳ ゴシック"/>
              <a:ea typeface="ＭＳ ゴシック"/>
            </a:rPr>
            <a:t>　取組み以外の</a:t>
          </a:r>
        </a:p>
        <a:p>
          <a:pPr algn="l" rtl="0">
            <a:defRPr sz="1000"/>
          </a:pPr>
          <a:r>
            <a:rPr lang="ja-JP" altLang="en-US" sz="800" b="0" i="0" u="none" strike="noStrike" baseline="0">
              <a:solidFill>
                <a:srgbClr val="000000"/>
              </a:solidFill>
              <a:latin typeface="ＭＳ ゴシック"/>
              <a:ea typeface="ＭＳ ゴシック"/>
            </a:rPr>
            <a:t>　オンサイト手法</a:t>
          </a:r>
        </a:p>
      </xdr:txBody>
    </xdr:sp>
    <xdr:clientData/>
  </xdr:twoCellAnchor>
  <xdr:twoCellAnchor>
    <xdr:from>
      <xdr:col>7</xdr:col>
      <xdr:colOff>152400</xdr:colOff>
      <xdr:row>22</xdr:row>
      <xdr:rowOff>123825</xdr:rowOff>
    </xdr:from>
    <xdr:to>
      <xdr:col>7</xdr:col>
      <xdr:colOff>809625</xdr:colOff>
      <xdr:row>23</xdr:row>
      <xdr:rowOff>238125</xdr:rowOff>
    </xdr:to>
    <xdr:sp macro="" textlink="">
      <xdr:nvSpPr>
        <xdr:cNvPr id="32" name="Text Box 52"/>
        <xdr:cNvSpPr txBox="1">
          <a:spLocks noChangeArrowheads="1"/>
        </xdr:cNvSpPr>
      </xdr:nvSpPr>
      <xdr:spPr bwMode="auto">
        <a:xfrm>
          <a:off x="3514725" y="4438650"/>
          <a:ext cx="657225" cy="257175"/>
        </a:xfrm>
        <a:prstGeom prst="rect">
          <a:avLst/>
        </a:prstGeom>
        <a:noFill/>
        <a:ln w="0" algn="ctr">
          <a:noFill/>
          <a:miter lim="800000"/>
          <a:headEnd/>
          <a:tailEnd/>
        </a:ln>
        <a:effectLst/>
      </xdr:spPr>
      <xdr:txBody>
        <a:bodyPr vertOverflow="clip" wrap="square" lIns="0" tIns="0" rIns="0" bIns="0" anchor="t" upright="1"/>
        <a:lstStyle/>
        <a:p>
          <a:pPr algn="l" rtl="0">
            <a:defRPr sz="1000"/>
          </a:pPr>
          <a:r>
            <a:rPr lang="ja-JP" altLang="en-US" sz="1200" b="0" i="0" u="none" strike="noStrike" baseline="0">
              <a:solidFill>
                <a:srgbClr val="000000"/>
              </a:solidFill>
              <a:latin typeface="ＭＳ Ｐゴシック"/>
              <a:ea typeface="ＭＳ Ｐゴシック"/>
            </a:rPr>
            <a:t>改修前</a:t>
          </a:r>
          <a:r>
            <a:rPr lang="en-US" altLang="ja-JP" sz="1200" b="0" i="0" u="none" strike="noStrike" baseline="0">
              <a:solidFill>
                <a:srgbClr val="000000"/>
              </a:solidFill>
              <a:latin typeface="Arial"/>
              <a:cs typeface="Arial"/>
            </a:rPr>
            <a:t>=</a:t>
          </a:r>
        </a:p>
      </xdr:txBody>
    </xdr:sp>
    <xdr:clientData/>
  </xdr:twoCellAnchor>
  <xdr:twoCellAnchor>
    <xdr:from>
      <xdr:col>7</xdr:col>
      <xdr:colOff>142875</xdr:colOff>
      <xdr:row>24</xdr:row>
      <xdr:rowOff>28575</xdr:rowOff>
    </xdr:from>
    <xdr:to>
      <xdr:col>7</xdr:col>
      <xdr:colOff>800100</xdr:colOff>
      <xdr:row>25</xdr:row>
      <xdr:rowOff>142875</xdr:rowOff>
    </xdr:to>
    <xdr:sp macro="" textlink="">
      <xdr:nvSpPr>
        <xdr:cNvPr id="33" name="Text Box 53"/>
        <xdr:cNvSpPr txBox="1">
          <a:spLocks noChangeArrowheads="1"/>
        </xdr:cNvSpPr>
      </xdr:nvSpPr>
      <xdr:spPr bwMode="auto">
        <a:xfrm>
          <a:off x="3505200" y="4819650"/>
          <a:ext cx="657225" cy="381000"/>
        </a:xfrm>
        <a:prstGeom prst="rect">
          <a:avLst/>
        </a:prstGeom>
        <a:noFill/>
        <a:ln w="0" algn="ctr">
          <a:noFill/>
          <a:miter lim="800000"/>
          <a:headEnd/>
          <a:tailEnd/>
        </a:ln>
        <a:effectLst/>
      </xdr:spPr>
      <xdr:txBody>
        <a:bodyPr vertOverflow="clip" wrap="square" lIns="0" tIns="0" rIns="0" bIns="0" anchor="t" upright="1"/>
        <a:lstStyle/>
        <a:p>
          <a:pPr algn="l" rtl="0">
            <a:defRPr sz="1000"/>
          </a:pPr>
          <a:r>
            <a:rPr lang="ja-JP" altLang="en-US" sz="1200" b="0" i="0" u="none" strike="noStrike" baseline="0">
              <a:solidFill>
                <a:srgbClr val="000000"/>
              </a:solidFill>
              <a:latin typeface="ＭＳ Ｐゴシック"/>
              <a:ea typeface="ＭＳ Ｐゴシック"/>
            </a:rPr>
            <a:t>改修後</a:t>
          </a:r>
          <a:r>
            <a:rPr lang="en-US" altLang="ja-JP" sz="1200" b="0" i="0" u="none" strike="noStrike" baseline="0">
              <a:solidFill>
                <a:srgbClr val="000000"/>
              </a:solidFill>
              <a:latin typeface="Arial"/>
              <a:cs typeface="Arial"/>
            </a:rPr>
            <a:t>=</a:t>
          </a:r>
        </a:p>
      </xdr:txBody>
    </xdr:sp>
    <xdr:clientData/>
  </xdr:twoCellAnchor>
  <xdr:twoCellAnchor>
    <xdr:from>
      <xdr:col>8</xdr:col>
      <xdr:colOff>295275</xdr:colOff>
      <xdr:row>26</xdr:row>
      <xdr:rowOff>28575</xdr:rowOff>
    </xdr:from>
    <xdr:to>
      <xdr:col>11</xdr:col>
      <xdr:colOff>19050</xdr:colOff>
      <xdr:row>35</xdr:row>
      <xdr:rowOff>9525</xdr:rowOff>
    </xdr:to>
    <xdr:graphicFrame macro="">
      <xdr:nvGraphicFramePr>
        <xdr:cNvPr id="34"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733425</xdr:colOff>
      <xdr:row>2</xdr:row>
      <xdr:rowOff>38100</xdr:rowOff>
    </xdr:from>
    <xdr:to>
      <xdr:col>14</xdr:col>
      <xdr:colOff>800100</xdr:colOff>
      <xdr:row>3</xdr:row>
      <xdr:rowOff>219075</xdr:rowOff>
    </xdr:to>
    <xdr:sp macro="" textlink="">
      <xdr:nvSpPr>
        <xdr:cNvPr id="35" name="WordArt 61"/>
        <xdr:cNvSpPr>
          <a:spLocks noChangeArrowheads="1" noChangeShapeType="1" noTextEdit="1"/>
        </xdr:cNvSpPr>
      </xdr:nvSpPr>
      <xdr:spPr bwMode="auto">
        <a:xfrm>
          <a:off x="9182100" y="323850"/>
          <a:ext cx="876300" cy="419100"/>
        </a:xfrm>
        <a:prstGeom prst="rect">
          <a:avLst/>
        </a:prstGeom>
      </xdr:spPr>
      <xdr:txBody>
        <a:bodyPr wrap="none" fromWordArt="1">
          <a:prstTxWarp prst="textPlain">
            <a:avLst>
              <a:gd name="adj" fmla="val 50000"/>
            </a:avLst>
          </a:prstTxWarp>
        </a:bodyPr>
        <a:lstStyle/>
        <a:p>
          <a:pPr algn="ctr" rtl="0"/>
          <a:r>
            <a:rPr lang="ja-JP" altLang="en-US" sz="1800" kern="10" spc="0">
              <a:ln w="9525">
                <a:noFill/>
                <a:round/>
                <a:headEnd/>
                <a:tailEnd/>
              </a:ln>
              <a:solidFill>
                <a:srgbClr val="000000"/>
              </a:solidFill>
              <a:effectLst/>
              <a:latin typeface="ＭＳ Ｐゴシック"/>
              <a:ea typeface="ＭＳ Ｐゴシック"/>
            </a:rPr>
            <a:t>（改修前後</a:t>
          </a:r>
        </a:p>
        <a:p>
          <a:pPr algn="ctr" rtl="0"/>
          <a:r>
            <a:rPr lang="ja-JP" altLang="en-US" sz="1800" kern="10" spc="0">
              <a:ln w="9525">
                <a:noFill/>
                <a:round/>
                <a:headEnd/>
                <a:tailEnd/>
              </a:ln>
              <a:solidFill>
                <a:srgbClr val="000000"/>
              </a:solidFill>
              <a:effectLst/>
              <a:latin typeface="ＭＳ Ｐゴシック"/>
              <a:ea typeface="ＭＳ Ｐゴシック"/>
            </a:rPr>
            <a:t>　の比較）</a:t>
          </a:r>
        </a:p>
      </xdr:txBody>
    </xdr:sp>
    <xdr:clientData/>
  </xdr:twoCellAnchor>
  <xdr:twoCellAnchor>
    <xdr:from>
      <xdr:col>7</xdr:col>
      <xdr:colOff>38100</xdr:colOff>
      <xdr:row>30</xdr:row>
      <xdr:rowOff>161925</xdr:rowOff>
    </xdr:from>
    <xdr:to>
      <xdr:col>8</xdr:col>
      <xdr:colOff>342900</xdr:colOff>
      <xdr:row>32</xdr:row>
      <xdr:rowOff>28575</xdr:rowOff>
    </xdr:to>
    <xdr:sp macro="" textlink="">
      <xdr:nvSpPr>
        <xdr:cNvPr id="36" name="Text Box 49"/>
        <xdr:cNvSpPr txBox="1">
          <a:spLocks noChangeArrowheads="1"/>
        </xdr:cNvSpPr>
      </xdr:nvSpPr>
      <xdr:spPr bwMode="auto">
        <a:xfrm>
          <a:off x="3400425" y="6324600"/>
          <a:ext cx="1285875" cy="2667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8</xdr:col>
      <xdr:colOff>47625</xdr:colOff>
      <xdr:row>27</xdr:row>
      <xdr:rowOff>114300</xdr:rowOff>
    </xdr:from>
    <xdr:to>
      <xdr:col>8</xdr:col>
      <xdr:colOff>495300</xdr:colOff>
      <xdr:row>30</xdr:row>
      <xdr:rowOff>28575</xdr:rowOff>
    </xdr:to>
    <xdr:sp macro="" textlink="">
      <xdr:nvSpPr>
        <xdr:cNvPr id="37" name="Text Box 49"/>
        <xdr:cNvSpPr txBox="1">
          <a:spLocks noChangeArrowheads="1"/>
        </xdr:cNvSpPr>
      </xdr:nvSpPr>
      <xdr:spPr bwMode="auto">
        <a:xfrm>
          <a:off x="4391025" y="5676900"/>
          <a:ext cx="447675" cy="51435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u="none" strike="noStrike" baseline="0">
              <a:solidFill>
                <a:srgbClr val="000000"/>
              </a:solidFill>
              <a:latin typeface="ＭＳ ゴシック"/>
              <a:ea typeface="ＭＳ ゴシック"/>
            </a:rPr>
            <a:t>改修前</a:t>
          </a:r>
        </a:p>
        <a:p>
          <a:pPr algn="l" rtl="0">
            <a:defRPr sz="1000"/>
          </a:pPr>
          <a:endParaRPr lang="ja-JP" altLang="en-US"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改修後</a:t>
          </a:r>
        </a:p>
      </xdr:txBody>
    </xdr:sp>
    <xdr:clientData/>
  </xdr:twoCellAnchor>
  <xdr:twoCellAnchor>
    <xdr:from>
      <xdr:col>8</xdr:col>
      <xdr:colOff>38100</xdr:colOff>
      <xdr:row>30</xdr:row>
      <xdr:rowOff>104775</xdr:rowOff>
    </xdr:from>
    <xdr:to>
      <xdr:col>8</xdr:col>
      <xdr:colOff>485775</xdr:colOff>
      <xdr:row>33</xdr:row>
      <xdr:rowOff>19050</xdr:rowOff>
    </xdr:to>
    <xdr:sp macro="" textlink="">
      <xdr:nvSpPr>
        <xdr:cNvPr id="38" name="Text Box 49"/>
        <xdr:cNvSpPr txBox="1">
          <a:spLocks noChangeArrowheads="1"/>
        </xdr:cNvSpPr>
      </xdr:nvSpPr>
      <xdr:spPr bwMode="auto">
        <a:xfrm>
          <a:off x="4381500" y="6267450"/>
          <a:ext cx="447675" cy="51435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u="none" strike="noStrike" baseline="0">
              <a:solidFill>
                <a:srgbClr val="000000"/>
              </a:solidFill>
              <a:latin typeface="ＭＳ ゴシック"/>
              <a:ea typeface="ＭＳ ゴシック"/>
            </a:rPr>
            <a:t>改修前</a:t>
          </a:r>
        </a:p>
        <a:p>
          <a:pPr algn="l" rtl="0">
            <a:defRPr sz="1000"/>
          </a:pPr>
          <a:endParaRPr lang="ja-JP" altLang="en-US"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改修後</a:t>
          </a:r>
        </a:p>
      </xdr:txBody>
    </xdr:sp>
    <xdr:clientData/>
  </xdr:twoCellAnchor>
  <xdr:twoCellAnchor>
    <xdr:from>
      <xdr:col>2</xdr:col>
      <xdr:colOff>190500</xdr:colOff>
      <xdr:row>48</xdr:row>
      <xdr:rowOff>66675</xdr:rowOff>
    </xdr:from>
    <xdr:to>
      <xdr:col>2</xdr:col>
      <xdr:colOff>676275</xdr:colOff>
      <xdr:row>49</xdr:row>
      <xdr:rowOff>19050</xdr:rowOff>
    </xdr:to>
    <xdr:sp macro="" textlink="">
      <xdr:nvSpPr>
        <xdr:cNvPr id="39" name="Text Box 20"/>
        <xdr:cNvSpPr txBox="1">
          <a:spLocks noChangeArrowheads="1"/>
        </xdr:cNvSpPr>
      </xdr:nvSpPr>
      <xdr:spPr bwMode="auto">
        <a:xfrm>
          <a:off x="409575" y="9972675"/>
          <a:ext cx="485775" cy="14287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u="none" strike="noStrike" baseline="0">
              <a:solidFill>
                <a:srgbClr val="000000"/>
              </a:solidFill>
              <a:latin typeface="ＭＳ Ｐゴシック"/>
              <a:ea typeface="ＭＳ Ｐゴシック"/>
            </a:rPr>
            <a:t>音環境　　　　　　　　　　</a:t>
          </a:r>
        </a:p>
      </xdr:txBody>
    </xdr:sp>
    <xdr:clientData/>
  </xdr:twoCellAnchor>
  <xdr:twoCellAnchor>
    <xdr:from>
      <xdr:col>7</xdr:col>
      <xdr:colOff>666750</xdr:colOff>
      <xdr:row>48</xdr:row>
      <xdr:rowOff>104775</xdr:rowOff>
    </xdr:from>
    <xdr:to>
      <xdr:col>8</xdr:col>
      <xdr:colOff>190500</xdr:colOff>
      <xdr:row>49</xdr:row>
      <xdr:rowOff>57150</xdr:rowOff>
    </xdr:to>
    <xdr:sp macro="" textlink="">
      <xdr:nvSpPr>
        <xdr:cNvPr id="40" name="Text Box 21"/>
        <xdr:cNvSpPr txBox="1">
          <a:spLocks noChangeArrowheads="1"/>
        </xdr:cNvSpPr>
      </xdr:nvSpPr>
      <xdr:spPr bwMode="auto">
        <a:xfrm>
          <a:off x="4029075" y="10010775"/>
          <a:ext cx="504825" cy="14287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u="none" strike="noStrike" baseline="0">
              <a:solidFill>
                <a:srgbClr val="000000"/>
              </a:solidFill>
              <a:latin typeface="ＭＳ Ｐゴシック"/>
              <a:ea typeface="ＭＳ Ｐゴシック"/>
            </a:rPr>
            <a:t>機能性  </a:t>
          </a:r>
        </a:p>
      </xdr:txBody>
    </xdr:sp>
    <xdr:clientData/>
  </xdr:twoCellAnchor>
  <xdr:oneCellAnchor>
    <xdr:from>
      <xdr:col>11</xdr:col>
      <xdr:colOff>670057</xdr:colOff>
      <xdr:row>48</xdr:row>
      <xdr:rowOff>57140</xdr:rowOff>
    </xdr:from>
    <xdr:ext cx="419912" cy="133370"/>
    <xdr:sp macro="" textlink="">
      <xdr:nvSpPr>
        <xdr:cNvPr id="41" name="Text Box 22"/>
        <xdr:cNvSpPr txBox="1">
          <a:spLocks noChangeArrowheads="1"/>
        </xdr:cNvSpPr>
      </xdr:nvSpPr>
      <xdr:spPr bwMode="auto">
        <a:xfrm>
          <a:off x="7385182" y="9963140"/>
          <a:ext cx="419912"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xdr:from>
      <xdr:col>9</xdr:col>
      <xdr:colOff>57150</xdr:colOff>
      <xdr:row>48</xdr:row>
      <xdr:rowOff>57149</xdr:rowOff>
    </xdr:from>
    <xdr:to>
      <xdr:col>9</xdr:col>
      <xdr:colOff>552450</xdr:colOff>
      <xdr:row>50</xdr:row>
      <xdr:rowOff>123824</xdr:rowOff>
    </xdr:to>
    <xdr:sp macro="" textlink="">
      <xdr:nvSpPr>
        <xdr:cNvPr id="42" name="Text Box 107"/>
        <xdr:cNvSpPr txBox="1">
          <a:spLocks noChangeArrowheads="1"/>
        </xdr:cNvSpPr>
      </xdr:nvSpPr>
      <xdr:spPr bwMode="auto">
        <a:xfrm>
          <a:off x="4943475" y="9963149"/>
          <a:ext cx="495300" cy="4476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 耐用性</a:t>
          </a:r>
        </a:p>
        <a:p>
          <a:pPr algn="ctr" rtl="0">
            <a:defRPr sz="1000"/>
          </a:pPr>
          <a:r>
            <a:rPr lang="ja-JP" altLang="en-US" sz="800" b="0" i="0" u="none" strike="noStrike" baseline="0">
              <a:solidFill>
                <a:srgbClr val="000000"/>
              </a:solidFill>
              <a:latin typeface="ＭＳ Ｐゴシック"/>
              <a:ea typeface="ＭＳ Ｐゴシック"/>
            </a:rPr>
            <a:t> ・信頼性</a:t>
          </a:r>
        </a:p>
      </xdr:txBody>
    </xdr:sp>
    <xdr:clientData/>
  </xdr:twoCellAnchor>
  <xdr:twoCellAnchor>
    <xdr:from>
      <xdr:col>10</xdr:col>
      <xdr:colOff>38100</xdr:colOff>
      <xdr:row>48</xdr:row>
      <xdr:rowOff>57149</xdr:rowOff>
    </xdr:from>
    <xdr:to>
      <xdr:col>10</xdr:col>
      <xdr:colOff>542925</xdr:colOff>
      <xdr:row>50</xdr:row>
      <xdr:rowOff>47624</xdr:rowOff>
    </xdr:to>
    <xdr:sp macro="" textlink="">
      <xdr:nvSpPr>
        <xdr:cNvPr id="43" name="Text Box 108"/>
        <xdr:cNvSpPr txBox="1">
          <a:spLocks noChangeArrowheads="1"/>
        </xdr:cNvSpPr>
      </xdr:nvSpPr>
      <xdr:spPr bwMode="auto">
        <a:xfrm>
          <a:off x="5848350" y="9963149"/>
          <a:ext cx="504825" cy="3714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対応性</a:t>
          </a:r>
        </a:p>
        <a:p>
          <a:pPr algn="ctr" rtl="0">
            <a:defRPr sz="1000"/>
          </a:pPr>
          <a:r>
            <a:rPr lang="ja-JP" altLang="en-US" sz="800" b="0" i="0" u="none" strike="noStrike" baseline="0">
              <a:solidFill>
                <a:srgbClr val="000000"/>
              </a:solidFill>
              <a:latin typeface="ＭＳ Ｐゴシック"/>
              <a:ea typeface="ＭＳ Ｐゴシック"/>
            </a:rPr>
            <a:t> ・更新性　</a:t>
          </a:r>
        </a:p>
      </xdr:txBody>
    </xdr:sp>
    <xdr:clientData/>
  </xdr:twoCellAnchor>
  <xdr:twoCellAnchor>
    <xdr:from>
      <xdr:col>12</xdr:col>
      <xdr:colOff>666750</xdr:colOff>
      <xdr:row>48</xdr:row>
      <xdr:rowOff>47625</xdr:rowOff>
    </xdr:from>
    <xdr:to>
      <xdr:col>13</xdr:col>
      <xdr:colOff>314325</xdr:colOff>
      <xdr:row>50</xdr:row>
      <xdr:rowOff>28575</xdr:rowOff>
    </xdr:to>
    <xdr:sp macro="" textlink="">
      <xdr:nvSpPr>
        <xdr:cNvPr id="44" name="Text Box 109"/>
        <xdr:cNvSpPr txBox="1">
          <a:spLocks noChangeArrowheads="1"/>
        </xdr:cNvSpPr>
      </xdr:nvSpPr>
      <xdr:spPr bwMode="auto">
        <a:xfrm>
          <a:off x="8210550" y="9953625"/>
          <a:ext cx="552450" cy="3619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まちなみ</a:t>
          </a:r>
        </a:p>
        <a:p>
          <a:pPr algn="ctr" rtl="0">
            <a:defRPr sz="1000"/>
          </a:pPr>
          <a:r>
            <a:rPr lang="ja-JP" altLang="en-US" sz="800" b="0" i="0" u="none" strike="noStrike" baseline="0">
              <a:solidFill>
                <a:srgbClr val="000000"/>
              </a:solidFill>
              <a:latin typeface="ＭＳ Ｐゴシック"/>
              <a:ea typeface="ＭＳ Ｐゴシック"/>
            </a:rPr>
            <a:t>・景観　</a:t>
          </a:r>
        </a:p>
      </xdr:txBody>
    </xdr:sp>
    <xdr:clientData/>
  </xdr:twoCellAnchor>
  <xdr:twoCellAnchor>
    <xdr:from>
      <xdr:col>13</xdr:col>
      <xdr:colOff>619125</xdr:colOff>
      <xdr:row>48</xdr:row>
      <xdr:rowOff>38099</xdr:rowOff>
    </xdr:from>
    <xdr:to>
      <xdr:col>14</xdr:col>
      <xdr:colOff>495300</xdr:colOff>
      <xdr:row>50</xdr:row>
      <xdr:rowOff>66674</xdr:rowOff>
    </xdr:to>
    <xdr:sp macro="" textlink="">
      <xdr:nvSpPr>
        <xdr:cNvPr id="45" name="Text Box 110"/>
        <xdr:cNvSpPr txBox="1">
          <a:spLocks noChangeArrowheads="1"/>
        </xdr:cNvSpPr>
      </xdr:nvSpPr>
      <xdr:spPr bwMode="auto">
        <a:xfrm>
          <a:off x="9067800" y="9944099"/>
          <a:ext cx="685800" cy="4095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地域性・　</a:t>
          </a:r>
        </a:p>
        <a:p>
          <a:pPr algn="ctr" rtl="0">
            <a:defRPr sz="1000"/>
          </a:pPr>
          <a:r>
            <a:rPr lang="ja-JP" altLang="en-US" sz="800" b="0" i="0" u="none" strike="noStrike" baseline="0">
              <a:solidFill>
                <a:srgbClr val="000000"/>
              </a:solidFill>
              <a:latin typeface="ＭＳ Ｐゴシック"/>
              <a:ea typeface="ＭＳ Ｐゴシック"/>
            </a:rPr>
            <a:t>アメニティ　　　　　　　　　</a:t>
          </a:r>
        </a:p>
      </xdr:txBody>
    </xdr:sp>
    <xdr:clientData/>
  </xdr:twoCellAnchor>
  <xdr:twoCellAnchor>
    <xdr:from>
      <xdr:col>2</xdr:col>
      <xdr:colOff>895350</xdr:colOff>
      <xdr:row>48</xdr:row>
      <xdr:rowOff>85725</xdr:rowOff>
    </xdr:from>
    <xdr:to>
      <xdr:col>4</xdr:col>
      <xdr:colOff>38100</xdr:colOff>
      <xdr:row>49</xdr:row>
      <xdr:rowOff>9525</xdr:rowOff>
    </xdr:to>
    <xdr:sp macro="" textlink="">
      <xdr:nvSpPr>
        <xdr:cNvPr id="46" name="Text Box 142"/>
        <xdr:cNvSpPr txBox="1">
          <a:spLocks noChangeArrowheads="1"/>
        </xdr:cNvSpPr>
      </xdr:nvSpPr>
      <xdr:spPr bwMode="auto">
        <a:xfrm>
          <a:off x="1114425" y="999172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u="none" strike="noStrike" baseline="0">
              <a:solidFill>
                <a:srgbClr val="000000"/>
              </a:solidFill>
              <a:latin typeface="ＭＳ Ｐゴシック"/>
              <a:ea typeface="ＭＳ Ｐゴシック"/>
            </a:rPr>
            <a:t>温熱環境</a:t>
          </a:r>
        </a:p>
      </xdr:txBody>
    </xdr:sp>
    <xdr:clientData/>
  </xdr:twoCellAnchor>
  <xdr:oneCellAnchor>
    <xdr:from>
      <xdr:col>4</xdr:col>
      <xdr:colOff>238125</xdr:colOff>
      <xdr:row>48</xdr:row>
      <xdr:rowOff>57150</xdr:rowOff>
    </xdr:from>
    <xdr:ext cx="585195" cy="142895"/>
    <xdr:sp macro="" textlink="">
      <xdr:nvSpPr>
        <xdr:cNvPr id="47" name="Text Box 143"/>
        <xdr:cNvSpPr txBox="1">
          <a:spLocks noChangeArrowheads="1"/>
        </xdr:cNvSpPr>
      </xdr:nvSpPr>
      <xdr:spPr bwMode="auto">
        <a:xfrm>
          <a:off x="1885950" y="9963150"/>
          <a:ext cx="585195" cy="142895"/>
        </a:xfrm>
        <a:prstGeom prst="rect">
          <a:avLst/>
        </a:prstGeom>
        <a:noFill/>
        <a:ln w="9525">
          <a:noFill/>
          <a:miter lim="800000"/>
          <a:headEnd/>
          <a:tailEnd/>
        </a:ln>
      </xdr:spPr>
      <xdr:txBody>
        <a:bodyPr wrap="square" lIns="0" tIns="0" rIns="0" bIns="0" anchor="ctr" upright="1">
          <a:noAutofit/>
        </a:bodyPr>
        <a:lstStyle/>
        <a:p>
          <a:pPr algn="ctr" rtl="0">
            <a:defRPr sz="1000"/>
          </a:pPr>
          <a:r>
            <a:rPr lang="ja-JP" altLang="en-US" sz="800" b="0" i="0" strike="noStrike">
              <a:solidFill>
                <a:srgbClr val="000000"/>
              </a:solidFill>
              <a:latin typeface="ＭＳ Ｐゴシック"/>
              <a:ea typeface="ＭＳ Ｐゴシック"/>
            </a:rPr>
            <a:t>光･視環境</a:t>
          </a:r>
        </a:p>
      </xdr:txBody>
    </xdr:sp>
    <xdr:clientData/>
  </xdr:oneCellAnchor>
  <xdr:twoCellAnchor>
    <xdr:from>
      <xdr:col>5</xdr:col>
      <xdr:colOff>171450</xdr:colOff>
      <xdr:row>48</xdr:row>
      <xdr:rowOff>57150</xdr:rowOff>
    </xdr:from>
    <xdr:to>
      <xdr:col>6</xdr:col>
      <xdr:colOff>400050</xdr:colOff>
      <xdr:row>49</xdr:row>
      <xdr:rowOff>9525</xdr:rowOff>
    </xdr:to>
    <xdr:sp macro="" textlink="">
      <xdr:nvSpPr>
        <xdr:cNvPr id="48" name="Text Box 144"/>
        <xdr:cNvSpPr txBox="1">
          <a:spLocks noChangeArrowheads="1"/>
        </xdr:cNvSpPr>
      </xdr:nvSpPr>
      <xdr:spPr bwMode="auto">
        <a:xfrm>
          <a:off x="2562225" y="9963150"/>
          <a:ext cx="704850" cy="14287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u="none" strike="noStrike" baseline="0">
              <a:solidFill>
                <a:srgbClr val="000000"/>
              </a:solidFill>
              <a:latin typeface="ＭＳ Ｐゴシック"/>
              <a:ea typeface="ＭＳ Ｐゴシック"/>
            </a:rPr>
            <a:t>空気質環境　　　　　　　</a:t>
          </a:r>
        </a:p>
      </xdr:txBody>
    </xdr:sp>
    <xdr:clientData/>
  </xdr:twoCellAnchor>
  <xdr:twoCellAnchor>
    <xdr:from>
      <xdr:col>7</xdr:col>
      <xdr:colOff>523875</xdr:colOff>
      <xdr:row>59</xdr:row>
      <xdr:rowOff>57150</xdr:rowOff>
    </xdr:from>
    <xdr:to>
      <xdr:col>8</xdr:col>
      <xdr:colOff>228600</xdr:colOff>
      <xdr:row>61</xdr:row>
      <xdr:rowOff>47625</xdr:rowOff>
    </xdr:to>
    <xdr:sp macro="" textlink="">
      <xdr:nvSpPr>
        <xdr:cNvPr id="49" name="Text Box 7"/>
        <xdr:cNvSpPr txBox="1">
          <a:spLocks noChangeArrowheads="1"/>
        </xdr:cNvSpPr>
      </xdr:nvSpPr>
      <xdr:spPr bwMode="auto">
        <a:xfrm>
          <a:off x="3886200" y="12134850"/>
          <a:ext cx="685800" cy="3905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水資源　　</a:t>
          </a:r>
        </a:p>
        <a:p>
          <a:pPr algn="ctr" rtl="0">
            <a:defRPr sz="1000"/>
          </a:pPr>
          <a:r>
            <a:rPr lang="ja-JP" altLang="en-US" sz="800" b="0" i="0" u="none" strike="noStrike" baseline="0">
              <a:solidFill>
                <a:srgbClr val="000000"/>
              </a:solidFill>
              <a:latin typeface="ＭＳ Ｐゴシック"/>
              <a:ea typeface="ＭＳ Ｐゴシック"/>
            </a:rPr>
            <a:t>　  保護</a:t>
          </a:r>
        </a:p>
      </xdr:txBody>
    </xdr:sp>
    <xdr:clientData/>
  </xdr:twoCellAnchor>
  <xdr:twoCellAnchor>
    <xdr:from>
      <xdr:col>9</xdr:col>
      <xdr:colOff>9525</xdr:colOff>
      <xdr:row>59</xdr:row>
      <xdr:rowOff>57150</xdr:rowOff>
    </xdr:from>
    <xdr:to>
      <xdr:col>9</xdr:col>
      <xdr:colOff>714375</xdr:colOff>
      <xdr:row>61</xdr:row>
      <xdr:rowOff>0</xdr:rowOff>
    </xdr:to>
    <xdr:sp macro="" textlink="">
      <xdr:nvSpPr>
        <xdr:cNvPr id="50" name="Text Box 104"/>
        <xdr:cNvSpPr txBox="1">
          <a:spLocks noChangeArrowheads="1"/>
        </xdr:cNvSpPr>
      </xdr:nvSpPr>
      <xdr:spPr bwMode="auto">
        <a:xfrm>
          <a:off x="4895850" y="12134850"/>
          <a:ext cx="704850" cy="3429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非再生材料の</a:t>
          </a:r>
        </a:p>
        <a:p>
          <a:pPr algn="ctr" rtl="0">
            <a:lnSpc>
              <a:spcPts val="1000"/>
            </a:lnSpc>
            <a:defRPr sz="1000"/>
          </a:pPr>
          <a:r>
            <a:rPr lang="ja-JP" altLang="en-US" sz="800" b="0" i="0" u="none" strike="noStrike" baseline="0">
              <a:solidFill>
                <a:srgbClr val="000000"/>
              </a:solidFill>
              <a:latin typeface="ＭＳ Ｐゴシック"/>
              <a:ea typeface="ＭＳ Ｐゴシック"/>
            </a:rPr>
            <a:t>使用削減</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9</xdr:col>
      <xdr:colOff>904875</xdr:colOff>
      <xdr:row>59</xdr:row>
      <xdr:rowOff>57150</xdr:rowOff>
    </xdr:from>
    <xdr:to>
      <xdr:col>10</xdr:col>
      <xdr:colOff>685800</xdr:colOff>
      <xdr:row>61</xdr:row>
      <xdr:rowOff>28575</xdr:rowOff>
    </xdr:to>
    <xdr:sp macro="" textlink="">
      <xdr:nvSpPr>
        <xdr:cNvPr id="51" name="Text Box 145"/>
        <xdr:cNvSpPr txBox="1">
          <a:spLocks noChangeArrowheads="1"/>
        </xdr:cNvSpPr>
      </xdr:nvSpPr>
      <xdr:spPr bwMode="auto">
        <a:xfrm>
          <a:off x="5791200" y="12134850"/>
          <a:ext cx="704850" cy="3714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汚染物質</a:t>
          </a:r>
        </a:p>
        <a:p>
          <a:pPr algn="ctr" rtl="0">
            <a:lnSpc>
              <a:spcPts val="1000"/>
            </a:lnSpc>
            <a:defRPr sz="1000"/>
          </a:pPr>
          <a:r>
            <a:rPr lang="ja-JP" altLang="en-US" sz="800" b="0" i="0" u="none" strike="noStrike" baseline="0">
              <a:solidFill>
                <a:srgbClr val="000000"/>
              </a:solidFill>
              <a:latin typeface="ＭＳ Ｐゴシック"/>
              <a:ea typeface="ＭＳ Ｐゴシック"/>
            </a:rPr>
            <a:t>回避</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2</xdr:col>
      <xdr:colOff>209550</xdr:colOff>
      <xdr:row>59</xdr:row>
      <xdr:rowOff>57150</xdr:rowOff>
    </xdr:from>
    <xdr:to>
      <xdr:col>2</xdr:col>
      <xdr:colOff>714375</xdr:colOff>
      <xdr:row>61</xdr:row>
      <xdr:rowOff>0</xdr:rowOff>
    </xdr:to>
    <xdr:sp macro="" textlink="">
      <xdr:nvSpPr>
        <xdr:cNvPr id="52" name="Text Box 23"/>
        <xdr:cNvSpPr txBox="1">
          <a:spLocks noChangeArrowheads="1"/>
        </xdr:cNvSpPr>
      </xdr:nvSpPr>
      <xdr:spPr bwMode="auto">
        <a:xfrm>
          <a:off x="428625" y="12134850"/>
          <a:ext cx="504825" cy="3429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u="none" strike="noStrike" baseline="0">
              <a:solidFill>
                <a:srgbClr val="000000"/>
              </a:solidFill>
              <a:latin typeface="ＭＳ Ｐゴシック"/>
              <a:ea typeface="ＭＳ Ｐゴシック"/>
            </a:rPr>
            <a:t>   建物の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xdr:from>
      <xdr:col>2</xdr:col>
      <xdr:colOff>952500</xdr:colOff>
      <xdr:row>59</xdr:row>
      <xdr:rowOff>57150</xdr:rowOff>
    </xdr:from>
    <xdr:to>
      <xdr:col>4</xdr:col>
      <xdr:colOff>85725</xdr:colOff>
      <xdr:row>61</xdr:row>
      <xdr:rowOff>38100</xdr:rowOff>
    </xdr:to>
    <xdr:sp macro="" textlink="">
      <xdr:nvSpPr>
        <xdr:cNvPr id="53" name="Text Box 101"/>
        <xdr:cNvSpPr txBox="1">
          <a:spLocks noChangeArrowheads="1"/>
        </xdr:cNvSpPr>
      </xdr:nvSpPr>
      <xdr:spPr bwMode="auto">
        <a:xfrm>
          <a:off x="1171575" y="12134850"/>
          <a:ext cx="561975" cy="3810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u="none" strike="noStrike" baseline="0">
              <a:solidFill>
                <a:srgbClr val="000000"/>
              </a:solidFill>
              <a:latin typeface="ＭＳ Ｐゴシック"/>
              <a:ea typeface="ＭＳ Ｐゴシック"/>
            </a:rPr>
            <a:t> 自然エネ     </a:t>
          </a:r>
        </a:p>
        <a:p>
          <a:pPr algn="ctr" rtl="0">
            <a:lnSpc>
              <a:spcPts val="1000"/>
            </a:lnSpc>
            <a:defRPr sz="1000"/>
          </a:pPr>
          <a:r>
            <a:rPr lang="ja-JP" altLang="en-US" sz="825" b="0" i="0" u="none" strike="noStrike" baseline="0">
              <a:solidFill>
                <a:srgbClr val="000000"/>
              </a:solidFill>
              <a:latin typeface="ＭＳ Ｐゴシック"/>
              <a:ea typeface="ＭＳ Ｐゴシック"/>
            </a:rPr>
            <a:t>  ルギー</a:t>
          </a:r>
        </a:p>
      </xdr:txBody>
    </xdr:sp>
    <xdr:clientData/>
  </xdr:twoCellAnchor>
  <xdr:twoCellAnchor>
    <xdr:from>
      <xdr:col>4</xdr:col>
      <xdr:colOff>219075</xdr:colOff>
      <xdr:row>59</xdr:row>
      <xdr:rowOff>57149</xdr:rowOff>
    </xdr:from>
    <xdr:to>
      <xdr:col>5</xdr:col>
      <xdr:colOff>142875</xdr:colOff>
      <xdr:row>61</xdr:row>
      <xdr:rowOff>28574</xdr:rowOff>
    </xdr:to>
    <xdr:sp macro="" textlink="">
      <xdr:nvSpPr>
        <xdr:cNvPr id="54" name="Text Box 102"/>
        <xdr:cNvSpPr txBox="1">
          <a:spLocks noChangeArrowheads="1"/>
        </xdr:cNvSpPr>
      </xdr:nvSpPr>
      <xdr:spPr bwMode="auto">
        <a:xfrm>
          <a:off x="1866900" y="12134849"/>
          <a:ext cx="666750" cy="3714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u="none" strike="noStrike" baseline="0">
              <a:solidFill>
                <a:srgbClr val="000000"/>
              </a:solidFill>
              <a:latin typeface="ＭＳ Ｐゴシック"/>
              <a:ea typeface="ＭＳ Ｐゴシック"/>
            </a:rPr>
            <a:t> 設備システ     </a:t>
          </a:r>
        </a:p>
        <a:p>
          <a:pPr algn="ctr" rtl="0">
            <a:lnSpc>
              <a:spcPts val="1000"/>
            </a:lnSpc>
            <a:defRPr sz="1000"/>
          </a:pPr>
          <a:r>
            <a:rPr lang="ja-JP" altLang="en-US" sz="825" b="0" i="0" u="none" strike="noStrike" baseline="0">
              <a:solidFill>
                <a:srgbClr val="000000"/>
              </a:solidFill>
              <a:latin typeface="ＭＳ Ｐゴシック"/>
              <a:ea typeface="ＭＳ Ｐゴシック"/>
            </a:rPr>
            <a:t> ム効率化</a:t>
          </a:r>
        </a:p>
      </xdr:txBody>
    </xdr:sp>
    <xdr:clientData/>
  </xdr:twoCellAnchor>
  <xdr:twoCellAnchor>
    <xdr:from>
      <xdr:col>5</xdr:col>
      <xdr:colOff>361950</xdr:colOff>
      <xdr:row>59</xdr:row>
      <xdr:rowOff>57150</xdr:rowOff>
    </xdr:from>
    <xdr:to>
      <xdr:col>6</xdr:col>
      <xdr:colOff>285750</xdr:colOff>
      <xdr:row>61</xdr:row>
      <xdr:rowOff>19050</xdr:rowOff>
    </xdr:to>
    <xdr:sp macro="" textlink="">
      <xdr:nvSpPr>
        <xdr:cNvPr id="55" name="Text Box 103"/>
        <xdr:cNvSpPr txBox="1">
          <a:spLocks noChangeArrowheads="1"/>
        </xdr:cNvSpPr>
      </xdr:nvSpPr>
      <xdr:spPr bwMode="auto">
        <a:xfrm>
          <a:off x="2752725" y="12134850"/>
          <a:ext cx="400050" cy="3619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u="none" strike="noStrike" baseline="0">
              <a:solidFill>
                <a:srgbClr val="000000"/>
              </a:solidFill>
              <a:latin typeface="ＭＳ Ｐゴシック"/>
              <a:ea typeface="ＭＳ Ｐゴシック"/>
            </a:rPr>
            <a:t>効率的              </a:t>
          </a:r>
        </a:p>
        <a:p>
          <a:pPr algn="ctr" rtl="0">
            <a:lnSpc>
              <a:spcPts val="1000"/>
            </a:lnSpc>
            <a:defRPr sz="1000"/>
          </a:pPr>
          <a:r>
            <a:rPr lang="ja-JP" altLang="en-US" sz="825" b="0" i="0" u="none" strike="noStrike" baseline="0">
              <a:solidFill>
                <a:srgbClr val="000000"/>
              </a:solidFill>
              <a:latin typeface="ＭＳ Ｐゴシック"/>
              <a:ea typeface="ＭＳ Ｐゴシック"/>
            </a:rPr>
            <a:t>運用</a:t>
          </a:r>
        </a:p>
      </xdr:txBody>
    </xdr:sp>
    <xdr:clientData/>
  </xdr:twoCellAnchor>
  <xdr:twoCellAnchor>
    <xdr:from>
      <xdr:col>11</xdr:col>
      <xdr:colOff>419101</xdr:colOff>
      <xdr:row>59</xdr:row>
      <xdr:rowOff>47625</xdr:rowOff>
    </xdr:from>
    <xdr:to>
      <xdr:col>12</xdr:col>
      <xdr:colOff>447676</xdr:colOff>
      <xdr:row>61</xdr:row>
      <xdr:rowOff>0</xdr:rowOff>
    </xdr:to>
    <xdr:sp macro="" textlink="">
      <xdr:nvSpPr>
        <xdr:cNvPr id="56" name="Text Box 148"/>
        <xdr:cNvSpPr txBox="1">
          <a:spLocks noChangeArrowheads="1"/>
        </xdr:cNvSpPr>
      </xdr:nvSpPr>
      <xdr:spPr bwMode="auto">
        <a:xfrm>
          <a:off x="7134226" y="12125325"/>
          <a:ext cx="857250" cy="3524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地球温暖化</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12</xdr:col>
      <xdr:colOff>523875</xdr:colOff>
      <xdr:row>59</xdr:row>
      <xdr:rowOff>47625</xdr:rowOff>
    </xdr:from>
    <xdr:to>
      <xdr:col>13</xdr:col>
      <xdr:colOff>371475</xdr:colOff>
      <xdr:row>61</xdr:row>
      <xdr:rowOff>0</xdr:rowOff>
    </xdr:to>
    <xdr:sp macro="" textlink="">
      <xdr:nvSpPr>
        <xdr:cNvPr id="57" name="Text Box 149"/>
        <xdr:cNvSpPr txBox="1">
          <a:spLocks noChangeArrowheads="1"/>
        </xdr:cNvSpPr>
      </xdr:nvSpPr>
      <xdr:spPr bwMode="auto">
        <a:xfrm>
          <a:off x="8067675" y="12125325"/>
          <a:ext cx="752475" cy="3524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地域環境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13</xdr:col>
      <xdr:colOff>485775</xdr:colOff>
      <xdr:row>59</xdr:row>
      <xdr:rowOff>47625</xdr:rowOff>
    </xdr:from>
    <xdr:to>
      <xdr:col>14</xdr:col>
      <xdr:colOff>590550</xdr:colOff>
      <xdr:row>61</xdr:row>
      <xdr:rowOff>0</xdr:rowOff>
    </xdr:to>
    <xdr:sp macro="" textlink="">
      <xdr:nvSpPr>
        <xdr:cNvPr id="58" name="Text Box 150"/>
        <xdr:cNvSpPr txBox="1">
          <a:spLocks noChangeArrowheads="1"/>
        </xdr:cNvSpPr>
      </xdr:nvSpPr>
      <xdr:spPr bwMode="auto">
        <a:xfrm>
          <a:off x="8934450" y="12125325"/>
          <a:ext cx="914400" cy="3524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周辺環境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editAs="oneCell">
    <xdr:from>
      <xdr:col>12</xdr:col>
      <xdr:colOff>714375</xdr:colOff>
      <xdr:row>2</xdr:row>
      <xdr:rowOff>9525</xdr:rowOff>
    </xdr:from>
    <xdr:to>
      <xdr:col>13</xdr:col>
      <xdr:colOff>695325</xdr:colOff>
      <xdr:row>3</xdr:row>
      <xdr:rowOff>200025</xdr:rowOff>
    </xdr:to>
    <xdr:pic>
      <xdr:nvPicPr>
        <xdr:cNvPr id="59" name="Picture 99" descr="LOGO5"/>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8258175" y="295275"/>
          <a:ext cx="885825" cy="428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0</xdr:colOff>
      <xdr:row>1</xdr:row>
      <xdr:rowOff>209550</xdr:rowOff>
    </xdr:from>
    <xdr:to>
      <xdr:col>4</xdr:col>
      <xdr:colOff>704850</xdr:colOff>
      <xdr:row>4</xdr:row>
      <xdr:rowOff>76200</xdr:rowOff>
    </xdr:to>
    <xdr:pic>
      <xdr:nvPicPr>
        <xdr:cNvPr id="60" name="Picture 100" descr="LOGO8"/>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57150" y="257175"/>
          <a:ext cx="2295525" cy="581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85725</xdr:colOff>
      <xdr:row>2</xdr:row>
      <xdr:rowOff>9525</xdr:rowOff>
    </xdr:from>
    <xdr:to>
      <xdr:col>12</xdr:col>
      <xdr:colOff>466725</xdr:colOff>
      <xdr:row>3</xdr:row>
      <xdr:rowOff>200025</xdr:rowOff>
    </xdr:to>
    <xdr:pic>
      <xdr:nvPicPr>
        <xdr:cNvPr id="61" name="Picture 101" descr="LOGO2"/>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2476500" y="295275"/>
          <a:ext cx="5534025" cy="428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2.xml><?xml version="1.0" encoding="utf-8"?>
<c:userShapes xmlns:c="http://schemas.openxmlformats.org/drawingml/2006/chart">
  <cdr:relSizeAnchor xmlns:cdr="http://schemas.openxmlformats.org/drawingml/2006/chartDrawing">
    <cdr:from>
      <cdr:x>0.10754</cdr:x>
      <cdr:y>0.66306</cdr:y>
    </cdr:from>
    <cdr:to>
      <cdr:x>0.2151</cdr:x>
      <cdr:y>0.77129</cdr:y>
    </cdr:to>
    <cdr:sp macro="" textlink="'計画概要書（前後の比較）'!$Y$51">
      <cdr:nvSpPr>
        <cdr:cNvPr id="27655" name="Text Box 7"/>
        <cdr:cNvSpPr txBox="1">
          <a:spLocks xmlns:a="http://schemas.openxmlformats.org/drawingml/2006/main" noChangeArrowheads="1" noTextEdit="1"/>
        </cdr:cNvSpPr>
      </cdr:nvSpPr>
      <cdr:spPr bwMode="auto">
        <a:xfrm xmlns:a="http://schemas.openxmlformats.org/drawingml/2006/main">
          <a:off x="334026" y="1076833"/>
          <a:ext cx="330927" cy="175260"/>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ED335BF8-86C3-4CED-ABEB-89F121A40F28}"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0.22261</cdr:x>
      <cdr:y>0.66306</cdr:y>
    </cdr:from>
    <cdr:to>
      <cdr:x>0.32654</cdr:x>
      <cdr:y>0.77129</cdr:y>
    </cdr:to>
    <cdr:sp macro="" textlink="'計画概要書（前後の比較）'!$AA$51">
      <cdr:nvSpPr>
        <cdr:cNvPr id="27656" name="Text Box 8"/>
        <cdr:cNvSpPr txBox="1">
          <a:spLocks xmlns:a="http://schemas.openxmlformats.org/drawingml/2006/main" noChangeArrowheads="1" noTextEdit="1"/>
        </cdr:cNvSpPr>
      </cdr:nvSpPr>
      <cdr:spPr bwMode="auto">
        <a:xfrm xmlns:a="http://schemas.openxmlformats.org/drawingml/2006/main">
          <a:off x="688058" y="1076833"/>
          <a:ext cx="319747" cy="175260"/>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8C588124-0986-4EBC-97FE-4DE4510925E9}"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0.41376</cdr:x>
      <cdr:y>0.66306</cdr:y>
    </cdr:from>
    <cdr:to>
      <cdr:x>0.52059</cdr:x>
      <cdr:y>0.772</cdr:y>
    </cdr:to>
    <cdr:sp macro="" textlink="'計画概要書（前後の比較）'!$Y$52">
      <cdr:nvSpPr>
        <cdr:cNvPr id="27657" name="Text Box 9"/>
        <cdr:cNvSpPr txBox="1">
          <a:spLocks xmlns:a="http://schemas.openxmlformats.org/drawingml/2006/main" noChangeArrowheads="1" noTextEdit="1"/>
        </cdr:cNvSpPr>
      </cdr:nvSpPr>
      <cdr:spPr bwMode="auto">
        <a:xfrm xmlns:a="http://schemas.openxmlformats.org/drawingml/2006/main">
          <a:off x="1276125" y="1076833"/>
          <a:ext cx="328691" cy="176403"/>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CB1A7995-BF9F-43EB-8B9C-A9F08D90B3B9}"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0.52883</cdr:x>
      <cdr:y>0.66306</cdr:y>
    </cdr:from>
    <cdr:to>
      <cdr:x>0.63179</cdr:x>
      <cdr:y>0.772</cdr:y>
    </cdr:to>
    <cdr:sp macro="" textlink="'計画概要書（前後の比較）'!$AA$52">
      <cdr:nvSpPr>
        <cdr:cNvPr id="27658" name="Text Box 10"/>
        <cdr:cNvSpPr txBox="1">
          <a:spLocks xmlns:a="http://schemas.openxmlformats.org/drawingml/2006/main" noChangeArrowheads="1" noTextEdit="1"/>
        </cdr:cNvSpPr>
      </cdr:nvSpPr>
      <cdr:spPr bwMode="auto">
        <a:xfrm xmlns:a="http://schemas.openxmlformats.org/drawingml/2006/main">
          <a:off x="1630157" y="1076833"/>
          <a:ext cx="316766" cy="176403"/>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2D47A8EE-1650-439E-8E7C-0F27C3F95075}"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0.72094</cdr:x>
      <cdr:y>0.66306</cdr:y>
    </cdr:from>
    <cdr:to>
      <cdr:x>0.8285</cdr:x>
      <cdr:y>0.772</cdr:y>
    </cdr:to>
    <cdr:sp macro="" textlink="'計画概要書（前後の比較）'!$Y$53">
      <cdr:nvSpPr>
        <cdr:cNvPr id="27659" name="Text Box 11"/>
        <cdr:cNvSpPr txBox="1">
          <a:spLocks xmlns:a="http://schemas.openxmlformats.org/drawingml/2006/main" noChangeArrowheads="1" noTextEdit="1"/>
        </cdr:cNvSpPr>
      </cdr:nvSpPr>
      <cdr:spPr bwMode="auto">
        <a:xfrm xmlns:a="http://schemas.openxmlformats.org/drawingml/2006/main">
          <a:off x="2221205" y="1076833"/>
          <a:ext cx="330927" cy="176403"/>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49614D99-8FB6-4D2B-A364-38621239BF15}"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0.83505</cdr:x>
      <cdr:y>0.66306</cdr:y>
    </cdr:from>
    <cdr:to>
      <cdr:x>0.93898</cdr:x>
      <cdr:y>0.772</cdr:y>
    </cdr:to>
    <cdr:sp macro="" textlink="'計画概要書（前後の比較）'!$AA$53">
      <cdr:nvSpPr>
        <cdr:cNvPr id="27660" name="Text Box 12"/>
        <cdr:cNvSpPr txBox="1">
          <a:spLocks xmlns:a="http://schemas.openxmlformats.org/drawingml/2006/main" noChangeArrowheads="1" noTextEdit="1"/>
        </cdr:cNvSpPr>
      </cdr:nvSpPr>
      <cdr:spPr bwMode="auto">
        <a:xfrm xmlns:a="http://schemas.openxmlformats.org/drawingml/2006/main">
          <a:off x="2572256" y="1076833"/>
          <a:ext cx="319747" cy="176403"/>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34571385-2AC2-4112-BE39-E0FB3437CA06}" type="TxLink">
            <a:rPr lang="ja-JP" altLang="en-US" sz="800" b="0" i="0" u="none" strike="noStrike">
              <a:solidFill>
                <a:srgbClr val="000000"/>
              </a:solidFill>
              <a:latin typeface="Arial"/>
              <a:ea typeface="ＭＳ Ｐゴシック"/>
              <a:cs typeface="Arial"/>
            </a:rPr>
            <a:pPr/>
            <a:t> </a:t>
          </a:fld>
          <a:endParaRPr lang="ja-JP" altLang="en-US"/>
        </a:p>
      </cdr:txBody>
    </cdr:sp>
  </cdr:relSizeAnchor>
</c:userShapes>
</file>

<file path=xl/drawings/drawing23.xml><?xml version="1.0" encoding="utf-8"?>
<c:userShapes xmlns:c="http://schemas.openxmlformats.org/drawingml/2006/chart">
  <cdr:relSizeAnchor xmlns:cdr="http://schemas.openxmlformats.org/drawingml/2006/chartDrawing">
    <cdr:from>
      <cdr:x>0.1056</cdr:x>
      <cdr:y>0.65576</cdr:y>
    </cdr:from>
    <cdr:to>
      <cdr:x>0.21479</cdr:x>
      <cdr:y>0.76494</cdr:y>
    </cdr:to>
    <cdr:sp macro="" textlink="'計画概要書（前後の比較）'!$AD$62">
      <cdr:nvSpPr>
        <cdr:cNvPr id="28676" name="Text Box 4"/>
        <cdr:cNvSpPr txBox="1">
          <a:spLocks xmlns:a="http://schemas.openxmlformats.org/drawingml/2006/main" noChangeArrowheads="1" noTextEdit="1"/>
        </cdr:cNvSpPr>
      </cdr:nvSpPr>
      <cdr:spPr bwMode="auto">
        <a:xfrm xmlns:a="http://schemas.openxmlformats.org/drawingml/2006/main">
          <a:off x="322017" y="1065022"/>
          <a:ext cx="329701" cy="176784"/>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8C95335E-0CA6-4B85-8984-EF4EEAC6219D}" type="TxLink">
            <a:rPr lang="ja-JP" altLang="en-US" sz="800" b="0" i="0" u="none" strike="noStrike">
              <a:solidFill>
                <a:srgbClr val="000000"/>
              </a:solidFill>
              <a:latin typeface="Arial"/>
              <a:ea typeface="ＭＳ Ｐゴシック"/>
              <a:cs typeface="Arial"/>
            </a:rPr>
            <a:pPr/>
            <a:t>#VALUE!</a:t>
          </a:fld>
          <a:endParaRPr lang="ja-JP" altLang="en-US"/>
        </a:p>
      </cdr:txBody>
    </cdr:sp>
  </cdr:relSizeAnchor>
  <cdr:relSizeAnchor xmlns:cdr="http://schemas.openxmlformats.org/drawingml/2006/chartDrawing">
    <cdr:from>
      <cdr:x>0.22859</cdr:x>
      <cdr:y>0.65576</cdr:y>
    </cdr:from>
    <cdr:to>
      <cdr:x>0.33246</cdr:x>
      <cdr:y>0.76494</cdr:y>
    </cdr:to>
    <cdr:sp macro="" textlink="'計画概要書（前後の比較）'!$AF$62">
      <cdr:nvSpPr>
        <cdr:cNvPr id="28677" name="Text Box 5"/>
        <cdr:cNvSpPr txBox="1">
          <a:spLocks xmlns:a="http://schemas.openxmlformats.org/drawingml/2006/main" noChangeArrowheads="1" noTextEdit="1"/>
        </cdr:cNvSpPr>
      </cdr:nvSpPr>
      <cdr:spPr bwMode="auto">
        <a:xfrm xmlns:a="http://schemas.openxmlformats.org/drawingml/2006/main">
          <a:off x="693387" y="1065022"/>
          <a:ext cx="313618" cy="176784"/>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EFC81830-2071-46F8-9124-46BA70BB6B28}" type="TxLink">
            <a:rPr lang="ja-JP" altLang="en-US" sz="800" b="0" i="0" u="none" strike="noStrike">
              <a:solidFill>
                <a:srgbClr val="000000"/>
              </a:solidFill>
              <a:latin typeface="Arial"/>
              <a:ea typeface="ＭＳ Ｐゴシック"/>
              <a:cs typeface="Arial"/>
            </a:rPr>
            <a:pPr/>
            <a:t>#VALUE!</a:t>
          </a:fld>
          <a:endParaRPr lang="ja-JP" altLang="en-US"/>
        </a:p>
      </cdr:txBody>
    </cdr:sp>
  </cdr:relSizeAnchor>
  <cdr:relSizeAnchor xmlns:cdr="http://schemas.openxmlformats.org/drawingml/2006/chartDrawing">
    <cdr:from>
      <cdr:x>0.41308</cdr:x>
      <cdr:y>0.65576</cdr:y>
    </cdr:from>
    <cdr:to>
      <cdr:x>0.52058</cdr:x>
      <cdr:y>0.76494</cdr:y>
    </cdr:to>
    <cdr:sp macro="" textlink="'計画概要書（前後の比較）'!$AD$63">
      <cdr:nvSpPr>
        <cdr:cNvPr id="28678" name="Text Box 6"/>
        <cdr:cNvSpPr txBox="1">
          <a:spLocks xmlns:a="http://schemas.openxmlformats.org/drawingml/2006/main" noChangeArrowheads="1" noTextEdit="1"/>
        </cdr:cNvSpPr>
      </cdr:nvSpPr>
      <cdr:spPr bwMode="auto">
        <a:xfrm xmlns:a="http://schemas.openxmlformats.org/drawingml/2006/main">
          <a:off x="1250443" y="1065022"/>
          <a:ext cx="324583" cy="176784"/>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E558491F-CE87-465A-AE14-3D3DF6586F79}"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0.53341</cdr:x>
      <cdr:y>0.65576</cdr:y>
    </cdr:from>
    <cdr:to>
      <cdr:x>0.63728</cdr:x>
      <cdr:y>0.76494</cdr:y>
    </cdr:to>
    <cdr:sp macro="" textlink="'計画概要書（前後の比較）'!$AF$63">
      <cdr:nvSpPr>
        <cdr:cNvPr id="28679" name="Text Box 7"/>
        <cdr:cNvSpPr txBox="1">
          <a:spLocks xmlns:a="http://schemas.openxmlformats.org/drawingml/2006/main" noChangeArrowheads="1" noTextEdit="1"/>
        </cdr:cNvSpPr>
      </cdr:nvSpPr>
      <cdr:spPr bwMode="auto">
        <a:xfrm xmlns:a="http://schemas.openxmlformats.org/drawingml/2006/main">
          <a:off x="1613772" y="1065022"/>
          <a:ext cx="313617" cy="176784"/>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C05EC7F6-0FC9-407F-B2D2-5338F8B6857B}"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0.71887</cdr:x>
      <cdr:y>0.65576</cdr:y>
    </cdr:from>
    <cdr:to>
      <cdr:x>0.82637</cdr:x>
      <cdr:y>0.76494</cdr:y>
    </cdr:to>
    <cdr:sp macro="" textlink="'計画概要書（前後の比較）'!$AD$64">
      <cdr:nvSpPr>
        <cdr:cNvPr id="28680" name="Text Box 8"/>
        <cdr:cNvSpPr txBox="1">
          <a:spLocks xmlns:a="http://schemas.openxmlformats.org/drawingml/2006/main" noChangeArrowheads="1" noTextEdit="1"/>
        </cdr:cNvSpPr>
      </cdr:nvSpPr>
      <cdr:spPr bwMode="auto">
        <a:xfrm xmlns:a="http://schemas.openxmlformats.org/drawingml/2006/main">
          <a:off x="2173751" y="1065022"/>
          <a:ext cx="324583" cy="176784"/>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298D1CE4-A777-471C-9113-825A7EB4640B}"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0.8392</cdr:x>
      <cdr:y>0.65576</cdr:y>
    </cdr:from>
    <cdr:to>
      <cdr:x>0.94283</cdr:x>
      <cdr:y>0.76494</cdr:y>
    </cdr:to>
    <cdr:sp macro="" textlink="'計画概要書（前後の比較）'!$AF$64">
      <cdr:nvSpPr>
        <cdr:cNvPr id="28681" name="Text Box 9"/>
        <cdr:cNvSpPr txBox="1">
          <a:spLocks xmlns:a="http://schemas.openxmlformats.org/drawingml/2006/main" noChangeArrowheads="1" noTextEdit="1"/>
        </cdr:cNvSpPr>
      </cdr:nvSpPr>
      <cdr:spPr bwMode="auto">
        <a:xfrm xmlns:a="http://schemas.openxmlformats.org/drawingml/2006/main">
          <a:off x="2537080" y="1065022"/>
          <a:ext cx="312887" cy="176784"/>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B64DC85D-310D-4E1E-A0ED-EC070AE249B9}" type="TxLink">
            <a:rPr lang="ja-JP" altLang="en-US" sz="800" b="0" i="0" u="none" strike="noStrike">
              <a:solidFill>
                <a:srgbClr val="000000"/>
              </a:solidFill>
              <a:latin typeface="Arial"/>
              <a:ea typeface="ＭＳ Ｐゴシック"/>
              <a:cs typeface="Arial"/>
            </a:rPr>
            <a:pPr/>
            <a:t> </a:t>
          </a:fld>
          <a:endParaRPr lang="ja-JP" altLang="en-US"/>
        </a:p>
      </cdr:txBody>
    </cdr:sp>
  </cdr:relSizeAnchor>
</c:userShapes>
</file>

<file path=xl/drawings/drawing24.xml><?xml version="1.0" encoding="utf-8"?>
<c:userShapes xmlns:c="http://schemas.openxmlformats.org/drawingml/2006/chart">
  <cdr:relSizeAnchor xmlns:cdr="http://schemas.openxmlformats.org/drawingml/2006/chartDrawing">
    <cdr:from>
      <cdr:x>0.10653</cdr:x>
      <cdr:y>0.65441</cdr:y>
    </cdr:from>
    <cdr:to>
      <cdr:x>0.2167</cdr:x>
      <cdr:y>0.76127</cdr:y>
    </cdr:to>
    <cdr:sp macro="" textlink="'計画概要書（前後の比較）'!$AD$51">
      <cdr:nvSpPr>
        <cdr:cNvPr id="29700" name="Text Box 4"/>
        <cdr:cNvSpPr txBox="1">
          <a:spLocks xmlns:a="http://schemas.openxmlformats.org/drawingml/2006/main" noChangeArrowheads="1" noTextEdit="1"/>
        </cdr:cNvSpPr>
      </cdr:nvSpPr>
      <cdr:spPr bwMode="auto">
        <a:xfrm xmlns:a="http://schemas.openxmlformats.org/drawingml/2006/main">
          <a:off x="325834" y="1069061"/>
          <a:ext cx="333709" cy="174055"/>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C03C97F9-5B05-421E-8F6A-88EC1C113993}"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0.22299</cdr:x>
      <cdr:y>0.65441</cdr:y>
    </cdr:from>
    <cdr:to>
      <cdr:x>0.32784</cdr:x>
      <cdr:y>0.76127</cdr:y>
    </cdr:to>
    <cdr:sp macro="" textlink="'計画概要書（前後の比較）'!$AF$51">
      <cdr:nvSpPr>
        <cdr:cNvPr id="29701" name="Text Box 5"/>
        <cdr:cNvSpPr txBox="1">
          <a:spLocks xmlns:a="http://schemas.openxmlformats.org/drawingml/2006/main" noChangeArrowheads="1" noTextEdit="1"/>
        </cdr:cNvSpPr>
      </cdr:nvSpPr>
      <cdr:spPr bwMode="auto">
        <a:xfrm xmlns:a="http://schemas.openxmlformats.org/drawingml/2006/main">
          <a:off x="678612" y="1069061"/>
          <a:ext cx="317573" cy="174055"/>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E684E81A-E3D7-4806-8BE1-BF5C01111A60}"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0.41501</cdr:x>
      <cdr:y>0.65441</cdr:y>
    </cdr:from>
    <cdr:to>
      <cdr:x>0.52252</cdr:x>
      <cdr:y>0.76198</cdr:y>
    </cdr:to>
    <cdr:sp macro="" textlink="'計画概要書（前後の比較）'!$AD$52">
      <cdr:nvSpPr>
        <cdr:cNvPr id="29702" name="Text Box 6"/>
        <cdr:cNvSpPr txBox="1">
          <a:spLocks xmlns:a="http://schemas.openxmlformats.org/drawingml/2006/main" noChangeArrowheads="1" noTextEdit="1"/>
        </cdr:cNvSpPr>
      </cdr:nvSpPr>
      <cdr:spPr bwMode="auto">
        <a:xfrm xmlns:a="http://schemas.openxmlformats.org/drawingml/2006/main">
          <a:off x="1260218" y="1069061"/>
          <a:ext cx="325641" cy="175205"/>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281043D5-C888-4104-A1EA-530CB8B062D0}"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0.52881</cdr:x>
      <cdr:y>0.65441</cdr:y>
    </cdr:from>
    <cdr:to>
      <cdr:x>0.63269</cdr:x>
      <cdr:y>0.76198</cdr:y>
    </cdr:to>
    <cdr:sp macro="" textlink="'計画概要書（前後の比較）'!$AF$52">
      <cdr:nvSpPr>
        <cdr:cNvPr id="29703" name="Text Box 7"/>
        <cdr:cNvSpPr txBox="1">
          <a:spLocks xmlns:a="http://schemas.openxmlformats.org/drawingml/2006/main" noChangeArrowheads="1" noTextEdit="1"/>
        </cdr:cNvSpPr>
      </cdr:nvSpPr>
      <cdr:spPr bwMode="auto">
        <a:xfrm xmlns:a="http://schemas.openxmlformats.org/drawingml/2006/main">
          <a:off x="1604928" y="1069061"/>
          <a:ext cx="314639" cy="175205"/>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242634E9-0455-473F-9123-6B9E72BF6E48}"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0.71792</cdr:x>
      <cdr:y>0.65441</cdr:y>
    </cdr:from>
    <cdr:to>
      <cdr:x>0.82447</cdr:x>
      <cdr:y>0.76198</cdr:y>
    </cdr:to>
    <cdr:sp macro="" textlink="'計画概要書（前後の比較）'!$AD$53">
      <cdr:nvSpPr>
        <cdr:cNvPr id="29704" name="Text Box 8"/>
        <cdr:cNvSpPr txBox="1">
          <a:spLocks xmlns:a="http://schemas.openxmlformats.org/drawingml/2006/main" noChangeArrowheads="1" noTextEdit="1"/>
        </cdr:cNvSpPr>
      </cdr:nvSpPr>
      <cdr:spPr bwMode="auto">
        <a:xfrm xmlns:a="http://schemas.openxmlformats.org/drawingml/2006/main">
          <a:off x="2177733" y="1069061"/>
          <a:ext cx="322707" cy="175205"/>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08B845A9-0D00-4B9F-B7A2-B17332645646}"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0.83197</cdr:x>
      <cdr:y>0.65441</cdr:y>
    </cdr:from>
    <cdr:to>
      <cdr:x>0.93561</cdr:x>
      <cdr:y>0.76198</cdr:y>
    </cdr:to>
    <cdr:sp macro="" textlink="'計画概要書（前後の比較）'!$AF$53">
      <cdr:nvSpPr>
        <cdr:cNvPr id="29705" name="Text Box 9"/>
        <cdr:cNvSpPr txBox="1">
          <a:spLocks xmlns:a="http://schemas.openxmlformats.org/drawingml/2006/main" noChangeArrowheads="1" noTextEdit="1"/>
        </cdr:cNvSpPr>
      </cdr:nvSpPr>
      <cdr:spPr bwMode="auto">
        <a:xfrm xmlns:a="http://schemas.openxmlformats.org/drawingml/2006/main">
          <a:off x="2523176" y="1069061"/>
          <a:ext cx="313906" cy="175205"/>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37B46465-1200-4174-945D-79D5314A395A}" type="TxLink">
            <a:rPr lang="ja-JP" altLang="en-US" sz="800" b="0" i="0" u="none" strike="noStrike">
              <a:solidFill>
                <a:srgbClr val="000000"/>
              </a:solidFill>
              <a:latin typeface="Arial"/>
              <a:ea typeface="ＭＳ Ｐゴシック"/>
              <a:cs typeface="Arial"/>
            </a:rPr>
            <a:pPr/>
            <a:t> </a:t>
          </a:fld>
          <a:endParaRPr lang="ja-JP" altLang="en-US"/>
        </a:p>
      </cdr:txBody>
    </cdr:sp>
  </cdr:relSizeAnchor>
</c:userShapes>
</file>

<file path=xl/drawings/drawing25.xml><?xml version="1.0" encoding="utf-8"?>
<c:userShapes xmlns:c="http://schemas.openxmlformats.org/drawingml/2006/chart">
  <cdr:relSizeAnchor xmlns:cdr="http://schemas.openxmlformats.org/drawingml/2006/chartDrawing">
    <cdr:from>
      <cdr:x>0.10265</cdr:x>
      <cdr:y>0.6543</cdr:y>
    </cdr:from>
    <cdr:to>
      <cdr:x>0.21386</cdr:x>
      <cdr:y>0.76367</cdr:y>
    </cdr:to>
    <cdr:sp macro="" textlink="'計画概要書（前後の比較）'!$Y$62">
      <cdr:nvSpPr>
        <cdr:cNvPr id="30724" name="Text Box 4"/>
        <cdr:cNvSpPr txBox="1">
          <a:spLocks xmlns:a="http://schemas.openxmlformats.org/drawingml/2006/main" noChangeArrowheads="1" noTextEdit="1"/>
        </cdr:cNvSpPr>
      </cdr:nvSpPr>
      <cdr:spPr bwMode="auto">
        <a:xfrm xmlns:a="http://schemas.openxmlformats.org/drawingml/2006/main">
          <a:off x="319977" y="1056411"/>
          <a:ext cx="343200" cy="17605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FA967A33-06DE-46BB-9706-75DB5F82C8B4}"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0.2204</cdr:x>
      <cdr:y>0.6543</cdr:y>
    </cdr:from>
    <cdr:to>
      <cdr:x>0.3241</cdr:x>
      <cdr:y>0.76367</cdr:y>
    </cdr:to>
    <cdr:sp macro="" textlink="'計画概要書（前後の比較）'!$AA$62">
      <cdr:nvSpPr>
        <cdr:cNvPr id="30725" name="Text Box 5"/>
        <cdr:cNvSpPr txBox="1">
          <a:spLocks xmlns:a="http://schemas.openxmlformats.org/drawingml/2006/main" noChangeArrowheads="1" noTextEdit="1"/>
        </cdr:cNvSpPr>
      </cdr:nvSpPr>
      <cdr:spPr bwMode="auto">
        <a:xfrm xmlns:a="http://schemas.openxmlformats.org/drawingml/2006/main">
          <a:off x="683365" y="1056411"/>
          <a:ext cx="320021" cy="17605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EE7A7767-8EFE-4DE8-9B69-3ECEA5A3FAC7}"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0.4135</cdr:x>
      <cdr:y>0.6543</cdr:y>
    </cdr:from>
    <cdr:to>
      <cdr:x>0.52108</cdr:x>
      <cdr:y>0.76437</cdr:y>
    </cdr:to>
    <cdr:sp macro="" textlink="'計画概要書（前後の比較）'!$Y$63">
      <cdr:nvSpPr>
        <cdr:cNvPr id="30726" name="Text Box 6"/>
        <cdr:cNvSpPr txBox="1">
          <a:spLocks xmlns:a="http://schemas.openxmlformats.org/drawingml/2006/main" noChangeArrowheads="1" noTextEdit="1"/>
        </cdr:cNvSpPr>
      </cdr:nvSpPr>
      <cdr:spPr bwMode="auto">
        <a:xfrm xmlns:a="http://schemas.openxmlformats.org/drawingml/2006/main">
          <a:off x="1279292" y="1056411"/>
          <a:ext cx="331984" cy="177194"/>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F8BD4740-5C3C-417B-B76C-33EC2E2772F7}"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0.52835</cdr:x>
      <cdr:y>0.6543</cdr:y>
    </cdr:from>
    <cdr:to>
      <cdr:x>0.63132</cdr:x>
      <cdr:y>0.76437</cdr:y>
    </cdr:to>
    <cdr:sp macro="" textlink="'計画概要書（前後の比較）'!$AA$63">
      <cdr:nvSpPr>
        <cdr:cNvPr id="30727" name="Text Box 7"/>
        <cdr:cNvSpPr txBox="1">
          <a:spLocks xmlns:a="http://schemas.openxmlformats.org/drawingml/2006/main" noChangeArrowheads="1" noTextEdit="1"/>
        </cdr:cNvSpPr>
      </cdr:nvSpPr>
      <cdr:spPr bwMode="auto">
        <a:xfrm xmlns:a="http://schemas.openxmlformats.org/drawingml/2006/main">
          <a:off x="1633707" y="1056411"/>
          <a:ext cx="317778" cy="177194"/>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9B8143D7-3EA2-499E-8B4F-C9C4C73BDDD6}"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0.72145</cdr:x>
      <cdr:y>0.6543</cdr:y>
    </cdr:from>
    <cdr:to>
      <cdr:x>0.82999</cdr:x>
      <cdr:y>0.76437</cdr:y>
    </cdr:to>
    <cdr:sp macro="" textlink="'計画概要書（前後の比較）'!$Y$64">
      <cdr:nvSpPr>
        <cdr:cNvPr id="30728" name="Text Box 8"/>
        <cdr:cNvSpPr txBox="1">
          <a:spLocks xmlns:a="http://schemas.openxmlformats.org/drawingml/2006/main" noChangeArrowheads="1" noTextEdit="1"/>
        </cdr:cNvSpPr>
      </cdr:nvSpPr>
      <cdr:spPr bwMode="auto">
        <a:xfrm xmlns:a="http://schemas.openxmlformats.org/drawingml/2006/main">
          <a:off x="2229634" y="1056411"/>
          <a:ext cx="334975" cy="177194"/>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4F605200-45AC-49DD-9A09-D4AB3D5AC6AE}"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0.83363</cdr:x>
      <cdr:y>0.6543</cdr:y>
    </cdr:from>
    <cdr:to>
      <cdr:x>0.93756</cdr:x>
      <cdr:y>0.76437</cdr:y>
    </cdr:to>
    <cdr:sp macro="" textlink="'計画概要書（前後の比較）'!$AA$64">
      <cdr:nvSpPr>
        <cdr:cNvPr id="30729" name="Text Box 9"/>
        <cdr:cNvSpPr txBox="1">
          <a:spLocks xmlns:a="http://schemas.openxmlformats.org/drawingml/2006/main" noChangeArrowheads="1" noTextEdit="1"/>
        </cdr:cNvSpPr>
      </cdr:nvSpPr>
      <cdr:spPr bwMode="auto">
        <a:xfrm xmlns:a="http://schemas.openxmlformats.org/drawingml/2006/main">
          <a:off x="2575825" y="1056411"/>
          <a:ext cx="320769" cy="177194"/>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8CD7CFD1-AC12-43E8-9065-79CD4EE41C34}" type="TxLink">
            <a:rPr lang="ja-JP" altLang="en-US" sz="800" b="0" i="0" u="none" strike="noStrike">
              <a:solidFill>
                <a:srgbClr val="000000"/>
              </a:solidFill>
              <a:latin typeface="Arial"/>
              <a:ea typeface="ＭＳ Ｐゴシック"/>
              <a:cs typeface="Arial"/>
            </a:rPr>
            <a:pPr/>
            <a:t> </a:t>
          </a:fld>
          <a:endParaRPr lang="ja-JP" altLang="en-US"/>
        </a:p>
      </cdr:txBody>
    </cdr:sp>
  </cdr:relSizeAnchor>
</c:userShapes>
</file>

<file path=xl/drawings/drawing26.xml><?xml version="1.0" encoding="utf-8"?>
<c:userShapes xmlns:c="http://schemas.openxmlformats.org/drawingml/2006/chart">
  <cdr:relSizeAnchor xmlns:cdr="http://schemas.openxmlformats.org/drawingml/2006/chartDrawing">
    <cdr:from>
      <cdr:x>0.0986</cdr:x>
      <cdr:y>0.65829</cdr:y>
    </cdr:from>
    <cdr:to>
      <cdr:x>0.19093</cdr:x>
      <cdr:y>0.76861</cdr:y>
    </cdr:to>
    <cdr:sp macro="" textlink="'計画概要書（前後の比較）'!$T$62">
      <cdr:nvSpPr>
        <cdr:cNvPr id="31749" name="Text Box 5"/>
        <cdr:cNvSpPr txBox="1">
          <a:spLocks xmlns:a="http://schemas.openxmlformats.org/drawingml/2006/main" noChangeArrowheads="1" noTextEdit="1"/>
        </cdr:cNvSpPr>
      </cdr:nvSpPr>
      <cdr:spPr bwMode="auto">
        <a:xfrm xmlns:a="http://schemas.openxmlformats.org/drawingml/2006/main">
          <a:off x="337522" y="1062848"/>
          <a:ext cx="313086" cy="177572"/>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D272B29F-9948-4AD5-B761-FCFAB905C7F9}"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0.19263</cdr:x>
      <cdr:y>0.65829</cdr:y>
    </cdr:from>
    <cdr:to>
      <cdr:x>0.28399</cdr:x>
      <cdr:y>0.76861</cdr:y>
    </cdr:to>
    <cdr:sp macro="" textlink="'計画概要書（前後の比較）'!$V$62">
      <cdr:nvSpPr>
        <cdr:cNvPr id="31750" name="Text Box 6"/>
        <cdr:cNvSpPr txBox="1">
          <a:spLocks xmlns:a="http://schemas.openxmlformats.org/drawingml/2006/main" noChangeArrowheads="1" noTextEdit="1"/>
        </cdr:cNvSpPr>
      </cdr:nvSpPr>
      <cdr:spPr bwMode="auto">
        <a:xfrm xmlns:a="http://schemas.openxmlformats.org/drawingml/2006/main">
          <a:off x="656376" y="1062848"/>
          <a:ext cx="309791" cy="177572"/>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F34910D4-B09E-4D72-8EFF-F35755F5C6D5}"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0.3219</cdr:x>
      <cdr:y>0.65829</cdr:y>
    </cdr:from>
    <cdr:to>
      <cdr:x>0.41423</cdr:x>
      <cdr:y>0.76861</cdr:y>
    </cdr:to>
    <cdr:sp macro="" textlink="'計画概要書（前後の比較）'!$T$63">
      <cdr:nvSpPr>
        <cdr:cNvPr id="31751" name="Text Box 7"/>
        <cdr:cNvSpPr txBox="1">
          <a:spLocks xmlns:a="http://schemas.openxmlformats.org/drawingml/2006/main" noChangeArrowheads="1" noTextEdit="1"/>
        </cdr:cNvSpPr>
      </cdr:nvSpPr>
      <cdr:spPr bwMode="auto">
        <a:xfrm xmlns:a="http://schemas.openxmlformats.org/drawingml/2006/main">
          <a:off x="1094697" y="1062848"/>
          <a:ext cx="313087" cy="177572"/>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E2450597-4D45-43C3-85D2-5DF58A3F0D68}"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0.4152</cdr:x>
      <cdr:y>0.65829</cdr:y>
    </cdr:from>
    <cdr:to>
      <cdr:x>0.50753</cdr:x>
      <cdr:y>0.76861</cdr:y>
    </cdr:to>
    <cdr:sp macro="" textlink="'計画概要書（前後の比較）'!$V$63">
      <cdr:nvSpPr>
        <cdr:cNvPr id="31752" name="Text Box 8"/>
        <cdr:cNvSpPr txBox="1">
          <a:spLocks xmlns:a="http://schemas.openxmlformats.org/drawingml/2006/main" noChangeArrowheads="1" noTextEdit="1"/>
        </cdr:cNvSpPr>
      </cdr:nvSpPr>
      <cdr:spPr bwMode="auto">
        <a:xfrm xmlns:a="http://schemas.openxmlformats.org/drawingml/2006/main">
          <a:off x="1411080" y="1062848"/>
          <a:ext cx="313086" cy="177572"/>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C968568E-3527-4CCF-A1B0-8F4F6CA369A1}"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0.5537</cdr:x>
      <cdr:y>0.65829</cdr:y>
    </cdr:from>
    <cdr:to>
      <cdr:x>0.64676</cdr:x>
      <cdr:y>0.76861</cdr:y>
    </cdr:to>
    <cdr:sp macro="" textlink="'計画概要書（前後の比較）'!$T$64">
      <cdr:nvSpPr>
        <cdr:cNvPr id="31753" name="Text Box 9"/>
        <cdr:cNvSpPr txBox="1">
          <a:spLocks xmlns:a="http://schemas.openxmlformats.org/drawingml/2006/main" noChangeArrowheads="1" noTextEdit="1"/>
        </cdr:cNvSpPr>
      </cdr:nvSpPr>
      <cdr:spPr bwMode="auto">
        <a:xfrm xmlns:a="http://schemas.openxmlformats.org/drawingml/2006/main">
          <a:off x="1880710" y="1062848"/>
          <a:ext cx="315558" cy="177572"/>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EF16FA54-BC2E-4355-A2B6-FA873AA55FC9}"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0.64773</cdr:x>
      <cdr:y>0.65829</cdr:y>
    </cdr:from>
    <cdr:to>
      <cdr:x>0.73909</cdr:x>
      <cdr:y>0.76861</cdr:y>
    </cdr:to>
    <cdr:sp macro="" textlink="'計画概要書（前後の比較）'!$V$64">
      <cdr:nvSpPr>
        <cdr:cNvPr id="31754" name="Text Box 10"/>
        <cdr:cNvSpPr txBox="1">
          <a:spLocks xmlns:a="http://schemas.openxmlformats.org/drawingml/2006/main" noChangeArrowheads="1" noTextEdit="1"/>
        </cdr:cNvSpPr>
      </cdr:nvSpPr>
      <cdr:spPr bwMode="auto">
        <a:xfrm xmlns:a="http://schemas.openxmlformats.org/drawingml/2006/main">
          <a:off x="2199564" y="1062848"/>
          <a:ext cx="309791" cy="177572"/>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E866DAFD-5148-4F54-BAE8-47C9AF8A73F6}"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0.77602</cdr:x>
      <cdr:y>0.65829</cdr:y>
    </cdr:from>
    <cdr:to>
      <cdr:x>0.86835</cdr:x>
      <cdr:y>0.76861</cdr:y>
    </cdr:to>
    <cdr:sp macro="" textlink="'計画概要書（前後の比較）'!$T$65">
      <cdr:nvSpPr>
        <cdr:cNvPr id="31755" name="Text Box 11"/>
        <cdr:cNvSpPr txBox="1">
          <a:spLocks xmlns:a="http://schemas.openxmlformats.org/drawingml/2006/main" noChangeArrowheads="1" noTextEdit="1"/>
        </cdr:cNvSpPr>
      </cdr:nvSpPr>
      <cdr:spPr bwMode="auto">
        <a:xfrm xmlns:a="http://schemas.openxmlformats.org/drawingml/2006/main">
          <a:off x="2634590" y="1062848"/>
          <a:ext cx="313086" cy="177572"/>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533A0456-3611-4536-83B9-47957DB1025C}"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0.86933</cdr:x>
      <cdr:y>0.65829</cdr:y>
    </cdr:from>
    <cdr:to>
      <cdr:x>0.96069</cdr:x>
      <cdr:y>0.76861</cdr:y>
    </cdr:to>
    <cdr:sp macro="" textlink="'計画概要書（前後の比較）'!$V$65">
      <cdr:nvSpPr>
        <cdr:cNvPr id="31756" name="Text Box 12"/>
        <cdr:cNvSpPr txBox="1">
          <a:spLocks xmlns:a="http://schemas.openxmlformats.org/drawingml/2006/main" noChangeArrowheads="1" noTextEdit="1"/>
        </cdr:cNvSpPr>
      </cdr:nvSpPr>
      <cdr:spPr bwMode="auto">
        <a:xfrm xmlns:a="http://schemas.openxmlformats.org/drawingml/2006/main">
          <a:off x="2950972" y="1062848"/>
          <a:ext cx="309791" cy="177572"/>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D988CEE5-88A2-406E-8969-ADE745956255}" type="TxLink">
            <a:rPr lang="ja-JP" altLang="en-US" sz="800" b="0" i="0" u="none" strike="noStrike">
              <a:solidFill>
                <a:srgbClr val="000000"/>
              </a:solidFill>
              <a:latin typeface="Arial"/>
              <a:ea typeface="ＭＳ Ｐゴシック"/>
              <a:cs typeface="Arial"/>
            </a:rPr>
            <a:pPr/>
            <a:t> </a:t>
          </a:fld>
          <a:endParaRPr lang="ja-JP" altLang="en-US"/>
        </a:p>
      </cdr:txBody>
    </cdr:sp>
  </cdr:relSizeAnchor>
</c:userShapes>
</file>

<file path=xl/drawings/drawing27.xml><?xml version="1.0" encoding="utf-8"?>
<c:userShapes xmlns:c="http://schemas.openxmlformats.org/drawingml/2006/chart">
  <cdr:relSizeAnchor xmlns:cdr="http://schemas.openxmlformats.org/drawingml/2006/chartDrawing">
    <cdr:from>
      <cdr:x>0.86717</cdr:x>
      <cdr:y>0.49718</cdr:y>
    </cdr:from>
    <cdr:to>
      <cdr:x>0.89074</cdr:x>
      <cdr:y>0.63467</cdr:y>
    </cdr:to>
    <cdr:sp macro="" textlink="'計画概要書（前後の比較）'!$T$51">
      <cdr:nvSpPr>
        <cdr:cNvPr id="32773" name="Text Box 5"/>
        <cdr:cNvSpPr txBox="1">
          <a:spLocks xmlns:a="http://schemas.openxmlformats.org/drawingml/2006/main" noChangeArrowheads="1" noTextEdit="1"/>
        </cdr:cNvSpPr>
      </cdr:nvSpPr>
      <cdr:spPr bwMode="auto">
        <a:xfrm xmlns:a="http://schemas.openxmlformats.org/drawingml/2006/main">
          <a:off x="2951917" y="794026"/>
          <a:ext cx="80151" cy="2187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12DA25A5-C27D-4E20-B9B4-6831ECDCDCA8}"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0.09735</cdr:x>
      <cdr:y>0.66523</cdr:y>
    </cdr:from>
    <cdr:to>
      <cdr:x>0.19066</cdr:x>
      <cdr:y>0.77499</cdr:y>
    </cdr:to>
    <cdr:sp macro="" textlink="'計画概要書（前後の比較）'!$T$51">
      <cdr:nvSpPr>
        <cdr:cNvPr id="32774" name="Text Box 6"/>
        <cdr:cNvSpPr txBox="1">
          <a:spLocks xmlns:a="http://schemas.openxmlformats.org/drawingml/2006/main" noChangeArrowheads="1" noTextEdit="1"/>
        </cdr:cNvSpPr>
      </cdr:nvSpPr>
      <cdr:spPr bwMode="auto">
        <a:xfrm xmlns:a="http://schemas.openxmlformats.org/drawingml/2006/main">
          <a:off x="334219" y="1061333"/>
          <a:ext cx="317297" cy="17459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29A7DE88-6B6A-4A98-89AD-D4850352DAE7}"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0.19139</cdr:x>
      <cdr:y>0.66523</cdr:y>
    </cdr:from>
    <cdr:to>
      <cdr:x>0.28373</cdr:x>
      <cdr:y>0.77499</cdr:y>
    </cdr:to>
    <cdr:sp macro="" textlink="'計画概要書（前後の比較）'!$V$51">
      <cdr:nvSpPr>
        <cdr:cNvPr id="32775" name="Text Box 7"/>
        <cdr:cNvSpPr txBox="1">
          <a:spLocks xmlns:a="http://schemas.openxmlformats.org/drawingml/2006/main" noChangeArrowheads="1" noTextEdit="1"/>
        </cdr:cNvSpPr>
      </cdr:nvSpPr>
      <cdr:spPr bwMode="auto">
        <a:xfrm xmlns:a="http://schemas.openxmlformats.org/drawingml/2006/main">
          <a:off x="653994" y="1061333"/>
          <a:ext cx="313992" cy="17459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70FC210A-FCD7-4859-ACE8-322B5B669C4C}"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0.32456</cdr:x>
      <cdr:y>0.66523</cdr:y>
    </cdr:from>
    <cdr:to>
      <cdr:x>0.41762</cdr:x>
      <cdr:y>0.77499</cdr:y>
    </cdr:to>
    <cdr:sp macro="" textlink="'計画概要書（前後の比較）'!$T$52">
      <cdr:nvSpPr>
        <cdr:cNvPr id="32776" name="Text Box 8"/>
        <cdr:cNvSpPr txBox="1">
          <a:spLocks xmlns:a="http://schemas.openxmlformats.org/drawingml/2006/main" noChangeArrowheads="1" noTextEdit="1"/>
        </cdr:cNvSpPr>
      </cdr:nvSpPr>
      <cdr:spPr bwMode="auto">
        <a:xfrm xmlns:a="http://schemas.openxmlformats.org/drawingml/2006/main">
          <a:off x="1106803" y="1061333"/>
          <a:ext cx="316471" cy="17459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9B1FDE1A-0DDC-4344-8A0F-DD8A439FA0C6}"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0.4186</cdr:x>
      <cdr:y>0.66523</cdr:y>
    </cdr:from>
    <cdr:to>
      <cdr:x>0.51166</cdr:x>
      <cdr:y>0.77499</cdr:y>
    </cdr:to>
    <cdr:sp macro="" textlink="'計画概要書（前後の比較）'!$V$52">
      <cdr:nvSpPr>
        <cdr:cNvPr id="32777" name="Text Box 9"/>
        <cdr:cNvSpPr txBox="1">
          <a:spLocks xmlns:a="http://schemas.openxmlformats.org/drawingml/2006/main" noChangeArrowheads="1" noTextEdit="1"/>
        </cdr:cNvSpPr>
      </cdr:nvSpPr>
      <cdr:spPr bwMode="auto">
        <a:xfrm xmlns:a="http://schemas.openxmlformats.org/drawingml/2006/main">
          <a:off x="1426579" y="1061333"/>
          <a:ext cx="316471" cy="17459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05439F61-53B7-47AB-8B2A-EF390305EB9B}"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0.55054</cdr:x>
      <cdr:y>0.66523</cdr:y>
    </cdr:from>
    <cdr:to>
      <cdr:x>0.64288</cdr:x>
      <cdr:y>0.77499</cdr:y>
    </cdr:to>
    <cdr:sp macro="" textlink="'計画概要書（前後の比較）'!$T$53">
      <cdr:nvSpPr>
        <cdr:cNvPr id="32778" name="Text Box 10"/>
        <cdr:cNvSpPr txBox="1">
          <a:spLocks xmlns:a="http://schemas.openxmlformats.org/drawingml/2006/main" noChangeArrowheads="1" noTextEdit="1"/>
        </cdr:cNvSpPr>
      </cdr:nvSpPr>
      <cdr:spPr bwMode="auto">
        <a:xfrm xmlns:a="http://schemas.openxmlformats.org/drawingml/2006/main">
          <a:off x="1875257" y="1061333"/>
          <a:ext cx="313991" cy="17459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9368B033-ED9C-42E4-BE97-118C4FF0DC80}"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0.64483</cdr:x>
      <cdr:y>0.66523</cdr:y>
    </cdr:from>
    <cdr:to>
      <cdr:x>0.73692</cdr:x>
      <cdr:y>0.77499</cdr:y>
    </cdr:to>
    <cdr:sp macro="" textlink="'計画概要書（前後の比較）'!$V$53">
      <cdr:nvSpPr>
        <cdr:cNvPr id="32779" name="Text Box 11"/>
        <cdr:cNvSpPr txBox="1">
          <a:spLocks xmlns:a="http://schemas.openxmlformats.org/drawingml/2006/main" noChangeArrowheads="1" noTextEdit="1"/>
        </cdr:cNvSpPr>
      </cdr:nvSpPr>
      <cdr:spPr bwMode="auto">
        <a:xfrm xmlns:a="http://schemas.openxmlformats.org/drawingml/2006/main">
          <a:off x="2195859" y="1061333"/>
          <a:ext cx="313165" cy="17459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314CE153-DD58-4501-B894-5485803D58B2}"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0.77313</cdr:x>
      <cdr:y>0.66523</cdr:y>
    </cdr:from>
    <cdr:to>
      <cdr:x>0.86644</cdr:x>
      <cdr:y>0.77499</cdr:y>
    </cdr:to>
    <cdr:sp macro="" textlink="'計画概要書（前後の比較）'!$T$54">
      <cdr:nvSpPr>
        <cdr:cNvPr id="32780" name="Text Box 12"/>
        <cdr:cNvSpPr txBox="1">
          <a:spLocks xmlns:a="http://schemas.openxmlformats.org/drawingml/2006/main" noChangeArrowheads="1" noTextEdit="1"/>
        </cdr:cNvSpPr>
      </cdr:nvSpPr>
      <cdr:spPr bwMode="auto">
        <a:xfrm xmlns:a="http://schemas.openxmlformats.org/drawingml/2006/main">
          <a:off x="2632142" y="1061333"/>
          <a:ext cx="317296" cy="17459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583D80A7-B9FD-4450-A199-89F674126A1F}" type="TxLink">
            <a:rPr lang="ja-JP" altLang="en-US" sz="8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0.86717</cdr:x>
      <cdr:y>0.66523</cdr:y>
    </cdr:from>
    <cdr:to>
      <cdr:x>0.96048</cdr:x>
      <cdr:y>0.77499</cdr:y>
    </cdr:to>
    <cdr:sp macro="" textlink="'計画概要書（前後の比較）'!$V$54">
      <cdr:nvSpPr>
        <cdr:cNvPr id="32781" name="Text Box 13"/>
        <cdr:cNvSpPr txBox="1">
          <a:spLocks xmlns:a="http://schemas.openxmlformats.org/drawingml/2006/main" noChangeArrowheads="1" noTextEdit="1"/>
        </cdr:cNvSpPr>
      </cdr:nvSpPr>
      <cdr:spPr bwMode="auto">
        <a:xfrm xmlns:a="http://schemas.openxmlformats.org/drawingml/2006/main">
          <a:off x="2951917" y="1061333"/>
          <a:ext cx="317297" cy="17459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52ABD924-E716-4DE8-BBCF-53533CD19FEE}" type="TxLink">
            <a:rPr lang="ja-JP" altLang="en-US" sz="800" b="0" i="0" u="none" strike="noStrike">
              <a:solidFill>
                <a:srgbClr val="000000"/>
              </a:solidFill>
              <a:latin typeface="Arial"/>
              <a:ea typeface="ＭＳ Ｐゴシック"/>
              <a:cs typeface="Arial"/>
            </a:rPr>
            <a:pPr/>
            <a:t> </a:t>
          </a:fld>
          <a:endParaRPr lang="ja-JP" altLang="en-US"/>
        </a:p>
      </cdr:txBody>
    </cdr:sp>
  </cdr:relSizeAnchor>
</c:userShapes>
</file>

<file path=xl/drawings/drawing28.xml><?xml version="1.0" encoding="utf-8"?>
<c:userShapes xmlns:c="http://schemas.openxmlformats.org/drawingml/2006/chart">
  <cdr:relSizeAnchor xmlns:cdr="http://schemas.openxmlformats.org/drawingml/2006/chartDrawing">
    <cdr:from>
      <cdr:x>0.8072</cdr:x>
      <cdr:y>0.24213</cdr:y>
    </cdr:from>
    <cdr:to>
      <cdr:x>0.87515</cdr:x>
      <cdr:y>0.32944</cdr:y>
    </cdr:to>
    <cdr:sp macro="" textlink="">
      <cdr:nvSpPr>
        <cdr:cNvPr id="38913" name="Rectangle 1"/>
        <cdr:cNvSpPr>
          <a:spLocks xmlns:a="http://schemas.openxmlformats.org/drawingml/2006/main" noChangeArrowheads="1"/>
        </cdr:cNvSpPr>
      </cdr:nvSpPr>
      <cdr:spPr bwMode="auto">
        <a:xfrm xmlns:a="http://schemas.openxmlformats.org/drawingml/2006/main">
          <a:off x="2037470" y="599640"/>
          <a:ext cx="171522" cy="21621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075" b="1" i="0" u="none" strike="noStrike" baseline="0">
              <a:solidFill>
                <a:srgbClr val="000000"/>
              </a:solidFill>
              <a:latin typeface="ＭＳ Ｐゴシック"/>
              <a:ea typeface="ＭＳ Ｐゴシック"/>
            </a:rPr>
            <a:t>B</a:t>
          </a:r>
          <a:r>
            <a:rPr lang="en-US" altLang="ja-JP" sz="1075" b="1" i="0" u="none" strike="noStrike" baseline="30000">
              <a:solidFill>
                <a:srgbClr val="000000"/>
              </a:solidFill>
              <a:latin typeface="ＭＳ Ｐゴシック"/>
              <a:ea typeface="ＭＳ Ｐゴシック"/>
            </a:rPr>
            <a:t>-</a:t>
          </a:r>
        </a:p>
      </cdr:txBody>
    </cdr:sp>
  </cdr:relSizeAnchor>
  <cdr:relSizeAnchor xmlns:cdr="http://schemas.openxmlformats.org/drawingml/2006/chartDrawing">
    <cdr:from>
      <cdr:x>0.70831</cdr:x>
      <cdr:y>0.09788</cdr:y>
    </cdr:from>
    <cdr:to>
      <cdr:x>0.77626</cdr:x>
      <cdr:y>0.18519</cdr:y>
    </cdr:to>
    <cdr:sp macro="" textlink="">
      <cdr:nvSpPr>
        <cdr:cNvPr id="38914" name="Rectangle 2"/>
        <cdr:cNvSpPr>
          <a:spLocks xmlns:a="http://schemas.openxmlformats.org/drawingml/2006/main" noChangeArrowheads="1"/>
        </cdr:cNvSpPr>
      </cdr:nvSpPr>
      <cdr:spPr bwMode="auto">
        <a:xfrm xmlns:a="http://schemas.openxmlformats.org/drawingml/2006/main">
          <a:off x="1787859" y="242405"/>
          <a:ext cx="171522" cy="21621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075" b="1" i="0" u="none" strike="noStrike" baseline="0">
              <a:solidFill>
                <a:srgbClr val="000000"/>
              </a:solidFill>
              <a:latin typeface="ＭＳ Ｐゴシック"/>
              <a:ea typeface="ＭＳ Ｐゴシック"/>
            </a:rPr>
            <a:t>B</a:t>
          </a:r>
          <a:r>
            <a:rPr lang="en-US" altLang="ja-JP" sz="1075" b="1" i="0" u="none" strike="noStrike" baseline="30000">
              <a:solidFill>
                <a:srgbClr val="000000"/>
              </a:solidFill>
              <a:latin typeface="ＭＳ Ｐゴシック"/>
              <a:ea typeface="ＭＳ Ｐゴシック"/>
            </a:rPr>
            <a:t>+</a:t>
          </a:r>
        </a:p>
      </cdr:txBody>
    </cdr:sp>
  </cdr:relSizeAnchor>
  <cdr:relSizeAnchor xmlns:cdr="http://schemas.openxmlformats.org/drawingml/2006/chartDrawing">
    <cdr:from>
      <cdr:x>0.87365</cdr:x>
      <cdr:y>0.3543</cdr:y>
    </cdr:from>
    <cdr:to>
      <cdr:x>0.98072</cdr:x>
      <cdr:y>0.41441</cdr:y>
    </cdr:to>
    <cdr:sp macro="" textlink="">
      <cdr:nvSpPr>
        <cdr:cNvPr id="38915" name="Rectangle 3"/>
        <cdr:cNvSpPr>
          <a:spLocks xmlns:a="http://schemas.openxmlformats.org/drawingml/2006/main" noChangeArrowheads="1"/>
        </cdr:cNvSpPr>
      </cdr:nvSpPr>
      <cdr:spPr bwMode="auto">
        <a:xfrm xmlns:a="http://schemas.openxmlformats.org/drawingml/2006/main">
          <a:off x="2216709" y="883985"/>
          <a:ext cx="271272" cy="1494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en-US" altLang="ja-JP" sz="8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0.79113</cdr:x>
      <cdr:y>0.01916</cdr:y>
    </cdr:from>
    <cdr:to>
      <cdr:x>0.9812</cdr:x>
      <cdr:y>0.07493</cdr:y>
    </cdr:to>
    <cdr:sp macro="" textlink="">
      <cdr:nvSpPr>
        <cdr:cNvPr id="38916" name="Rectangle 4"/>
        <cdr:cNvSpPr>
          <a:spLocks xmlns:a="http://schemas.openxmlformats.org/drawingml/2006/main" noChangeArrowheads="1"/>
        </cdr:cNvSpPr>
      </cdr:nvSpPr>
      <cdr:spPr bwMode="auto">
        <a:xfrm xmlns:a="http://schemas.openxmlformats.org/drawingml/2006/main">
          <a:off x="2007616" y="50800"/>
          <a:ext cx="481584" cy="1386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en-US" altLang="ja-JP" sz="800" b="0" i="0" u="none" strike="noStrike" baseline="0">
              <a:solidFill>
                <a:srgbClr val="000000"/>
              </a:solidFill>
              <a:latin typeface="ＭＳ Ｐゴシック"/>
              <a:ea typeface="ＭＳ Ｐゴシック"/>
            </a:rPr>
            <a:t>BEE=1.0</a:t>
          </a:r>
        </a:p>
      </cdr:txBody>
    </cdr:sp>
  </cdr:relSizeAnchor>
  <cdr:relSizeAnchor xmlns:cdr="http://schemas.openxmlformats.org/drawingml/2006/chartDrawing">
    <cdr:from>
      <cdr:x>0.43095</cdr:x>
      <cdr:y>0.02204</cdr:y>
    </cdr:from>
    <cdr:to>
      <cdr:x>0.55389</cdr:x>
      <cdr:y>0.0771</cdr:y>
    </cdr:to>
    <cdr:sp macro="" textlink="">
      <cdr:nvSpPr>
        <cdr:cNvPr id="38917" name="Rectangle 5"/>
        <cdr:cNvSpPr>
          <a:spLocks xmlns:a="http://schemas.openxmlformats.org/drawingml/2006/main" noChangeArrowheads="1"/>
        </cdr:cNvSpPr>
      </cdr:nvSpPr>
      <cdr:spPr bwMode="auto">
        <a:xfrm xmlns:a="http://schemas.openxmlformats.org/drawingml/2006/main">
          <a:off x="1095045" y="57972"/>
          <a:ext cx="311505" cy="13687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en-US" altLang="ja-JP" sz="800" b="0" i="0" u="none" strike="noStrike" baseline="0">
              <a:solidFill>
                <a:srgbClr val="000000"/>
              </a:solidFill>
              <a:latin typeface="ＭＳ Ｐゴシック"/>
              <a:ea typeface="ＭＳ Ｐゴシック"/>
            </a:rPr>
            <a:t>3.0</a:t>
          </a:r>
        </a:p>
      </cdr:txBody>
    </cdr:sp>
  </cdr:relSizeAnchor>
  <cdr:relSizeAnchor xmlns:cdr="http://schemas.openxmlformats.org/drawingml/2006/chartDrawing">
    <cdr:from>
      <cdr:x>0.6114</cdr:x>
      <cdr:y>0.02204</cdr:y>
    </cdr:from>
    <cdr:to>
      <cdr:x>0.75071</cdr:x>
      <cdr:y>0.0771</cdr:y>
    </cdr:to>
    <cdr:sp macro="" textlink="">
      <cdr:nvSpPr>
        <cdr:cNvPr id="38918" name="Rectangle 6"/>
        <cdr:cNvSpPr>
          <a:spLocks xmlns:a="http://schemas.openxmlformats.org/drawingml/2006/main" noChangeArrowheads="1"/>
        </cdr:cNvSpPr>
      </cdr:nvSpPr>
      <cdr:spPr bwMode="auto">
        <a:xfrm xmlns:a="http://schemas.openxmlformats.org/drawingml/2006/main">
          <a:off x="1552245" y="57972"/>
          <a:ext cx="352958" cy="13687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en-US" altLang="ja-JP" sz="800" b="0" i="0" u="none" strike="noStrike" baseline="0">
              <a:solidFill>
                <a:srgbClr val="000000"/>
              </a:solidFill>
              <a:latin typeface="ＭＳ Ｐゴシック"/>
              <a:ea typeface="ＭＳ Ｐゴシック"/>
            </a:rPr>
            <a:t>1.5</a:t>
          </a:r>
        </a:p>
      </cdr:txBody>
    </cdr:sp>
  </cdr:relSizeAnchor>
</c:userShapes>
</file>

<file path=xl/drawings/drawing29.xml><?xml version="1.0" encoding="utf-8"?>
<c:userShapes xmlns:c="http://schemas.openxmlformats.org/drawingml/2006/chart">
  <cdr:relSizeAnchor xmlns:cdr="http://schemas.openxmlformats.org/drawingml/2006/chartDrawing">
    <cdr:from>
      <cdr:x>0.78705</cdr:x>
      <cdr:y>0.28128</cdr:y>
    </cdr:from>
    <cdr:to>
      <cdr:x>0.85058</cdr:x>
      <cdr:y>0.37</cdr:y>
    </cdr:to>
    <cdr:sp macro="" textlink="">
      <cdr:nvSpPr>
        <cdr:cNvPr id="36865" name="Rectangle 1"/>
        <cdr:cNvSpPr>
          <a:spLocks xmlns:a="http://schemas.openxmlformats.org/drawingml/2006/main" noChangeArrowheads="1"/>
        </cdr:cNvSpPr>
      </cdr:nvSpPr>
      <cdr:spPr bwMode="auto">
        <a:xfrm xmlns:a="http://schemas.openxmlformats.org/drawingml/2006/main">
          <a:off x="2009109" y="645692"/>
          <a:ext cx="162159" cy="2036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000" b="1" i="0" u="none" strike="noStrike" baseline="0">
              <a:solidFill>
                <a:srgbClr val="000000"/>
              </a:solidFill>
              <a:latin typeface="ＭＳ Ｐゴシック"/>
              <a:ea typeface="ＭＳ Ｐゴシック"/>
            </a:rPr>
            <a:t>B</a:t>
          </a:r>
          <a:r>
            <a:rPr lang="en-US" altLang="ja-JP" sz="1000" b="1" i="0" u="none" strike="noStrike" baseline="30000">
              <a:solidFill>
                <a:srgbClr val="000000"/>
              </a:solidFill>
              <a:latin typeface="ＭＳ Ｐゴシック"/>
              <a:ea typeface="ＭＳ Ｐゴシック"/>
            </a:rPr>
            <a:t>-</a:t>
          </a:r>
        </a:p>
      </cdr:txBody>
    </cdr:sp>
  </cdr:relSizeAnchor>
  <cdr:relSizeAnchor xmlns:cdr="http://schemas.openxmlformats.org/drawingml/2006/chartDrawing">
    <cdr:from>
      <cdr:x>0.67151</cdr:x>
      <cdr:y>0.09338</cdr:y>
    </cdr:from>
    <cdr:to>
      <cdr:x>0.73504</cdr:x>
      <cdr:y>0.1821</cdr:y>
    </cdr:to>
    <cdr:sp macro="" textlink="">
      <cdr:nvSpPr>
        <cdr:cNvPr id="36866" name="Rectangle 2"/>
        <cdr:cNvSpPr>
          <a:spLocks xmlns:a="http://schemas.openxmlformats.org/drawingml/2006/main" noChangeArrowheads="1"/>
        </cdr:cNvSpPr>
      </cdr:nvSpPr>
      <cdr:spPr bwMode="auto">
        <a:xfrm xmlns:a="http://schemas.openxmlformats.org/drawingml/2006/main">
          <a:off x="1714170" y="214363"/>
          <a:ext cx="162159" cy="2036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000" b="1" i="0" u="none" strike="noStrike" baseline="0">
              <a:solidFill>
                <a:srgbClr val="000000"/>
              </a:solidFill>
              <a:latin typeface="ＭＳ Ｐゴシック"/>
              <a:ea typeface="ＭＳ Ｐゴシック"/>
            </a:rPr>
            <a:t>B</a:t>
          </a:r>
          <a:r>
            <a:rPr lang="en-US" altLang="ja-JP" sz="1000" b="1" i="0" u="none" strike="noStrike" baseline="30000">
              <a:solidFill>
                <a:srgbClr val="000000"/>
              </a:solidFill>
              <a:latin typeface="ＭＳ Ｐゴシック"/>
              <a:ea typeface="ＭＳ Ｐゴシック"/>
            </a:rPr>
            <a:t>+</a:t>
          </a:r>
        </a:p>
      </cdr:txBody>
    </cdr:sp>
  </cdr:relSizeAnchor>
  <cdr:relSizeAnchor xmlns:cdr="http://schemas.openxmlformats.org/drawingml/2006/chartDrawing">
    <cdr:from>
      <cdr:x>0.86563</cdr:x>
      <cdr:y>0.40461</cdr:y>
    </cdr:from>
    <cdr:to>
      <cdr:x>0.97949</cdr:x>
      <cdr:y>0.47412</cdr:y>
    </cdr:to>
    <cdr:sp macro="" textlink="">
      <cdr:nvSpPr>
        <cdr:cNvPr id="36867" name="Rectangle 3"/>
        <cdr:cNvSpPr>
          <a:spLocks xmlns:a="http://schemas.openxmlformats.org/drawingml/2006/main" noChangeArrowheads="1"/>
        </cdr:cNvSpPr>
      </cdr:nvSpPr>
      <cdr:spPr bwMode="auto">
        <a:xfrm xmlns:a="http://schemas.openxmlformats.org/drawingml/2006/main">
          <a:off x="2221121" y="935825"/>
          <a:ext cx="291720" cy="1602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en-US" altLang="ja-JP" sz="95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0.73782</cdr:x>
      <cdr:y>0.02545</cdr:y>
    </cdr:from>
    <cdr:to>
      <cdr:x>0.94266</cdr:x>
      <cdr:y>0.12851</cdr:y>
    </cdr:to>
    <cdr:sp macro="" textlink="">
      <cdr:nvSpPr>
        <cdr:cNvPr id="36868" name="Rectangle 4"/>
        <cdr:cNvSpPr>
          <a:spLocks xmlns:a="http://schemas.openxmlformats.org/drawingml/2006/main" noChangeArrowheads="1"/>
        </cdr:cNvSpPr>
      </cdr:nvSpPr>
      <cdr:spPr bwMode="auto">
        <a:xfrm xmlns:a="http://schemas.openxmlformats.org/drawingml/2006/main">
          <a:off x="1893630" y="61849"/>
          <a:ext cx="524849" cy="2375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en-US" altLang="ja-JP" sz="950" b="0" i="0" u="none" strike="noStrike" baseline="0">
              <a:solidFill>
                <a:srgbClr val="000000"/>
              </a:solidFill>
              <a:latin typeface="ＭＳ Ｐゴシック"/>
              <a:ea typeface="ＭＳ Ｐゴシック"/>
            </a:rPr>
            <a:t>BEE=1.0</a:t>
          </a:r>
        </a:p>
      </cdr:txBody>
    </cdr:sp>
  </cdr:relSizeAnchor>
  <cdr:relSizeAnchor xmlns:cdr="http://schemas.openxmlformats.org/drawingml/2006/chartDrawing">
    <cdr:from>
      <cdr:x>0.31514</cdr:x>
      <cdr:y>0.02545</cdr:y>
    </cdr:from>
    <cdr:to>
      <cdr:x>0.46076</cdr:x>
      <cdr:y>0.12851</cdr:y>
    </cdr:to>
    <cdr:sp macro="" textlink="">
      <cdr:nvSpPr>
        <cdr:cNvPr id="36869" name="Rectangle 5"/>
        <cdr:cNvSpPr>
          <a:spLocks xmlns:a="http://schemas.openxmlformats.org/drawingml/2006/main" noChangeArrowheads="1"/>
        </cdr:cNvSpPr>
      </cdr:nvSpPr>
      <cdr:spPr bwMode="auto">
        <a:xfrm xmlns:a="http://schemas.openxmlformats.org/drawingml/2006/main">
          <a:off x="810628" y="61849"/>
          <a:ext cx="373130" cy="2375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en-US" altLang="ja-JP" sz="950" b="0" i="0" u="none" strike="noStrike" baseline="0">
              <a:solidFill>
                <a:srgbClr val="000000"/>
              </a:solidFill>
              <a:latin typeface="ＭＳ Ｐゴシック"/>
              <a:ea typeface="ＭＳ Ｐゴシック"/>
            </a:rPr>
            <a:t>3.0</a:t>
          </a:r>
        </a:p>
      </cdr:txBody>
    </cdr:sp>
  </cdr:relSizeAnchor>
  <cdr:relSizeAnchor xmlns:cdr="http://schemas.openxmlformats.org/drawingml/2006/chartDrawing">
    <cdr:from>
      <cdr:x>0.55705</cdr:x>
      <cdr:y>0.02234</cdr:y>
    </cdr:from>
    <cdr:to>
      <cdr:x>0.72193</cdr:x>
      <cdr:y>0.12851</cdr:y>
    </cdr:to>
    <cdr:sp macro="" textlink="">
      <cdr:nvSpPr>
        <cdr:cNvPr id="36870" name="Rectangle 6"/>
        <cdr:cNvSpPr>
          <a:spLocks xmlns:a="http://schemas.openxmlformats.org/drawingml/2006/main" noChangeArrowheads="1"/>
        </cdr:cNvSpPr>
      </cdr:nvSpPr>
      <cdr:spPr bwMode="auto">
        <a:xfrm xmlns:a="http://schemas.openxmlformats.org/drawingml/2006/main">
          <a:off x="1430456" y="54667"/>
          <a:ext cx="422469" cy="2447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en-US" altLang="ja-JP" sz="950" b="0" i="0" u="none" strike="noStrike" baseline="0">
              <a:solidFill>
                <a:srgbClr val="000000"/>
              </a:solidFill>
              <a:latin typeface="ＭＳ Ｐゴシック"/>
              <a:ea typeface="ＭＳ Ｐゴシック"/>
            </a:rPr>
            <a:t>1.5</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47625</xdr:colOff>
      <xdr:row>92</xdr:row>
      <xdr:rowOff>47625</xdr:rowOff>
    </xdr:from>
    <xdr:to>
      <xdr:col>15</xdr:col>
      <xdr:colOff>0</xdr:colOff>
      <xdr:row>96</xdr:row>
      <xdr:rowOff>104775</xdr:rowOff>
    </xdr:to>
    <xdr:sp macro="" textlink="">
      <xdr:nvSpPr>
        <xdr:cNvPr id="2" name="Text Box 141"/>
        <xdr:cNvSpPr txBox="1">
          <a:spLocks noChangeArrowheads="1"/>
        </xdr:cNvSpPr>
      </xdr:nvSpPr>
      <xdr:spPr bwMode="auto">
        <a:xfrm>
          <a:off x="47625" y="15592425"/>
          <a:ext cx="10125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900" b="1" i="0" u="none" strike="noStrike" baseline="0">
              <a:solidFill>
                <a:srgbClr val="000000"/>
              </a:solidFill>
              <a:latin typeface="ＭＳ Ｐゴシック"/>
              <a:ea typeface="ＭＳ Ｐゴシック"/>
            </a:rPr>
            <a:t>■CASBEE: Comprehensive Assessment System for Built Environment Efficiency </a:t>
          </a:r>
          <a:r>
            <a:rPr lang="ja-JP" altLang="en-US" sz="900" b="0" i="0" u="none" strike="noStrike" baseline="0">
              <a:solidFill>
                <a:srgbClr val="000000"/>
              </a:solidFill>
              <a:latin typeface="ＭＳ Ｐゴシック"/>
              <a:ea typeface="ＭＳ Ｐゴシック"/>
            </a:rPr>
            <a:t>（建築環境総合性能評価システム）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1" i="0" u="none" strike="noStrike" baseline="0">
              <a:solidFill>
                <a:srgbClr val="000000"/>
              </a:solidFill>
              <a:latin typeface="ＭＳ Ｐゴシック"/>
              <a:ea typeface="ＭＳ Ｐゴシック"/>
            </a:rPr>
            <a:t>Q: Quality</a:t>
          </a: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（建築物の環境品質）、</a:t>
          </a:r>
          <a:r>
            <a:rPr lang="en-US" altLang="ja-JP"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en-US" altLang="ja-JP"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en-US" altLang="ja-JP"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defRPr sz="1000"/>
          </a:pPr>
          <a:r>
            <a:rPr lang="ja-JP" altLang="en-US" sz="900" b="0" i="0" u="none" strike="noStrike" baseline="0">
              <a:solidFill>
                <a:srgbClr val="000000"/>
              </a:solidFill>
              <a:latin typeface="ＭＳ Ｐゴシック"/>
              <a:ea typeface="ＭＳ Ｐゴシック"/>
            </a:rPr>
            <a:t>■「ライフサイクル</a:t>
          </a:r>
          <a:r>
            <a:rPr lang="en-US" altLang="ja-JP" sz="900" b="0" i="0" u="none" strike="noStrike" baseline="0">
              <a:solidFill>
                <a:srgbClr val="000000"/>
              </a:solidFill>
              <a:latin typeface="ＭＳ Ｐゴシック"/>
              <a:ea typeface="ＭＳ Ｐゴシック"/>
            </a:rPr>
            <a:t>CO</a:t>
          </a:r>
          <a:r>
            <a:rPr lang="en-US" altLang="ja-JP"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a:t>
          </a:r>
          <a:r>
            <a:rPr lang="en-US" altLang="ja-JP" sz="900" b="0" i="0" u="none" strike="noStrike" baseline="0">
              <a:solidFill>
                <a:srgbClr val="000000"/>
              </a:solidFill>
              <a:latin typeface="ＭＳ Ｐゴシック"/>
              <a:ea typeface="ＭＳ Ｐゴシック"/>
            </a:rPr>
            <a:t>CO</a:t>
          </a:r>
          <a:r>
            <a:rPr lang="en-US" altLang="ja-JP"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a:t>
          </a:r>
          <a:r>
            <a:rPr lang="en-US" altLang="ja-JP" sz="900" b="0" i="0" u="none" strike="noStrike" baseline="0">
              <a:solidFill>
                <a:srgbClr val="000000"/>
              </a:solidFill>
              <a:latin typeface="ＭＳ Ｐゴシック"/>
              <a:ea typeface="ＭＳ Ｐゴシック"/>
            </a:rPr>
            <a:t>Q2</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LR1</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LR2</a:t>
          </a:r>
          <a:r>
            <a:rPr lang="ja-JP" altLang="en-US" sz="900" b="0" i="0" u="none" strike="noStrike" baseline="0">
              <a:solidFill>
                <a:srgbClr val="000000"/>
              </a:solidFill>
              <a:latin typeface="ＭＳ Ｐゴシック"/>
              <a:ea typeface="ＭＳ Ｐゴシック"/>
            </a:rPr>
            <a:t>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LCCO</a:t>
          </a:r>
          <a:r>
            <a:rPr lang="en-US" altLang="ja-JP"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LCCO</a:t>
          </a:r>
          <a:r>
            <a:rPr lang="en-US" altLang="ja-JP"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11</xdr:col>
      <xdr:colOff>95250</xdr:colOff>
      <xdr:row>52</xdr:row>
      <xdr:rowOff>142875</xdr:rowOff>
    </xdr:from>
    <xdr:to>
      <xdr:col>14</xdr:col>
      <xdr:colOff>600075</xdr:colOff>
      <xdr:row>60</xdr:row>
      <xdr:rowOff>171450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238125</xdr:colOff>
      <xdr:row>52</xdr:row>
      <xdr:rowOff>133350</xdr:rowOff>
    </xdr:from>
    <xdr:to>
      <xdr:col>10</xdr:col>
      <xdr:colOff>752475</xdr:colOff>
      <xdr:row>60</xdr:row>
      <xdr:rowOff>171450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52</xdr:row>
      <xdr:rowOff>133350</xdr:rowOff>
    </xdr:from>
    <xdr:to>
      <xdr:col>6</xdr:col>
      <xdr:colOff>409575</xdr:colOff>
      <xdr:row>60</xdr:row>
      <xdr:rowOff>180975</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41</xdr:row>
      <xdr:rowOff>123825</xdr:rowOff>
    </xdr:from>
    <xdr:to>
      <xdr:col>6</xdr:col>
      <xdr:colOff>428625</xdr:colOff>
      <xdr:row>49</xdr:row>
      <xdr:rowOff>180975</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76200</xdr:colOff>
      <xdr:row>41</xdr:row>
      <xdr:rowOff>133350</xdr:rowOff>
    </xdr:from>
    <xdr:to>
      <xdr:col>14</xdr:col>
      <xdr:colOff>600075</xdr:colOff>
      <xdr:row>50</xdr:row>
      <xdr:rowOff>9525</xdr:rowOff>
    </xdr:to>
    <xdr:graphicFrame macro="">
      <xdr:nvGraphicFramePr>
        <xdr:cNvPr id="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571500</xdr:colOff>
      <xdr:row>59</xdr:row>
      <xdr:rowOff>104775</xdr:rowOff>
    </xdr:from>
    <xdr:to>
      <xdr:col>8</xdr:col>
      <xdr:colOff>142875</xdr:colOff>
      <xdr:row>62</xdr:row>
      <xdr:rowOff>28575</xdr:rowOff>
    </xdr:to>
    <xdr:sp macro="" textlink="">
      <xdr:nvSpPr>
        <xdr:cNvPr id="8" name="Text Box 7"/>
        <xdr:cNvSpPr txBox="1">
          <a:spLocks noChangeArrowheads="1"/>
        </xdr:cNvSpPr>
      </xdr:nvSpPr>
      <xdr:spPr bwMode="auto">
        <a:xfrm>
          <a:off x="3933825" y="12306300"/>
          <a:ext cx="552450" cy="4000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水資源　　</a:t>
          </a:r>
        </a:p>
        <a:p>
          <a:pPr algn="ctr" rtl="0">
            <a:defRPr sz="1000"/>
          </a:pPr>
          <a:r>
            <a:rPr lang="ja-JP" altLang="en-US" sz="800" b="0" i="0" u="none" strike="noStrike" baseline="0">
              <a:solidFill>
                <a:srgbClr val="000000"/>
              </a:solidFill>
              <a:latin typeface="ＭＳ Ｐゴシック"/>
              <a:ea typeface="ＭＳ Ｐゴシック"/>
            </a:rPr>
            <a:t>　  保護</a:t>
          </a:r>
        </a:p>
      </xdr:txBody>
    </xdr:sp>
    <xdr:clientData/>
  </xdr:twoCellAnchor>
  <xdr:twoCellAnchor>
    <xdr:from>
      <xdr:col>10</xdr:col>
      <xdr:colOff>695325</xdr:colOff>
      <xdr:row>21</xdr:row>
      <xdr:rowOff>38100</xdr:rowOff>
    </xdr:from>
    <xdr:to>
      <xdr:col>15</xdr:col>
      <xdr:colOff>19050</xdr:colOff>
      <xdr:row>36</xdr:row>
      <xdr:rowOff>190500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257175</xdr:colOff>
      <xdr:row>41</xdr:row>
      <xdr:rowOff>133350</xdr:rowOff>
    </xdr:from>
    <xdr:to>
      <xdr:col>10</xdr:col>
      <xdr:colOff>771525</xdr:colOff>
      <xdr:row>50</xdr:row>
      <xdr:rowOff>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104775</xdr:colOff>
      <xdr:row>25</xdr:row>
      <xdr:rowOff>123825</xdr:rowOff>
    </xdr:from>
    <xdr:to>
      <xdr:col>6</xdr:col>
      <xdr:colOff>85725</xdr:colOff>
      <xdr:row>38</xdr:row>
      <xdr:rowOff>66675</xdr:rowOff>
    </xdr:to>
    <xdr:graphicFrame macro="">
      <xdr:nvGraphicFramePr>
        <xdr:cNvPr id="11"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161925</xdr:colOff>
      <xdr:row>48</xdr:row>
      <xdr:rowOff>152400</xdr:rowOff>
    </xdr:from>
    <xdr:to>
      <xdr:col>2</xdr:col>
      <xdr:colOff>647700</xdr:colOff>
      <xdr:row>49</xdr:row>
      <xdr:rowOff>104775</xdr:rowOff>
    </xdr:to>
    <xdr:sp macro="" textlink="">
      <xdr:nvSpPr>
        <xdr:cNvPr id="12" name="Text Box 20"/>
        <xdr:cNvSpPr txBox="1">
          <a:spLocks noChangeArrowheads="1"/>
        </xdr:cNvSpPr>
      </xdr:nvSpPr>
      <xdr:spPr bwMode="auto">
        <a:xfrm>
          <a:off x="381000" y="10182225"/>
          <a:ext cx="485775" cy="14287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u="none" strike="noStrike" baseline="0">
              <a:solidFill>
                <a:srgbClr val="000000"/>
              </a:solidFill>
              <a:latin typeface="ＭＳ Ｐゴシック"/>
              <a:ea typeface="ＭＳ Ｐゴシック"/>
            </a:rPr>
            <a:t>音環境　　　　　　　　　　</a:t>
          </a:r>
        </a:p>
      </xdr:txBody>
    </xdr:sp>
    <xdr:clientData/>
  </xdr:twoCellAnchor>
  <xdr:twoCellAnchor>
    <xdr:from>
      <xdr:col>7</xdr:col>
      <xdr:colOff>638175</xdr:colOff>
      <xdr:row>48</xdr:row>
      <xdr:rowOff>152400</xdr:rowOff>
    </xdr:from>
    <xdr:to>
      <xdr:col>8</xdr:col>
      <xdr:colOff>161925</xdr:colOff>
      <xdr:row>49</xdr:row>
      <xdr:rowOff>104775</xdr:rowOff>
    </xdr:to>
    <xdr:sp macro="" textlink="">
      <xdr:nvSpPr>
        <xdr:cNvPr id="13" name="Text Box 21"/>
        <xdr:cNvSpPr txBox="1">
          <a:spLocks noChangeArrowheads="1"/>
        </xdr:cNvSpPr>
      </xdr:nvSpPr>
      <xdr:spPr bwMode="auto">
        <a:xfrm>
          <a:off x="4000500" y="10182225"/>
          <a:ext cx="504825" cy="14287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u="none" strike="noStrike" baseline="0">
              <a:solidFill>
                <a:srgbClr val="000000"/>
              </a:solidFill>
              <a:latin typeface="ＭＳ Ｐゴシック"/>
              <a:ea typeface="ＭＳ Ｐゴシック"/>
            </a:rPr>
            <a:t>機能性  </a:t>
          </a:r>
        </a:p>
      </xdr:txBody>
    </xdr:sp>
    <xdr:clientData/>
  </xdr:twoCellAnchor>
  <xdr:oneCellAnchor>
    <xdr:from>
      <xdr:col>11</xdr:col>
      <xdr:colOff>504825</xdr:colOff>
      <xdr:row>48</xdr:row>
      <xdr:rowOff>142865</xdr:rowOff>
    </xdr:from>
    <xdr:ext cx="544837" cy="152410"/>
    <xdr:sp macro="" textlink="">
      <xdr:nvSpPr>
        <xdr:cNvPr id="14" name="Text Box 22"/>
        <xdr:cNvSpPr txBox="1">
          <a:spLocks noChangeArrowheads="1"/>
        </xdr:cNvSpPr>
      </xdr:nvSpPr>
      <xdr:spPr bwMode="auto">
        <a:xfrm>
          <a:off x="7219950" y="10172690"/>
          <a:ext cx="544837" cy="152410"/>
        </a:xfrm>
        <a:prstGeom prst="rect">
          <a:avLst/>
        </a:prstGeom>
        <a:noFill/>
        <a:ln w="9525">
          <a:noFill/>
          <a:miter lim="800000"/>
          <a:headEnd/>
          <a:tailEnd/>
        </a:ln>
      </xdr:spPr>
      <xdr:txBody>
        <a:bodyPr wrap="square" lIns="0" tIns="0" rIns="0" bIns="0" anchor="ctr" upright="1">
          <a:no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xdr:from>
      <xdr:col>8</xdr:col>
      <xdr:colOff>466725</xdr:colOff>
      <xdr:row>59</xdr:row>
      <xdr:rowOff>104775</xdr:rowOff>
    </xdr:from>
    <xdr:to>
      <xdr:col>9</xdr:col>
      <xdr:colOff>628650</xdr:colOff>
      <xdr:row>62</xdr:row>
      <xdr:rowOff>19050</xdr:rowOff>
    </xdr:to>
    <xdr:sp macro="" textlink="">
      <xdr:nvSpPr>
        <xdr:cNvPr id="15" name="Text Box 104"/>
        <xdr:cNvSpPr txBox="1">
          <a:spLocks noChangeArrowheads="1"/>
        </xdr:cNvSpPr>
      </xdr:nvSpPr>
      <xdr:spPr bwMode="auto">
        <a:xfrm>
          <a:off x="4810125" y="12306300"/>
          <a:ext cx="704850" cy="3905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非再生材料の</a:t>
          </a:r>
        </a:p>
        <a:p>
          <a:pPr algn="ctr" rtl="0">
            <a:lnSpc>
              <a:spcPts val="1000"/>
            </a:lnSpc>
            <a:defRPr sz="1000"/>
          </a:pPr>
          <a:r>
            <a:rPr lang="ja-JP" altLang="en-US" sz="800" b="0" i="0" u="none" strike="noStrike" baseline="0">
              <a:solidFill>
                <a:srgbClr val="000000"/>
              </a:solidFill>
              <a:latin typeface="ＭＳ Ｐゴシック"/>
              <a:ea typeface="ＭＳ Ｐゴシック"/>
            </a:rPr>
            <a:t>使用削減</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9</xdr:col>
      <xdr:colOff>28575</xdr:colOff>
      <xdr:row>48</xdr:row>
      <xdr:rowOff>104774</xdr:rowOff>
    </xdr:from>
    <xdr:to>
      <xdr:col>9</xdr:col>
      <xdr:colOff>523875</xdr:colOff>
      <xdr:row>50</xdr:row>
      <xdr:rowOff>114299</xdr:rowOff>
    </xdr:to>
    <xdr:sp macro="" textlink="">
      <xdr:nvSpPr>
        <xdr:cNvPr id="16" name="Text Box 107"/>
        <xdr:cNvSpPr txBox="1">
          <a:spLocks noChangeArrowheads="1"/>
        </xdr:cNvSpPr>
      </xdr:nvSpPr>
      <xdr:spPr bwMode="auto">
        <a:xfrm>
          <a:off x="4914900" y="10134599"/>
          <a:ext cx="495300" cy="3905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 耐用性</a:t>
          </a:r>
        </a:p>
        <a:p>
          <a:pPr algn="ctr" rtl="0">
            <a:defRPr sz="1000"/>
          </a:pPr>
          <a:r>
            <a:rPr lang="ja-JP" altLang="en-US" sz="800" b="0" i="0" u="none" strike="noStrike" baseline="0">
              <a:solidFill>
                <a:srgbClr val="000000"/>
              </a:solidFill>
              <a:latin typeface="ＭＳ Ｐゴシック"/>
              <a:ea typeface="ＭＳ Ｐゴシック"/>
            </a:rPr>
            <a:t> ・信頼性</a:t>
          </a:r>
        </a:p>
      </xdr:txBody>
    </xdr:sp>
    <xdr:clientData/>
  </xdr:twoCellAnchor>
  <xdr:twoCellAnchor>
    <xdr:from>
      <xdr:col>10</xdr:col>
      <xdr:colOff>9525</xdr:colOff>
      <xdr:row>48</xdr:row>
      <xdr:rowOff>104774</xdr:rowOff>
    </xdr:from>
    <xdr:to>
      <xdr:col>10</xdr:col>
      <xdr:colOff>514350</xdr:colOff>
      <xdr:row>50</xdr:row>
      <xdr:rowOff>76199</xdr:rowOff>
    </xdr:to>
    <xdr:sp macro="" textlink="">
      <xdr:nvSpPr>
        <xdr:cNvPr id="17" name="Text Box 108"/>
        <xdr:cNvSpPr txBox="1">
          <a:spLocks noChangeArrowheads="1"/>
        </xdr:cNvSpPr>
      </xdr:nvSpPr>
      <xdr:spPr bwMode="auto">
        <a:xfrm>
          <a:off x="5819775" y="10134599"/>
          <a:ext cx="504825" cy="3524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対応性</a:t>
          </a:r>
        </a:p>
        <a:p>
          <a:pPr algn="ctr" rtl="0">
            <a:defRPr sz="1000"/>
          </a:pPr>
          <a:r>
            <a:rPr lang="ja-JP" altLang="en-US" sz="800" b="0" i="0" u="none" strike="noStrike" baseline="0">
              <a:solidFill>
                <a:srgbClr val="000000"/>
              </a:solidFill>
              <a:latin typeface="ＭＳ Ｐゴシック"/>
              <a:ea typeface="ＭＳ Ｐゴシック"/>
            </a:rPr>
            <a:t> ・更新性　</a:t>
          </a:r>
        </a:p>
      </xdr:txBody>
    </xdr:sp>
    <xdr:clientData/>
  </xdr:twoCellAnchor>
  <xdr:twoCellAnchor>
    <xdr:from>
      <xdr:col>12</xdr:col>
      <xdr:colOff>571500</xdr:colOff>
      <xdr:row>48</xdr:row>
      <xdr:rowOff>104774</xdr:rowOff>
    </xdr:from>
    <xdr:to>
      <xdr:col>13</xdr:col>
      <xdr:colOff>314325</xdr:colOff>
      <xdr:row>50</xdr:row>
      <xdr:rowOff>114299</xdr:rowOff>
    </xdr:to>
    <xdr:sp macro="" textlink="">
      <xdr:nvSpPr>
        <xdr:cNvPr id="18" name="Text Box 109"/>
        <xdr:cNvSpPr txBox="1">
          <a:spLocks noChangeArrowheads="1"/>
        </xdr:cNvSpPr>
      </xdr:nvSpPr>
      <xdr:spPr bwMode="auto">
        <a:xfrm>
          <a:off x="8105775" y="10134599"/>
          <a:ext cx="647700" cy="3905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まちなみ</a:t>
          </a:r>
        </a:p>
        <a:p>
          <a:pPr algn="ctr" rtl="0">
            <a:defRPr sz="1000"/>
          </a:pPr>
          <a:r>
            <a:rPr lang="ja-JP" altLang="en-US" sz="800" b="0" i="0" u="none" strike="noStrike" baseline="0">
              <a:solidFill>
                <a:srgbClr val="000000"/>
              </a:solidFill>
              <a:latin typeface="ＭＳ Ｐゴシック"/>
              <a:ea typeface="ＭＳ Ｐゴシック"/>
            </a:rPr>
            <a:t>・景観　</a:t>
          </a:r>
        </a:p>
      </xdr:txBody>
    </xdr:sp>
    <xdr:clientData/>
  </xdr:twoCellAnchor>
  <xdr:twoCellAnchor>
    <xdr:from>
      <xdr:col>13</xdr:col>
      <xdr:colOff>657224</xdr:colOff>
      <xdr:row>48</xdr:row>
      <xdr:rowOff>95249</xdr:rowOff>
    </xdr:from>
    <xdr:to>
      <xdr:col>14</xdr:col>
      <xdr:colOff>371474</xdr:colOff>
      <xdr:row>50</xdr:row>
      <xdr:rowOff>47624</xdr:rowOff>
    </xdr:to>
    <xdr:sp macro="" textlink="">
      <xdr:nvSpPr>
        <xdr:cNvPr id="19" name="Text Box 110"/>
        <xdr:cNvSpPr txBox="1">
          <a:spLocks noChangeArrowheads="1"/>
        </xdr:cNvSpPr>
      </xdr:nvSpPr>
      <xdr:spPr bwMode="auto">
        <a:xfrm>
          <a:off x="9096374" y="10125074"/>
          <a:ext cx="581025" cy="3333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地域性・　</a:t>
          </a:r>
        </a:p>
        <a:p>
          <a:pPr algn="ctr" rtl="0">
            <a:defRPr sz="1000"/>
          </a:pPr>
          <a:r>
            <a:rPr lang="ja-JP" altLang="en-US" sz="800" b="0" i="0" u="none" strike="noStrike" baseline="0">
              <a:solidFill>
                <a:srgbClr val="000000"/>
              </a:solidFill>
              <a:latin typeface="ＭＳ Ｐゴシック"/>
              <a:ea typeface="ＭＳ Ｐゴシック"/>
            </a:rPr>
            <a:t>アメニティ　　　　　　　　　</a:t>
          </a:r>
        </a:p>
      </xdr:txBody>
    </xdr:sp>
    <xdr:clientData/>
  </xdr:twoCellAnchor>
  <xdr:twoCellAnchor>
    <xdr:from>
      <xdr:col>0</xdr:col>
      <xdr:colOff>19050</xdr:colOff>
      <xdr:row>21</xdr:row>
      <xdr:rowOff>171450</xdr:rowOff>
    </xdr:from>
    <xdr:to>
      <xdr:col>5</xdr:col>
      <xdr:colOff>133350</xdr:colOff>
      <xdr:row>25</xdr:row>
      <xdr:rowOff>38100</xdr:rowOff>
    </xdr:to>
    <xdr:graphicFrame macro="">
      <xdr:nvGraphicFramePr>
        <xdr:cNvPr id="20"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47625</xdr:colOff>
      <xdr:row>24</xdr:row>
      <xdr:rowOff>180975</xdr:rowOff>
    </xdr:from>
    <xdr:to>
      <xdr:col>6</xdr:col>
      <xdr:colOff>476250</xdr:colOff>
      <xdr:row>26</xdr:row>
      <xdr:rowOff>19050</xdr:rowOff>
    </xdr:to>
    <xdr:sp macro="" textlink="">
      <xdr:nvSpPr>
        <xdr:cNvPr id="21" name="Text Box 129"/>
        <xdr:cNvSpPr txBox="1">
          <a:spLocks noChangeArrowheads="1"/>
        </xdr:cNvSpPr>
      </xdr:nvSpPr>
      <xdr:spPr bwMode="auto">
        <a:xfrm>
          <a:off x="104775" y="5372100"/>
          <a:ext cx="3238500" cy="2476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950" b="0" i="0" u="none" strike="noStrike" baseline="0">
              <a:solidFill>
                <a:srgbClr val="000000"/>
              </a:solidFill>
              <a:latin typeface="ＭＳ Ｐゴシック"/>
              <a:ea typeface="ＭＳ Ｐゴシック"/>
            </a:rPr>
            <a:t>S: </a:t>
          </a:r>
          <a:r>
            <a:rPr lang="en-US" altLang="ja-JP" sz="950" b="0" i="0" u="none" strike="noStrike" baseline="0">
              <a:solidFill>
                <a:srgbClr val="333333"/>
              </a:solidFill>
              <a:latin typeface="ＭＳ Ｐゴシック"/>
              <a:ea typeface="ＭＳ Ｐゴシック"/>
            </a:rPr>
            <a:t>★★★★★  </a:t>
          </a:r>
          <a:r>
            <a:rPr lang="en-US" altLang="ja-JP" sz="950" b="0" i="0" u="none" strike="noStrike" baseline="0">
              <a:solidFill>
                <a:srgbClr val="000000"/>
              </a:solidFill>
              <a:latin typeface="ＭＳ Ｐゴシック"/>
              <a:ea typeface="ＭＳ Ｐゴシック"/>
            </a:rPr>
            <a:t>A: </a:t>
          </a:r>
          <a:r>
            <a:rPr lang="en-US" altLang="ja-JP" sz="950" b="0" i="0" u="none" strike="noStrike" baseline="0">
              <a:solidFill>
                <a:srgbClr val="333333"/>
              </a:solidFill>
              <a:latin typeface="ＭＳ Ｐゴシック"/>
              <a:ea typeface="ＭＳ Ｐゴシック"/>
            </a:rPr>
            <a:t>★★★★  </a:t>
          </a:r>
          <a:r>
            <a:rPr lang="en-US" altLang="ja-JP" sz="950" b="0" i="0" u="none" strike="noStrike" baseline="0">
              <a:solidFill>
                <a:srgbClr val="000000"/>
              </a:solidFill>
              <a:latin typeface="ＭＳ Ｐゴシック"/>
              <a:ea typeface="ＭＳ Ｐゴシック"/>
            </a:rPr>
            <a:t>B</a:t>
          </a:r>
          <a:r>
            <a:rPr lang="en-US" altLang="ja-JP" sz="950" b="0" i="0" u="none" strike="noStrike" baseline="30000">
              <a:solidFill>
                <a:srgbClr val="000000"/>
              </a:solidFill>
              <a:latin typeface="ＭＳ Ｐゴシック"/>
              <a:ea typeface="ＭＳ Ｐゴシック"/>
            </a:rPr>
            <a:t>+</a:t>
          </a:r>
          <a:r>
            <a:rPr lang="en-US" altLang="ja-JP" sz="950" b="0" i="0" u="none" strike="noStrike" baseline="0">
              <a:solidFill>
                <a:srgbClr val="000000"/>
              </a:solidFill>
              <a:latin typeface="ＭＳ Ｐゴシック"/>
              <a:ea typeface="ＭＳ Ｐゴシック"/>
            </a:rPr>
            <a:t>: </a:t>
          </a:r>
          <a:r>
            <a:rPr lang="en-US" altLang="ja-JP" sz="950" b="0" i="0" u="none" strike="noStrike" baseline="0">
              <a:solidFill>
                <a:srgbClr val="333333"/>
              </a:solidFill>
              <a:latin typeface="ＭＳ Ｐゴシック"/>
              <a:ea typeface="ＭＳ Ｐゴシック"/>
            </a:rPr>
            <a:t>★★★  </a:t>
          </a:r>
          <a:r>
            <a:rPr lang="en-US" altLang="ja-JP" sz="950" b="0" i="0" u="none" strike="noStrike" baseline="0">
              <a:solidFill>
                <a:srgbClr val="000000"/>
              </a:solidFill>
              <a:latin typeface="ＭＳ Ｐゴシック"/>
              <a:ea typeface="ＭＳ Ｐゴシック"/>
            </a:rPr>
            <a:t>B</a:t>
          </a:r>
          <a:r>
            <a:rPr lang="en-US" altLang="ja-JP" sz="950" b="0" i="0" u="none" strike="noStrike" baseline="30000">
              <a:solidFill>
                <a:srgbClr val="000000"/>
              </a:solidFill>
              <a:latin typeface="ＭＳ Ｐゴシック"/>
              <a:ea typeface="ＭＳ Ｐゴシック"/>
            </a:rPr>
            <a:t>-</a:t>
          </a:r>
          <a:r>
            <a:rPr lang="en-US" altLang="ja-JP" sz="950" b="0" i="0" u="none" strike="noStrike" baseline="0">
              <a:solidFill>
                <a:srgbClr val="000000"/>
              </a:solidFill>
              <a:latin typeface="ＭＳ Ｐゴシック"/>
              <a:ea typeface="ＭＳ Ｐゴシック"/>
            </a:rPr>
            <a:t>: </a:t>
          </a:r>
          <a:r>
            <a:rPr lang="en-US" altLang="ja-JP" sz="950" b="0" i="0" u="none" strike="noStrike" baseline="0">
              <a:solidFill>
                <a:srgbClr val="333333"/>
              </a:solidFill>
              <a:latin typeface="ＭＳ Ｐゴシック"/>
              <a:ea typeface="ＭＳ Ｐゴシック"/>
            </a:rPr>
            <a:t>★★  </a:t>
          </a:r>
          <a:r>
            <a:rPr lang="en-US" altLang="ja-JP" sz="950" b="0" i="0" u="none" strike="noStrike" baseline="0">
              <a:solidFill>
                <a:srgbClr val="000000"/>
              </a:solidFill>
              <a:latin typeface="ＭＳ Ｐゴシック"/>
              <a:ea typeface="ＭＳ Ｐゴシック"/>
            </a:rPr>
            <a:t>C: </a:t>
          </a:r>
          <a:r>
            <a:rPr lang="en-US" altLang="ja-JP" sz="950" b="0" i="0" u="none" strike="noStrike" baseline="0">
              <a:solidFill>
                <a:srgbClr val="333333"/>
              </a:solidFill>
              <a:latin typeface="ＭＳ Ｐゴシック"/>
              <a:ea typeface="ＭＳ Ｐゴシック"/>
            </a:rPr>
            <a:t>★</a:t>
          </a:r>
        </a:p>
      </xdr:txBody>
    </xdr:sp>
    <xdr:clientData/>
  </xdr:twoCellAnchor>
  <xdr:oneCellAnchor>
    <xdr:from>
      <xdr:col>10</xdr:col>
      <xdr:colOff>174370</xdr:colOff>
      <xdr:row>35</xdr:row>
      <xdr:rowOff>9525</xdr:rowOff>
    </xdr:from>
    <xdr:ext cx="758926" cy="151836"/>
    <xdr:sp macro="" textlink="">
      <xdr:nvSpPr>
        <xdr:cNvPr id="22" name="Text Box 134"/>
        <xdr:cNvSpPr txBox="1">
          <a:spLocks noChangeArrowheads="1"/>
        </xdr:cNvSpPr>
      </xdr:nvSpPr>
      <xdr:spPr bwMode="auto">
        <a:xfrm>
          <a:off x="5984620" y="7324725"/>
          <a:ext cx="758926" cy="151836"/>
        </a:xfrm>
        <a:prstGeom prst="rect">
          <a:avLst/>
        </a:prstGeom>
        <a:noFill/>
        <a:ln w="9525">
          <a:noFill/>
          <a:miter lim="800000"/>
          <a:headEnd/>
          <a:tailEnd/>
        </a:ln>
      </xdr:spPr>
      <xdr:txBody>
        <a:bodyPr wrap="none" lIns="0" tIns="18288" rIns="27432" bIns="0" anchor="t" upright="1">
          <a:spAutoFit/>
        </a:bodyPr>
        <a:lstStyle/>
        <a:p>
          <a:pPr algn="r" rtl="0">
            <a:defRPr sz="1000"/>
          </a:pP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kg-CO</a:t>
          </a:r>
          <a:r>
            <a:rPr lang="en-US" altLang="ja-JP" sz="800" b="0" i="0" u="none" strike="noStrike" baseline="-25000">
              <a:solidFill>
                <a:srgbClr val="000000"/>
              </a:solidFill>
              <a:latin typeface="ＭＳ Ｐゴシック"/>
              <a:ea typeface="ＭＳ Ｐゴシック"/>
            </a:rPr>
            <a:t>2</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年・㎡）</a:t>
          </a:r>
        </a:p>
      </xdr:txBody>
    </xdr:sp>
    <xdr:clientData/>
  </xdr:oneCellAnchor>
  <xdr:oneCellAnchor>
    <xdr:from>
      <xdr:col>13</xdr:col>
      <xdr:colOff>257175</xdr:colOff>
      <xdr:row>40</xdr:row>
      <xdr:rowOff>180975</xdr:rowOff>
    </xdr:from>
    <xdr:ext cx="779957" cy="201850"/>
    <xdr:sp macro="" textlink="">
      <xdr:nvSpPr>
        <xdr:cNvPr id="23" name="Text Box 135"/>
        <xdr:cNvSpPr txBox="1">
          <a:spLocks noChangeArrowheads="1"/>
        </xdr:cNvSpPr>
      </xdr:nvSpPr>
      <xdr:spPr bwMode="auto">
        <a:xfrm>
          <a:off x="8696325" y="86868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13</xdr:col>
      <xdr:colOff>190500</xdr:colOff>
      <xdr:row>52</xdr:row>
      <xdr:rowOff>0</xdr:rowOff>
    </xdr:from>
    <xdr:ext cx="845040" cy="201850"/>
    <xdr:sp macro="" textlink="">
      <xdr:nvSpPr>
        <xdr:cNvPr id="24" name="Text Box 136"/>
        <xdr:cNvSpPr txBox="1">
          <a:spLocks noChangeArrowheads="1"/>
        </xdr:cNvSpPr>
      </xdr:nvSpPr>
      <xdr:spPr bwMode="auto">
        <a:xfrm>
          <a:off x="8629650" y="1082992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485775</xdr:colOff>
      <xdr:row>51</xdr:row>
      <xdr:rowOff>180975</xdr:rowOff>
    </xdr:from>
    <xdr:ext cx="845040" cy="201850"/>
    <xdr:sp macro="" textlink="">
      <xdr:nvSpPr>
        <xdr:cNvPr id="25" name="Text Box 137"/>
        <xdr:cNvSpPr txBox="1">
          <a:spLocks noChangeArrowheads="1"/>
        </xdr:cNvSpPr>
      </xdr:nvSpPr>
      <xdr:spPr bwMode="auto">
        <a:xfrm>
          <a:off x="4829175" y="108204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0</xdr:colOff>
      <xdr:row>40</xdr:row>
      <xdr:rowOff>171450</xdr:rowOff>
    </xdr:from>
    <xdr:ext cx="779957" cy="201850"/>
    <xdr:sp macro="" textlink="">
      <xdr:nvSpPr>
        <xdr:cNvPr id="26" name="Text Box 138"/>
        <xdr:cNvSpPr txBox="1">
          <a:spLocks noChangeArrowheads="1"/>
        </xdr:cNvSpPr>
      </xdr:nvSpPr>
      <xdr:spPr bwMode="auto">
        <a:xfrm>
          <a:off x="4886325" y="86772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314325</xdr:colOff>
      <xdr:row>40</xdr:row>
      <xdr:rowOff>171450</xdr:rowOff>
    </xdr:from>
    <xdr:ext cx="779957" cy="201850"/>
    <xdr:sp macro="" textlink="">
      <xdr:nvSpPr>
        <xdr:cNvPr id="27" name="Text Box 139"/>
        <xdr:cNvSpPr txBox="1">
          <a:spLocks noChangeArrowheads="1"/>
        </xdr:cNvSpPr>
      </xdr:nvSpPr>
      <xdr:spPr bwMode="auto">
        <a:xfrm>
          <a:off x="1962150" y="86772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257175</xdr:colOff>
      <xdr:row>52</xdr:row>
      <xdr:rowOff>0</xdr:rowOff>
    </xdr:from>
    <xdr:ext cx="845040" cy="201850"/>
    <xdr:sp macro="" textlink="">
      <xdr:nvSpPr>
        <xdr:cNvPr id="28" name="Text Box 140"/>
        <xdr:cNvSpPr txBox="1">
          <a:spLocks noChangeArrowheads="1"/>
        </xdr:cNvSpPr>
      </xdr:nvSpPr>
      <xdr:spPr bwMode="auto">
        <a:xfrm>
          <a:off x="1905000" y="1082992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2</xdr:col>
      <xdr:colOff>876300</xdr:colOff>
      <xdr:row>48</xdr:row>
      <xdr:rowOff>161925</xdr:rowOff>
    </xdr:from>
    <xdr:to>
      <xdr:col>4</xdr:col>
      <xdr:colOff>19050</xdr:colOff>
      <xdr:row>49</xdr:row>
      <xdr:rowOff>85725</xdr:rowOff>
    </xdr:to>
    <xdr:sp macro="" textlink="">
      <xdr:nvSpPr>
        <xdr:cNvPr id="29" name="Text Box 142"/>
        <xdr:cNvSpPr txBox="1">
          <a:spLocks noChangeArrowheads="1"/>
        </xdr:cNvSpPr>
      </xdr:nvSpPr>
      <xdr:spPr bwMode="auto">
        <a:xfrm>
          <a:off x="1095375" y="10191750"/>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u="none" strike="noStrike" baseline="0">
              <a:solidFill>
                <a:srgbClr val="000000"/>
              </a:solidFill>
              <a:latin typeface="ＭＳ Ｐゴシック"/>
              <a:ea typeface="ＭＳ Ｐゴシック"/>
            </a:rPr>
            <a:t>温熱環境</a:t>
          </a:r>
        </a:p>
      </xdr:txBody>
    </xdr:sp>
    <xdr:clientData/>
  </xdr:twoCellAnchor>
  <xdr:oneCellAnchor>
    <xdr:from>
      <xdr:col>4</xdr:col>
      <xdr:colOff>243857</xdr:colOff>
      <xdr:row>48</xdr:row>
      <xdr:rowOff>171450</xdr:rowOff>
    </xdr:from>
    <xdr:ext cx="455638" cy="133370"/>
    <xdr:sp macro="" textlink="">
      <xdr:nvSpPr>
        <xdr:cNvPr id="30" name="Text Box 143"/>
        <xdr:cNvSpPr txBox="1">
          <a:spLocks noChangeArrowheads="1"/>
        </xdr:cNvSpPr>
      </xdr:nvSpPr>
      <xdr:spPr bwMode="auto">
        <a:xfrm>
          <a:off x="1891682" y="10201275"/>
          <a:ext cx="455638"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a:t>
          </a:r>
        </a:p>
      </xdr:txBody>
    </xdr:sp>
    <xdr:clientData/>
  </xdr:oneCellAnchor>
  <xdr:twoCellAnchor>
    <xdr:from>
      <xdr:col>5</xdr:col>
      <xdr:colOff>114300</xdr:colOff>
      <xdr:row>48</xdr:row>
      <xdr:rowOff>152400</xdr:rowOff>
    </xdr:from>
    <xdr:to>
      <xdr:col>6</xdr:col>
      <xdr:colOff>342900</xdr:colOff>
      <xdr:row>49</xdr:row>
      <xdr:rowOff>104775</xdr:rowOff>
    </xdr:to>
    <xdr:sp macro="" textlink="">
      <xdr:nvSpPr>
        <xdr:cNvPr id="31" name="Text Box 144"/>
        <xdr:cNvSpPr txBox="1">
          <a:spLocks noChangeArrowheads="1"/>
        </xdr:cNvSpPr>
      </xdr:nvSpPr>
      <xdr:spPr bwMode="auto">
        <a:xfrm>
          <a:off x="2505075" y="10182225"/>
          <a:ext cx="704850" cy="14287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u="none" strike="noStrike" baseline="0">
              <a:solidFill>
                <a:srgbClr val="000000"/>
              </a:solidFill>
              <a:latin typeface="ＭＳ Ｐゴシック"/>
              <a:ea typeface="ＭＳ Ｐゴシック"/>
            </a:rPr>
            <a:t>空気質環境　　　　　　　</a:t>
          </a:r>
        </a:p>
      </xdr:txBody>
    </xdr:sp>
    <xdr:clientData/>
  </xdr:twoCellAnchor>
  <xdr:twoCellAnchor>
    <xdr:from>
      <xdr:col>9</xdr:col>
      <xdr:colOff>819150</xdr:colOff>
      <xdr:row>59</xdr:row>
      <xdr:rowOff>104775</xdr:rowOff>
    </xdr:from>
    <xdr:to>
      <xdr:col>10</xdr:col>
      <xdr:colOff>600075</xdr:colOff>
      <xdr:row>62</xdr:row>
      <xdr:rowOff>9525</xdr:rowOff>
    </xdr:to>
    <xdr:sp macro="" textlink="">
      <xdr:nvSpPr>
        <xdr:cNvPr id="32" name="Text Box 145"/>
        <xdr:cNvSpPr txBox="1">
          <a:spLocks noChangeArrowheads="1"/>
        </xdr:cNvSpPr>
      </xdr:nvSpPr>
      <xdr:spPr bwMode="auto">
        <a:xfrm>
          <a:off x="5705475" y="12306300"/>
          <a:ext cx="704850" cy="3810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汚染物質</a:t>
          </a:r>
        </a:p>
        <a:p>
          <a:pPr algn="ctr" rtl="0">
            <a:lnSpc>
              <a:spcPts val="1000"/>
            </a:lnSpc>
            <a:defRPr sz="1000"/>
          </a:pPr>
          <a:r>
            <a:rPr lang="ja-JP" altLang="en-US" sz="800" b="0" i="0" u="none" strike="noStrike" baseline="0">
              <a:solidFill>
                <a:srgbClr val="000000"/>
              </a:solidFill>
              <a:latin typeface="ＭＳ Ｐゴシック"/>
              <a:ea typeface="ＭＳ Ｐゴシック"/>
            </a:rPr>
            <a:t>回避</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2</xdr:col>
      <xdr:colOff>123825</xdr:colOff>
      <xdr:row>59</xdr:row>
      <xdr:rowOff>104775</xdr:rowOff>
    </xdr:from>
    <xdr:to>
      <xdr:col>2</xdr:col>
      <xdr:colOff>628650</xdr:colOff>
      <xdr:row>62</xdr:row>
      <xdr:rowOff>38100</xdr:rowOff>
    </xdr:to>
    <xdr:sp macro="" textlink="">
      <xdr:nvSpPr>
        <xdr:cNvPr id="33" name="Text Box 23"/>
        <xdr:cNvSpPr txBox="1">
          <a:spLocks noChangeArrowheads="1"/>
        </xdr:cNvSpPr>
      </xdr:nvSpPr>
      <xdr:spPr bwMode="auto">
        <a:xfrm>
          <a:off x="342900" y="12306300"/>
          <a:ext cx="504825" cy="4095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u="none" strike="noStrike" baseline="0">
              <a:solidFill>
                <a:srgbClr val="000000"/>
              </a:solidFill>
              <a:latin typeface="ＭＳ Ｐゴシック"/>
              <a:ea typeface="ＭＳ Ｐゴシック"/>
            </a:rPr>
            <a:t>   建物の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xdr:from>
      <xdr:col>2</xdr:col>
      <xdr:colOff>866775</xdr:colOff>
      <xdr:row>59</xdr:row>
      <xdr:rowOff>104775</xdr:rowOff>
    </xdr:from>
    <xdr:to>
      <xdr:col>4</xdr:col>
      <xdr:colOff>0</xdr:colOff>
      <xdr:row>62</xdr:row>
      <xdr:rowOff>38100</xdr:rowOff>
    </xdr:to>
    <xdr:sp macro="" textlink="">
      <xdr:nvSpPr>
        <xdr:cNvPr id="34" name="Text Box 101"/>
        <xdr:cNvSpPr txBox="1">
          <a:spLocks noChangeArrowheads="1"/>
        </xdr:cNvSpPr>
      </xdr:nvSpPr>
      <xdr:spPr bwMode="auto">
        <a:xfrm>
          <a:off x="1085850" y="12306300"/>
          <a:ext cx="561975" cy="4095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u="none" strike="noStrike" baseline="0">
              <a:solidFill>
                <a:srgbClr val="000000"/>
              </a:solidFill>
              <a:latin typeface="ＭＳ Ｐゴシック"/>
              <a:ea typeface="ＭＳ Ｐゴシック"/>
            </a:rPr>
            <a:t> 自然エネ     </a:t>
          </a:r>
        </a:p>
        <a:p>
          <a:pPr algn="ctr" rtl="0">
            <a:lnSpc>
              <a:spcPts val="1000"/>
            </a:lnSpc>
            <a:defRPr sz="1000"/>
          </a:pPr>
          <a:r>
            <a:rPr lang="ja-JP" altLang="en-US" sz="825" b="0" i="0" u="none" strike="noStrike" baseline="0">
              <a:solidFill>
                <a:srgbClr val="000000"/>
              </a:solidFill>
              <a:latin typeface="ＭＳ Ｐゴシック"/>
              <a:ea typeface="ＭＳ Ｐゴシック"/>
            </a:rPr>
            <a:t>  ルギー</a:t>
          </a:r>
        </a:p>
      </xdr:txBody>
    </xdr:sp>
    <xdr:clientData/>
  </xdr:twoCellAnchor>
  <xdr:twoCellAnchor>
    <xdr:from>
      <xdr:col>4</xdr:col>
      <xdr:colOff>133350</xdr:colOff>
      <xdr:row>59</xdr:row>
      <xdr:rowOff>104774</xdr:rowOff>
    </xdr:from>
    <xdr:to>
      <xdr:col>5</xdr:col>
      <xdr:colOff>57150</xdr:colOff>
      <xdr:row>62</xdr:row>
      <xdr:rowOff>19049</xdr:rowOff>
    </xdr:to>
    <xdr:sp macro="" textlink="">
      <xdr:nvSpPr>
        <xdr:cNvPr id="35" name="Text Box 102"/>
        <xdr:cNvSpPr txBox="1">
          <a:spLocks noChangeArrowheads="1"/>
        </xdr:cNvSpPr>
      </xdr:nvSpPr>
      <xdr:spPr bwMode="auto">
        <a:xfrm>
          <a:off x="1781175" y="12306299"/>
          <a:ext cx="666750" cy="3905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u="none" strike="noStrike" baseline="0">
              <a:solidFill>
                <a:srgbClr val="000000"/>
              </a:solidFill>
              <a:latin typeface="ＭＳ Ｐゴシック"/>
              <a:ea typeface="ＭＳ Ｐゴシック"/>
            </a:rPr>
            <a:t> 設備システ     </a:t>
          </a:r>
        </a:p>
        <a:p>
          <a:pPr algn="ctr" rtl="0">
            <a:lnSpc>
              <a:spcPts val="1000"/>
            </a:lnSpc>
            <a:defRPr sz="1000"/>
          </a:pPr>
          <a:r>
            <a:rPr lang="ja-JP" altLang="en-US" sz="825" b="0" i="0" u="none" strike="noStrike" baseline="0">
              <a:solidFill>
                <a:srgbClr val="000000"/>
              </a:solidFill>
              <a:latin typeface="ＭＳ Ｐゴシック"/>
              <a:ea typeface="ＭＳ Ｐゴシック"/>
            </a:rPr>
            <a:t> ム効率化</a:t>
          </a:r>
        </a:p>
      </xdr:txBody>
    </xdr:sp>
    <xdr:clientData/>
  </xdr:twoCellAnchor>
  <xdr:twoCellAnchor>
    <xdr:from>
      <xdr:col>5</xdr:col>
      <xdr:colOff>276225</xdr:colOff>
      <xdr:row>59</xdr:row>
      <xdr:rowOff>104774</xdr:rowOff>
    </xdr:from>
    <xdr:to>
      <xdr:col>6</xdr:col>
      <xdr:colOff>200025</xdr:colOff>
      <xdr:row>61</xdr:row>
      <xdr:rowOff>76199</xdr:rowOff>
    </xdr:to>
    <xdr:sp macro="" textlink="">
      <xdr:nvSpPr>
        <xdr:cNvPr id="36" name="Text Box 103"/>
        <xdr:cNvSpPr txBox="1">
          <a:spLocks noChangeArrowheads="1"/>
        </xdr:cNvSpPr>
      </xdr:nvSpPr>
      <xdr:spPr bwMode="auto">
        <a:xfrm>
          <a:off x="2667000" y="12306299"/>
          <a:ext cx="400050" cy="3714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u="none" strike="noStrike" baseline="0">
              <a:solidFill>
                <a:srgbClr val="000000"/>
              </a:solidFill>
              <a:latin typeface="ＭＳ Ｐゴシック"/>
              <a:ea typeface="ＭＳ Ｐゴシック"/>
            </a:rPr>
            <a:t>効率的              </a:t>
          </a:r>
        </a:p>
        <a:p>
          <a:pPr algn="ctr" rtl="0">
            <a:lnSpc>
              <a:spcPts val="1000"/>
            </a:lnSpc>
            <a:defRPr sz="1000"/>
          </a:pPr>
          <a:r>
            <a:rPr lang="ja-JP" altLang="en-US" sz="825" b="0" i="0" u="none" strike="noStrike" baseline="0">
              <a:solidFill>
                <a:srgbClr val="000000"/>
              </a:solidFill>
              <a:latin typeface="ＭＳ Ｐゴシック"/>
              <a:ea typeface="ＭＳ Ｐゴシック"/>
            </a:rPr>
            <a:t>運用</a:t>
          </a:r>
        </a:p>
      </xdr:txBody>
    </xdr:sp>
    <xdr:clientData/>
  </xdr:twoCellAnchor>
  <xdr:twoCellAnchor>
    <xdr:from>
      <xdr:col>11</xdr:col>
      <xdr:colOff>447675</xdr:colOff>
      <xdr:row>59</xdr:row>
      <xdr:rowOff>95250</xdr:rowOff>
    </xdr:from>
    <xdr:to>
      <xdr:col>12</xdr:col>
      <xdr:colOff>276225</xdr:colOff>
      <xdr:row>62</xdr:row>
      <xdr:rowOff>9525</xdr:rowOff>
    </xdr:to>
    <xdr:sp macro="" textlink="">
      <xdr:nvSpPr>
        <xdr:cNvPr id="37" name="Text Box 148"/>
        <xdr:cNvSpPr txBox="1">
          <a:spLocks noChangeArrowheads="1"/>
        </xdr:cNvSpPr>
      </xdr:nvSpPr>
      <xdr:spPr bwMode="auto">
        <a:xfrm>
          <a:off x="7162800" y="12296775"/>
          <a:ext cx="647700" cy="3905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地球温暖化</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12</xdr:col>
      <xdr:colOff>596347</xdr:colOff>
      <xdr:row>59</xdr:row>
      <xdr:rowOff>95250</xdr:rowOff>
    </xdr:from>
    <xdr:to>
      <xdr:col>13</xdr:col>
      <xdr:colOff>331304</xdr:colOff>
      <xdr:row>61</xdr:row>
      <xdr:rowOff>33131</xdr:rowOff>
    </xdr:to>
    <xdr:sp macro="" textlink="">
      <xdr:nvSpPr>
        <xdr:cNvPr id="38" name="Text Box 149"/>
        <xdr:cNvSpPr txBox="1">
          <a:spLocks noChangeArrowheads="1"/>
        </xdr:cNvSpPr>
      </xdr:nvSpPr>
      <xdr:spPr bwMode="auto">
        <a:xfrm>
          <a:off x="8141804" y="12287250"/>
          <a:ext cx="637761" cy="335446"/>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地域環境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13</xdr:col>
      <xdr:colOff>629478</xdr:colOff>
      <xdr:row>59</xdr:row>
      <xdr:rowOff>95250</xdr:rowOff>
    </xdr:from>
    <xdr:to>
      <xdr:col>14</xdr:col>
      <xdr:colOff>389282</xdr:colOff>
      <xdr:row>61</xdr:row>
      <xdr:rowOff>57978</xdr:rowOff>
    </xdr:to>
    <xdr:sp macro="" textlink="">
      <xdr:nvSpPr>
        <xdr:cNvPr id="39" name="Text Box 150"/>
        <xdr:cNvSpPr txBox="1">
          <a:spLocks noChangeArrowheads="1"/>
        </xdr:cNvSpPr>
      </xdr:nvSpPr>
      <xdr:spPr bwMode="auto">
        <a:xfrm>
          <a:off x="9077739" y="12287250"/>
          <a:ext cx="629478" cy="360293"/>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u="none" strike="noStrike" baseline="0">
              <a:solidFill>
                <a:srgbClr val="000000"/>
              </a:solidFill>
              <a:latin typeface="ＭＳ Ｐゴシック"/>
              <a:ea typeface="ＭＳ Ｐゴシック"/>
            </a:rPr>
            <a:t>周辺環境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oneCellAnchor>
    <xdr:from>
      <xdr:col>5</xdr:col>
      <xdr:colOff>76200</xdr:colOff>
      <xdr:row>24</xdr:row>
      <xdr:rowOff>9525</xdr:rowOff>
    </xdr:from>
    <xdr:ext cx="560410" cy="219419"/>
    <xdr:sp macro="" textlink="">
      <xdr:nvSpPr>
        <xdr:cNvPr id="40" name="Text Box 45"/>
        <xdr:cNvSpPr txBox="1">
          <a:spLocks noChangeArrowheads="1"/>
        </xdr:cNvSpPr>
      </xdr:nvSpPr>
      <xdr:spPr bwMode="auto">
        <a:xfrm>
          <a:off x="2466975" y="5200650"/>
          <a:ext cx="560410" cy="219419"/>
        </a:xfrm>
        <a:prstGeom prst="rect">
          <a:avLst/>
        </a:prstGeom>
        <a:noFill/>
        <a:ln w="9525">
          <a:noFill/>
          <a:miter lim="800000"/>
          <a:headEnd/>
          <a:tailEnd/>
        </a:ln>
      </xdr:spPr>
      <xdr:txBody>
        <a:bodyPr wrap="none" lIns="27432" tIns="27432" rIns="0" bIns="0" anchor="t" upright="1">
          <a:spAutoFit/>
        </a:bodyPr>
        <a:lstStyle/>
        <a:p>
          <a:pPr algn="l" rtl="0">
            <a:defRPr sz="1000"/>
          </a:pPr>
          <a:r>
            <a:rPr lang="en-US" altLang="ja-JP" sz="1300" b="1" i="0" u="none" strike="noStrike" baseline="0">
              <a:solidFill>
                <a:srgbClr val="000000"/>
              </a:solidFill>
              <a:latin typeface="Arial"/>
              <a:cs typeface="Arial"/>
            </a:rPr>
            <a:t>BEE = </a:t>
          </a:r>
        </a:p>
      </xdr:txBody>
    </xdr:sp>
    <xdr:clientData/>
  </xdr:oneCellAnchor>
  <xdr:oneCellAnchor>
    <xdr:from>
      <xdr:col>7</xdr:col>
      <xdr:colOff>9525</xdr:colOff>
      <xdr:row>25</xdr:row>
      <xdr:rowOff>38100</xdr:rowOff>
    </xdr:from>
    <xdr:ext cx="3114675" cy="152400"/>
    <xdr:sp macro="" textlink="">
      <xdr:nvSpPr>
        <xdr:cNvPr id="41" name="Text Box 129"/>
        <xdr:cNvSpPr txBox="1">
          <a:spLocks noChangeArrowheads="1"/>
        </xdr:cNvSpPr>
      </xdr:nvSpPr>
      <xdr:spPr bwMode="auto">
        <a:xfrm>
          <a:off x="3371850" y="5419725"/>
          <a:ext cx="3114675" cy="15240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800" b="0" i="0" u="none" strike="noStrike" baseline="0">
              <a:solidFill>
                <a:srgbClr val="000000"/>
              </a:solidFill>
              <a:latin typeface="ＭＳ Ｐゴシック"/>
              <a:ea typeface="ＭＳ Ｐゴシック"/>
            </a:rPr>
            <a:t>30%: </a:t>
          </a:r>
          <a:r>
            <a:rPr lang="en-US" altLang="ja-JP" sz="800" b="0" i="0" u="none" strike="noStrike" baseline="0">
              <a:solidFill>
                <a:srgbClr val="333333"/>
              </a:solidFill>
              <a:latin typeface="ＭＳ Ｐゴシック"/>
              <a:ea typeface="ＭＳ Ｐゴシック"/>
            </a:rPr>
            <a:t>☆☆☆☆☆  60%</a:t>
          </a:r>
          <a:r>
            <a:rPr lang="en-US" altLang="ja-JP" sz="800" b="0" i="0" u="none" strike="noStrike" baseline="0">
              <a:solidFill>
                <a:srgbClr val="000000"/>
              </a:solidFill>
              <a:latin typeface="ＭＳ Ｐゴシック"/>
              <a:ea typeface="ＭＳ Ｐゴシック"/>
            </a:rPr>
            <a:t>: </a:t>
          </a:r>
          <a:r>
            <a:rPr lang="en-US" altLang="ja-JP" sz="800" b="0" i="0" u="none" strike="noStrike" baseline="0">
              <a:solidFill>
                <a:srgbClr val="333333"/>
              </a:solidFill>
              <a:latin typeface="ＭＳ Ｐゴシック"/>
              <a:ea typeface="ＭＳ Ｐゴシック"/>
            </a:rPr>
            <a:t>☆☆☆☆  80%</a:t>
          </a:r>
          <a:r>
            <a:rPr lang="en-US" altLang="ja-JP" sz="800" b="0" i="0" u="none" strike="noStrike" baseline="0">
              <a:solidFill>
                <a:srgbClr val="000000"/>
              </a:solidFill>
              <a:latin typeface="ＭＳ Ｐゴシック"/>
              <a:ea typeface="ＭＳ Ｐゴシック"/>
            </a:rPr>
            <a:t>: ☆☆☆</a:t>
          </a:r>
          <a:r>
            <a:rPr lang="en-US" altLang="ja-JP" sz="800" b="0" i="0" u="none" strike="noStrike" baseline="0">
              <a:solidFill>
                <a:srgbClr val="333333"/>
              </a:solidFill>
              <a:latin typeface="ＭＳ Ｐゴシック"/>
              <a:ea typeface="ＭＳ Ｐゴシック"/>
            </a:rPr>
            <a:t> 100%</a:t>
          </a:r>
          <a:r>
            <a:rPr lang="en-US" altLang="ja-JP" sz="800" b="0" i="0" u="none" strike="noStrike" baseline="0">
              <a:solidFill>
                <a:srgbClr val="000000"/>
              </a:solidFill>
              <a:latin typeface="ＭＳ Ｐゴシック"/>
              <a:ea typeface="ＭＳ Ｐゴシック"/>
            </a:rPr>
            <a:t>: ☆☆</a:t>
          </a:r>
          <a:r>
            <a:rPr lang="en-US" altLang="ja-JP" sz="800" b="0" i="0" u="none" strike="noStrike" baseline="0">
              <a:solidFill>
                <a:srgbClr val="333333"/>
              </a:solidFill>
              <a:latin typeface="ＭＳ Ｐゴシック"/>
              <a:ea typeface="ＭＳ Ｐゴシック"/>
            </a:rPr>
            <a:t>  100%</a:t>
          </a:r>
          <a:r>
            <a:rPr lang="ja-JP" altLang="en-US" sz="800" b="0" i="0" u="none" strike="noStrike" baseline="0">
              <a:solidFill>
                <a:srgbClr val="333333"/>
              </a:solidFill>
              <a:latin typeface="ＭＳ Ｐゴシック"/>
              <a:ea typeface="ＭＳ Ｐゴシック"/>
            </a:rPr>
            <a:t>超</a:t>
          </a:r>
          <a:r>
            <a:rPr lang="en-US" altLang="ja-JP" sz="800" b="0" i="0" u="none" strike="noStrike" baseline="0">
              <a:solidFill>
                <a:srgbClr val="000000"/>
              </a:solidFill>
              <a:latin typeface="ＭＳ Ｐゴシック"/>
              <a:ea typeface="ＭＳ Ｐゴシック"/>
            </a:rPr>
            <a:t>: ☆</a:t>
          </a:r>
        </a:p>
      </xdr:txBody>
    </xdr:sp>
    <xdr:clientData/>
  </xdr:oneCellAnchor>
  <xdr:twoCellAnchor>
    <xdr:from>
      <xdr:col>7</xdr:col>
      <xdr:colOff>438150</xdr:colOff>
      <xdr:row>21</xdr:row>
      <xdr:rowOff>180975</xdr:rowOff>
    </xdr:from>
    <xdr:to>
      <xdr:col>10</xdr:col>
      <xdr:colOff>504825</xdr:colOff>
      <xdr:row>25</xdr:row>
      <xdr:rowOff>133350</xdr:rowOff>
    </xdr:to>
    <xdr:graphicFrame macro="">
      <xdr:nvGraphicFramePr>
        <xdr:cNvPr id="42"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28575</xdr:colOff>
      <xdr:row>27</xdr:row>
      <xdr:rowOff>123825</xdr:rowOff>
    </xdr:from>
    <xdr:to>
      <xdr:col>7</xdr:col>
      <xdr:colOff>933450</xdr:colOff>
      <xdr:row>28</xdr:row>
      <xdr:rowOff>161925</xdr:rowOff>
    </xdr:to>
    <xdr:sp macro="" textlink="">
      <xdr:nvSpPr>
        <xdr:cNvPr id="43" name="Text Box 131"/>
        <xdr:cNvSpPr txBox="1">
          <a:spLocks noChangeArrowheads="1"/>
        </xdr:cNvSpPr>
      </xdr:nvSpPr>
      <xdr:spPr bwMode="auto">
        <a:xfrm>
          <a:off x="3390900" y="5915025"/>
          <a:ext cx="904875" cy="2286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u="none" strike="noStrike" baseline="0">
              <a:solidFill>
                <a:srgbClr val="000000"/>
              </a:solidFill>
              <a:latin typeface="ＭＳ ゴシック"/>
              <a:ea typeface="ＭＳ ゴシック"/>
            </a:rPr>
            <a:t>①参照値</a:t>
          </a:r>
        </a:p>
      </xdr:txBody>
    </xdr:sp>
    <xdr:clientData/>
  </xdr:twoCellAnchor>
  <xdr:twoCellAnchor>
    <xdr:from>
      <xdr:col>7</xdr:col>
      <xdr:colOff>19050</xdr:colOff>
      <xdr:row>29</xdr:row>
      <xdr:rowOff>0</xdr:rowOff>
    </xdr:from>
    <xdr:to>
      <xdr:col>8</xdr:col>
      <xdr:colOff>19050</xdr:colOff>
      <xdr:row>30</xdr:row>
      <xdr:rowOff>38100</xdr:rowOff>
    </xdr:to>
    <xdr:sp macro="" textlink="">
      <xdr:nvSpPr>
        <xdr:cNvPr id="44" name="Text Box 131"/>
        <xdr:cNvSpPr txBox="1">
          <a:spLocks noChangeArrowheads="1"/>
        </xdr:cNvSpPr>
      </xdr:nvSpPr>
      <xdr:spPr bwMode="auto">
        <a:xfrm>
          <a:off x="3381375" y="6172200"/>
          <a:ext cx="981075" cy="2286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u="none" strike="noStrike" baseline="0">
              <a:solidFill>
                <a:srgbClr val="000000"/>
              </a:solidFill>
              <a:latin typeface="ＭＳ ゴシック"/>
              <a:ea typeface="ＭＳ ゴシック"/>
            </a:rPr>
            <a:t>②建築物の取組み</a:t>
          </a:r>
        </a:p>
      </xdr:txBody>
    </xdr:sp>
    <xdr:clientData/>
  </xdr:twoCellAnchor>
  <xdr:twoCellAnchor>
    <xdr:from>
      <xdr:col>7</xdr:col>
      <xdr:colOff>19050</xdr:colOff>
      <xdr:row>30</xdr:row>
      <xdr:rowOff>123825</xdr:rowOff>
    </xdr:from>
    <xdr:to>
      <xdr:col>8</xdr:col>
      <xdr:colOff>19050</xdr:colOff>
      <xdr:row>32</xdr:row>
      <xdr:rowOff>38100</xdr:rowOff>
    </xdr:to>
    <xdr:sp macro="" textlink="">
      <xdr:nvSpPr>
        <xdr:cNvPr id="45" name="Text Box 131"/>
        <xdr:cNvSpPr txBox="1">
          <a:spLocks noChangeArrowheads="1"/>
        </xdr:cNvSpPr>
      </xdr:nvSpPr>
      <xdr:spPr bwMode="auto">
        <a:xfrm>
          <a:off x="3381375" y="6486525"/>
          <a:ext cx="981075" cy="295275"/>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u="none" strike="noStrike" baseline="0">
              <a:solidFill>
                <a:srgbClr val="000000"/>
              </a:solidFill>
              <a:latin typeface="ＭＳ ゴシック"/>
              <a:ea typeface="ＭＳ ゴシック"/>
            </a:rPr>
            <a:t>③上記</a:t>
          </a:r>
          <a:r>
            <a:rPr lang="en-US" altLang="ja-JP" sz="800" b="0" i="0" u="none" strike="noStrike" baseline="0">
              <a:solidFill>
                <a:srgbClr val="000000"/>
              </a:solidFill>
              <a:latin typeface="ＭＳ ゴシック"/>
              <a:ea typeface="ＭＳ ゴシック"/>
            </a:rPr>
            <a:t>+②</a:t>
          </a:r>
          <a:r>
            <a:rPr lang="ja-JP" altLang="en-US" sz="800" b="0" i="0" u="none" strike="noStrike" baseline="0">
              <a:solidFill>
                <a:srgbClr val="000000"/>
              </a:solidFill>
              <a:latin typeface="ＭＳ ゴシック"/>
              <a:ea typeface="ＭＳ ゴシック"/>
            </a:rPr>
            <a:t>以外の</a:t>
          </a:r>
        </a:p>
        <a:p>
          <a:pPr algn="l" rtl="0">
            <a:defRPr sz="1000"/>
          </a:pPr>
          <a:r>
            <a:rPr lang="ja-JP" altLang="en-US" sz="800" b="0" i="0" u="none" strike="noStrike" baseline="0">
              <a:solidFill>
                <a:srgbClr val="000000"/>
              </a:solidFill>
              <a:latin typeface="ＭＳ ゴシック"/>
              <a:ea typeface="ＭＳ ゴシック"/>
            </a:rPr>
            <a:t>　オンサイト手法</a:t>
          </a:r>
        </a:p>
      </xdr:txBody>
    </xdr:sp>
    <xdr:clientData/>
  </xdr:twoCellAnchor>
  <xdr:twoCellAnchor>
    <xdr:from>
      <xdr:col>7</xdr:col>
      <xdr:colOff>857250</xdr:colOff>
      <xdr:row>26</xdr:row>
      <xdr:rowOff>85725</xdr:rowOff>
    </xdr:from>
    <xdr:to>
      <xdr:col>11</xdr:col>
      <xdr:colOff>0</xdr:colOff>
      <xdr:row>35</xdr:row>
      <xdr:rowOff>19050</xdr:rowOff>
    </xdr:to>
    <xdr:graphicFrame macro="">
      <xdr:nvGraphicFramePr>
        <xdr:cNvPr id="46"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838200</xdr:colOff>
      <xdr:row>2</xdr:row>
      <xdr:rowOff>209550</xdr:rowOff>
    </xdr:from>
    <xdr:to>
      <xdr:col>15</xdr:col>
      <xdr:colOff>19050</xdr:colOff>
      <xdr:row>3</xdr:row>
      <xdr:rowOff>200025</xdr:rowOff>
    </xdr:to>
    <xdr:sp macro="" textlink="">
      <xdr:nvSpPr>
        <xdr:cNvPr id="47" name="WordArt 68"/>
        <xdr:cNvSpPr>
          <a:spLocks noChangeArrowheads="1" noChangeShapeType="1" noTextEdit="1"/>
        </xdr:cNvSpPr>
      </xdr:nvSpPr>
      <xdr:spPr bwMode="auto">
        <a:xfrm>
          <a:off x="9277350" y="523875"/>
          <a:ext cx="914400" cy="228600"/>
        </a:xfrm>
        <a:prstGeom prst="rect">
          <a:avLst/>
        </a:prstGeom>
      </xdr:spPr>
      <xdr:txBody>
        <a:bodyPr wrap="none" fromWordArt="1">
          <a:prstTxWarp prst="textPlain">
            <a:avLst>
              <a:gd name="adj" fmla="val 50000"/>
            </a:avLst>
          </a:prstTxWarp>
        </a:bodyPr>
        <a:lstStyle/>
        <a:p>
          <a:pPr algn="ctr" rtl="0"/>
          <a:r>
            <a:rPr lang="ja-JP" altLang="en-US" sz="1800" kern="10" spc="0">
              <a:ln w="9525">
                <a:noFill/>
                <a:round/>
                <a:headEnd/>
                <a:tailEnd/>
              </a:ln>
              <a:solidFill>
                <a:srgbClr val="000000"/>
              </a:solidFill>
              <a:effectLst/>
              <a:latin typeface="ＭＳ Ｐゴシック"/>
              <a:ea typeface="ＭＳ Ｐゴシック"/>
            </a:rPr>
            <a:t>（改修後）</a:t>
          </a:r>
        </a:p>
      </xdr:txBody>
    </xdr:sp>
    <xdr:clientData/>
  </xdr:twoCellAnchor>
  <xdr:twoCellAnchor>
    <xdr:from>
      <xdr:col>7</xdr:col>
      <xdr:colOff>19050</xdr:colOff>
      <xdr:row>32</xdr:row>
      <xdr:rowOff>66675</xdr:rowOff>
    </xdr:from>
    <xdr:to>
      <xdr:col>8</xdr:col>
      <xdr:colOff>323850</xdr:colOff>
      <xdr:row>33</xdr:row>
      <xdr:rowOff>171450</xdr:rowOff>
    </xdr:to>
    <xdr:sp macro="" textlink="">
      <xdr:nvSpPr>
        <xdr:cNvPr id="48" name="Text Box 49"/>
        <xdr:cNvSpPr txBox="1">
          <a:spLocks noChangeArrowheads="1"/>
        </xdr:cNvSpPr>
      </xdr:nvSpPr>
      <xdr:spPr bwMode="auto">
        <a:xfrm>
          <a:off x="3381375" y="68103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editAs="oneCell">
    <xdr:from>
      <xdr:col>12</xdr:col>
      <xdr:colOff>723900</xdr:colOff>
      <xdr:row>2</xdr:row>
      <xdr:rowOff>9525</xdr:rowOff>
    </xdr:from>
    <xdr:to>
      <xdr:col>13</xdr:col>
      <xdr:colOff>704850</xdr:colOff>
      <xdr:row>3</xdr:row>
      <xdr:rowOff>200025</xdr:rowOff>
    </xdr:to>
    <xdr:pic>
      <xdr:nvPicPr>
        <xdr:cNvPr id="49" name="Picture 74" descr="LOGO5"/>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8258175" y="323850"/>
          <a:ext cx="885825" cy="428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0</xdr:colOff>
      <xdr:row>1</xdr:row>
      <xdr:rowOff>209550</xdr:rowOff>
    </xdr:from>
    <xdr:to>
      <xdr:col>4</xdr:col>
      <xdr:colOff>704850</xdr:colOff>
      <xdr:row>4</xdr:row>
      <xdr:rowOff>76200</xdr:rowOff>
    </xdr:to>
    <xdr:pic>
      <xdr:nvPicPr>
        <xdr:cNvPr id="50" name="Picture 75" descr="LOGO8"/>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57150" y="285750"/>
          <a:ext cx="2295525" cy="581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85725</xdr:colOff>
      <xdr:row>2</xdr:row>
      <xdr:rowOff>9525</xdr:rowOff>
    </xdr:from>
    <xdr:to>
      <xdr:col>12</xdr:col>
      <xdr:colOff>476250</xdr:colOff>
      <xdr:row>3</xdr:row>
      <xdr:rowOff>200025</xdr:rowOff>
    </xdr:to>
    <xdr:pic>
      <xdr:nvPicPr>
        <xdr:cNvPr id="51" name="Picture 78" descr="LOGO2"/>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2476500" y="323850"/>
          <a:ext cx="5534025" cy="428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5</xdr:col>
      <xdr:colOff>276225</xdr:colOff>
      <xdr:row>22</xdr:row>
      <xdr:rowOff>66675</xdr:rowOff>
    </xdr:from>
    <xdr:ext cx="1134285" cy="336502"/>
    <xdr:sp macro="" textlink="$G$23">
      <xdr:nvSpPr>
        <xdr:cNvPr id="52" name="Text Box 79"/>
        <xdr:cNvSpPr txBox="1">
          <a:spLocks noChangeArrowheads="1" noTextEdit="1"/>
        </xdr:cNvSpPr>
      </xdr:nvSpPr>
      <xdr:spPr bwMode="auto">
        <a:xfrm>
          <a:off x="2667000" y="4876800"/>
          <a:ext cx="1134285" cy="336502"/>
        </a:xfrm>
        <a:prstGeom prst="rect">
          <a:avLst/>
        </a:prstGeom>
        <a:noFill/>
        <a:ln w="9525">
          <a:noFill/>
          <a:miter lim="800000"/>
          <a:headEnd/>
          <a:tailEnd/>
        </a:ln>
      </xdr:spPr>
      <xdr:txBody>
        <a:bodyPr wrap="none" lIns="36576" tIns="41148" rIns="0" bIns="0" anchor="t" upright="1">
          <a:spAutoFit/>
        </a:bodyPr>
        <a:lstStyle/>
        <a:p>
          <a:pPr algn="l" rtl="0">
            <a:defRPr sz="1000"/>
          </a:pPr>
          <a:fld id="{92444B0B-54FD-4A3E-9259-E524D124FABC}" type="TxLink">
            <a:rPr lang="en-US" altLang="ja-JP" sz="2000" b="1" i="0" u="none" strike="noStrike" baseline="0">
              <a:solidFill>
                <a:srgbClr val="FF0000"/>
              </a:solidFill>
              <a:latin typeface="Arial"/>
              <a:ea typeface="ＭＳ Ｐゴシック"/>
              <a:cs typeface="Arial"/>
            </a:rPr>
            <a:pPr algn="l" rtl="0">
              <a:defRPr sz="1000"/>
            </a:pPr>
            <a:t>#VALUE!</a:t>
          </a:fld>
          <a:endParaRPr lang="en-US" altLang="ja-JP" sz="2000" b="1" i="0" u="none" strike="noStrike" baseline="0">
            <a:solidFill>
              <a:srgbClr val="FF0000"/>
            </a:solidFill>
            <a:latin typeface="Arial"/>
            <a:cs typeface="Arial"/>
          </a:endParaRPr>
        </a:p>
      </xdr:txBody>
    </xdr:sp>
    <xdr:clientData/>
  </xdr:oneCellAnchor>
  <xdr:twoCellAnchor editAs="absolute">
    <xdr:from>
      <xdr:col>12</xdr:col>
      <xdr:colOff>304800</xdr:colOff>
      <xdr:row>9</xdr:row>
      <xdr:rowOff>161925</xdr:rowOff>
    </xdr:from>
    <xdr:to>
      <xdr:col>13</xdr:col>
      <xdr:colOff>523875</xdr:colOff>
      <xdr:row>12</xdr:row>
      <xdr:rowOff>133350</xdr:rowOff>
    </xdr:to>
    <xdr:sp macro="" textlink="">
      <xdr:nvSpPr>
        <xdr:cNvPr id="53" name="Text Box 81"/>
        <xdr:cNvSpPr txBox="1">
          <a:spLocks noChangeArrowheads="1"/>
        </xdr:cNvSpPr>
      </xdr:nvSpPr>
      <xdr:spPr bwMode="auto">
        <a:xfrm>
          <a:off x="7839075" y="1962150"/>
          <a:ext cx="1123950" cy="771525"/>
        </a:xfrm>
        <a:prstGeom prst="rect">
          <a:avLst/>
        </a:prstGeom>
        <a:solidFill>
          <a:srgbClr val="C0C0C0"/>
        </a:solidFill>
        <a:ln w="9525">
          <a:noFill/>
          <a:miter lim="800000"/>
          <a:headEnd/>
          <a:tailEnd/>
        </a:ln>
      </xdr:spPr>
      <xdr:txBody>
        <a:bodyPr vertOverflow="clip" wrap="square" lIns="27432" tIns="18288" rIns="27432" bIns="0" anchor="t" upright="1"/>
        <a:lstStyle/>
        <a:p>
          <a:pPr algn="ctr" rtl="0">
            <a:lnSpc>
              <a:spcPts val="1100"/>
            </a:lnSpc>
            <a:defRPr sz="1000"/>
          </a:pPr>
          <a:r>
            <a:rPr lang="ja-JP" altLang="en-US" sz="1000" b="1" i="0" u="none" strike="noStrike" baseline="0">
              <a:solidFill>
                <a:srgbClr val="FFFFFF"/>
              </a:solidFill>
              <a:latin typeface="ＭＳ Ｐゴシック"/>
              <a:ea typeface="ＭＳ Ｐゴシック"/>
            </a:rPr>
            <a:t>外観入力シートの改修後外観パース図にデータを貼り付けてください</a:t>
          </a:r>
        </a:p>
      </xdr:txBody>
    </xdr:sp>
    <xdr:clientData fPrintsWithSheet="0"/>
  </xdr:twoCellAnchor>
  <xdr:twoCellAnchor>
    <xdr:from>
      <xdr:col>11</xdr:col>
      <xdr:colOff>9525</xdr:colOff>
      <xdr:row>7</xdr:row>
      <xdr:rowOff>9525</xdr:rowOff>
    </xdr:from>
    <xdr:to>
      <xdr:col>14</xdr:col>
      <xdr:colOff>847725</xdr:colOff>
      <xdr:row>14</xdr:row>
      <xdr:rowOff>247650</xdr:rowOff>
    </xdr:to>
    <xdr:sp macro="" textlink="">
      <xdr:nvSpPr>
        <xdr:cNvPr id="54" name="Rectangle 82"/>
        <xdr:cNvSpPr>
          <a:spLocks noChangeArrowheads="1"/>
        </xdr:cNvSpPr>
      </xdr:nvSpPr>
      <xdr:spPr bwMode="auto">
        <a:xfrm>
          <a:off x="6724650" y="1276350"/>
          <a:ext cx="3429000" cy="2105025"/>
        </a:xfrm>
        <a:prstGeom prst="rect">
          <a:avLst/>
        </a:prstGeom>
        <a:noFill/>
        <a:ln w="25400">
          <a:solidFill>
            <a:srgbClr val="000000"/>
          </a:solidFill>
          <a:miter lim="800000"/>
          <a:headEnd/>
          <a:tailEnd/>
        </a:ln>
        <a:extLst>
          <a:ext uri="{909E8E84-426E-40DD-AFC4-6F175D3DCCD1}">
            <a14:hiddenFill xmlns:a14="http://schemas.microsoft.com/office/drawing/2010/main" xmlns="">
              <a:solidFill>
                <a:srgbClr val="FFFFFF"/>
              </a:solidFill>
            </a14:hiddenFill>
          </a:ext>
        </a:extLst>
      </xdr:spPr>
    </xdr:sp>
    <xdr:clientData/>
  </xdr:twoCellAnchor>
</xdr:wsDr>
</file>

<file path=xl/drawings/drawing30.xml><?xml version="1.0" encoding="utf-8"?>
<c:userShapes xmlns:c="http://schemas.openxmlformats.org/drawingml/2006/chart">
  <cdr:relSizeAnchor xmlns:cdr="http://schemas.openxmlformats.org/drawingml/2006/chartDrawing">
    <cdr:from>
      <cdr:x>0.72842</cdr:x>
      <cdr:y>0.23016</cdr:y>
    </cdr:from>
    <cdr:to>
      <cdr:x>0.85923</cdr:x>
      <cdr:y>0.32792</cdr:y>
    </cdr:to>
    <cdr:sp macro="" textlink="'計画概要書（前後の比較）'!$T$41">
      <cdr:nvSpPr>
        <cdr:cNvPr id="84997" name="Text Box 1029"/>
        <cdr:cNvSpPr txBox="1">
          <a:spLocks xmlns:a="http://schemas.openxmlformats.org/drawingml/2006/main" noChangeArrowheads="1" noTextEdit="1"/>
        </cdr:cNvSpPr>
      </cdr:nvSpPr>
      <cdr:spPr bwMode="auto">
        <a:xfrm xmlns:a="http://schemas.openxmlformats.org/drawingml/2006/main">
          <a:off x="1536526" y="415322"/>
          <a:ext cx="275339" cy="17505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BF6526A4-B566-436E-B1F7-13917999DDAC}" type="TxLink">
            <a:rPr lang="ja-JP" altLang="en-US" sz="1100" b="0" i="0" u="none" strike="noStrike">
              <a:solidFill>
                <a:srgbClr val="FF0000"/>
              </a:solidFill>
              <a:latin typeface="Arial"/>
              <a:ea typeface="ＭＳ Ｐゴシック"/>
              <a:cs typeface="Arial"/>
            </a:rPr>
            <a:pPr/>
            <a:t> </a:t>
          </a:fld>
          <a:endParaRPr lang="ja-JP" altLang="en-US"/>
        </a:p>
      </cdr:txBody>
    </cdr:sp>
  </cdr:relSizeAnchor>
  <cdr:relSizeAnchor xmlns:cdr="http://schemas.openxmlformats.org/drawingml/2006/chartDrawing">
    <cdr:from>
      <cdr:x>0.6573</cdr:x>
      <cdr:y>0.15986</cdr:y>
    </cdr:from>
    <cdr:to>
      <cdr:x>0.9621</cdr:x>
      <cdr:y>0.25762</cdr:y>
    </cdr:to>
    <cdr:sp macro="" textlink="'計画概要書（前後の比較）'!$U$41">
      <cdr:nvSpPr>
        <cdr:cNvPr id="85001" name="Text Box 1033"/>
        <cdr:cNvSpPr txBox="1">
          <a:spLocks xmlns:a="http://schemas.openxmlformats.org/drawingml/2006/main" noChangeArrowheads="1" noTextEdit="1"/>
        </cdr:cNvSpPr>
      </cdr:nvSpPr>
      <cdr:spPr bwMode="auto">
        <a:xfrm xmlns:a="http://schemas.openxmlformats.org/drawingml/2006/main">
          <a:off x="1386798" y="289435"/>
          <a:ext cx="641621" cy="17505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455F79D2-C604-4965-8AAD-6F07DB4C8968}" type="TxLink">
            <a:rPr lang="en-US" altLang="ja-JP" sz="900" b="1" i="0" u="none" strike="noStrike" baseline="0">
              <a:solidFill>
                <a:srgbClr val="000000"/>
              </a:solidFill>
              <a:latin typeface="Arial"/>
              <a:ea typeface="ＭＳ Ｐゴシック"/>
              <a:cs typeface="Arial"/>
            </a:rPr>
            <a:pPr algn="r" rtl="0">
              <a:defRPr sz="1000"/>
            </a:pPr>
            <a:t>100%</a:t>
          </a:fld>
          <a:endParaRPr lang="en-US" altLang="ja-JP" sz="900" b="1" i="0" u="none" strike="noStrike" baseline="0">
            <a:solidFill>
              <a:srgbClr val="000000"/>
            </a:solidFill>
            <a:latin typeface="Arial"/>
            <a:cs typeface="Arial"/>
          </a:endParaRPr>
        </a:p>
      </cdr:txBody>
    </cdr:sp>
  </cdr:relSizeAnchor>
  <cdr:relSizeAnchor xmlns:cdr="http://schemas.openxmlformats.org/drawingml/2006/chartDrawing">
    <cdr:from>
      <cdr:x>0.6573</cdr:x>
      <cdr:y>0.33005</cdr:y>
    </cdr:from>
    <cdr:to>
      <cdr:x>0.9621</cdr:x>
      <cdr:y>0.42781</cdr:y>
    </cdr:to>
    <cdr:sp macro="" textlink="'計画概要書（前後の比較）'!$U$42">
      <cdr:nvSpPr>
        <cdr:cNvPr id="85002" name="Text Box 1034"/>
        <cdr:cNvSpPr txBox="1">
          <a:spLocks xmlns:a="http://schemas.openxmlformats.org/drawingml/2006/main" noChangeArrowheads="1" noTextEdit="1"/>
        </cdr:cNvSpPr>
      </cdr:nvSpPr>
      <cdr:spPr bwMode="auto">
        <a:xfrm xmlns:a="http://schemas.openxmlformats.org/drawingml/2006/main">
          <a:off x="1386798" y="594192"/>
          <a:ext cx="641621" cy="17505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6FA4837B-B7AD-43EE-9826-847761C743F7}" type="TxLink">
            <a:rPr lang="en-US" altLang="ja-JP" sz="900" b="1" i="0" u="none" strike="noStrike" baseline="0">
              <a:solidFill>
                <a:srgbClr val="000000"/>
              </a:solidFill>
              <a:latin typeface="Arial"/>
              <a:ea typeface="ＭＳ Ｐゴシック"/>
              <a:cs typeface="Arial"/>
            </a:rPr>
            <a:pPr algn="r" rtl="0">
              <a:defRPr sz="1000"/>
            </a:pPr>
            <a:t>#VALUE!</a:t>
          </a:fld>
          <a:endParaRPr lang="en-US" altLang="ja-JP" sz="900" b="1" i="0" u="none" strike="noStrike" baseline="0">
            <a:solidFill>
              <a:srgbClr val="000000"/>
            </a:solidFill>
            <a:latin typeface="Arial"/>
            <a:cs typeface="Arial"/>
          </a:endParaRPr>
        </a:p>
      </cdr:txBody>
    </cdr:sp>
  </cdr:relSizeAnchor>
  <cdr:relSizeAnchor xmlns:cdr="http://schemas.openxmlformats.org/drawingml/2006/chartDrawing">
    <cdr:from>
      <cdr:x>0.6573</cdr:x>
      <cdr:y>0.51089</cdr:y>
    </cdr:from>
    <cdr:to>
      <cdr:x>0.96162</cdr:x>
      <cdr:y>0.60888</cdr:y>
    </cdr:to>
    <cdr:sp macro="" textlink="'計画概要書（前後の比較）'!$U$43">
      <cdr:nvSpPr>
        <cdr:cNvPr id="85003" name="Text Box 1035"/>
        <cdr:cNvSpPr txBox="1">
          <a:spLocks xmlns:a="http://schemas.openxmlformats.org/drawingml/2006/main" noChangeArrowheads="1" noTextEdit="1"/>
        </cdr:cNvSpPr>
      </cdr:nvSpPr>
      <cdr:spPr bwMode="auto">
        <a:xfrm xmlns:a="http://schemas.openxmlformats.org/drawingml/2006/main">
          <a:off x="1386798" y="918023"/>
          <a:ext cx="640616" cy="17547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4E5AE8A2-A3F9-473F-948A-145CE4887595}" type="TxLink">
            <a:rPr lang="en-US" altLang="ja-JP" sz="900" b="1" i="0" u="none" strike="noStrike" baseline="0">
              <a:solidFill>
                <a:srgbClr val="000000"/>
              </a:solidFill>
              <a:latin typeface="Arial"/>
              <a:ea typeface="ＭＳ Ｐゴシック"/>
              <a:cs typeface="Arial"/>
            </a:rPr>
            <a:pPr algn="r" rtl="0">
              <a:defRPr sz="1000"/>
            </a:pPr>
            <a:t>100%</a:t>
          </a:fld>
          <a:endParaRPr lang="en-US" altLang="ja-JP" sz="900" b="1" i="0" u="none" strike="noStrike" baseline="0">
            <a:solidFill>
              <a:srgbClr val="000000"/>
            </a:solidFill>
            <a:latin typeface="Arial"/>
            <a:cs typeface="Arial"/>
          </a:endParaRPr>
        </a:p>
      </cdr:txBody>
    </cdr:sp>
  </cdr:relSizeAnchor>
  <cdr:relSizeAnchor xmlns:cdr="http://schemas.openxmlformats.org/drawingml/2006/chartDrawing">
    <cdr:from>
      <cdr:x>0.6573</cdr:x>
      <cdr:y>0.67587</cdr:y>
    </cdr:from>
    <cdr:to>
      <cdr:x>0.96162</cdr:x>
      <cdr:y>0.77434</cdr:y>
    </cdr:to>
    <cdr:sp macro="" textlink="'計画概要書（前後の比較）'!$U$44">
      <cdr:nvSpPr>
        <cdr:cNvPr id="85004" name="Text Box 1036"/>
        <cdr:cNvSpPr txBox="1">
          <a:spLocks xmlns:a="http://schemas.openxmlformats.org/drawingml/2006/main" noChangeArrowheads="1" noTextEdit="1"/>
        </cdr:cNvSpPr>
      </cdr:nvSpPr>
      <cdr:spPr bwMode="auto">
        <a:xfrm xmlns:a="http://schemas.openxmlformats.org/drawingml/2006/main">
          <a:off x="1386798" y="1213455"/>
          <a:ext cx="640616" cy="1763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03F97F6D-16A1-47F1-AB7F-B231DBBD52FA}" type="TxLink">
            <a:rPr lang="en-US" altLang="ja-JP" sz="900" b="1" i="0" u="none" strike="noStrike" baseline="0">
              <a:solidFill>
                <a:srgbClr val="000000"/>
              </a:solidFill>
              <a:latin typeface="Arial"/>
              <a:ea typeface="ＭＳ Ｐゴシック"/>
              <a:cs typeface="Arial"/>
            </a:rPr>
            <a:pPr algn="r" rtl="0">
              <a:defRPr sz="1000"/>
            </a:pPr>
            <a:t>#VALUE!</a:t>
          </a:fld>
          <a:endParaRPr lang="en-US" altLang="ja-JP" sz="900" b="1" i="0" u="none" strike="noStrike" baseline="0">
            <a:solidFill>
              <a:srgbClr val="000000"/>
            </a:solidFill>
            <a:latin typeface="Arial"/>
            <a:cs typeface="Arial"/>
          </a:endParaRP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1</xdr:col>
      <xdr:colOff>142875</xdr:colOff>
      <xdr:row>0</xdr:row>
      <xdr:rowOff>38100</xdr:rowOff>
    </xdr:from>
    <xdr:to>
      <xdr:col>3</xdr:col>
      <xdr:colOff>800100</xdr:colOff>
      <xdr:row>2</xdr:row>
      <xdr:rowOff>419100</xdr:rowOff>
    </xdr:to>
    <xdr:pic>
      <xdr:nvPicPr>
        <xdr:cNvPr id="3" name="Picture 48" descr="LOGO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66700" y="38100"/>
          <a:ext cx="2895600" cy="72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361950</xdr:colOff>
      <xdr:row>0</xdr:row>
      <xdr:rowOff>95250</xdr:rowOff>
    </xdr:from>
    <xdr:to>
      <xdr:col>9</xdr:col>
      <xdr:colOff>390525</xdr:colOff>
      <xdr:row>2</xdr:row>
      <xdr:rowOff>361950</xdr:rowOff>
    </xdr:to>
    <xdr:pic>
      <xdr:nvPicPr>
        <xdr:cNvPr id="4" name="Picture 49" descr="LOGO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124700" y="95250"/>
          <a:ext cx="1266825" cy="609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30</xdr:col>
      <xdr:colOff>457200</xdr:colOff>
      <xdr:row>64</xdr:row>
      <xdr:rowOff>0</xdr:rowOff>
    </xdr:from>
    <xdr:to>
      <xdr:col>33</xdr:col>
      <xdr:colOff>657225</xdr:colOff>
      <xdr:row>64</xdr:row>
      <xdr:rowOff>0</xdr:rowOff>
    </xdr:to>
    <xdr:sp macro="" textlink="">
      <xdr:nvSpPr>
        <xdr:cNvPr id="176129" name="AutoShape 1"/>
        <xdr:cNvSpPr>
          <a:spLocks noChangeArrowheads="1"/>
        </xdr:cNvSpPr>
      </xdr:nvSpPr>
      <xdr:spPr bwMode="auto">
        <a:xfrm>
          <a:off x="19440525" y="5457825"/>
          <a:ext cx="2257425" cy="0"/>
        </a:xfrm>
        <a:prstGeom prst="cloudCallout">
          <a:avLst>
            <a:gd name="adj1" fmla="val -570255"/>
            <a:gd name="adj2" fmla="val 69671"/>
          </a:avLst>
        </a:prstGeom>
        <a:solidFill>
          <a:srgbClr val="FFFFFF"/>
        </a:solidFill>
        <a:ln w="9525">
          <a:solidFill>
            <a:srgbClr val="000000"/>
          </a:solidFill>
          <a:round/>
          <a:headEnd/>
          <a:tailEnd/>
        </a:ln>
      </xdr:spPr>
      <xdr:txBody>
        <a:bodyPr vertOverflow="clip" wrap="square" lIns="36576" tIns="22860" rIns="0" bIns="0" anchor="t" upright="1"/>
        <a:lstStyle/>
        <a:p>
          <a:pPr algn="l" rtl="0">
            <a:defRPr sz="1000"/>
          </a:pPr>
          <a:r>
            <a:rPr lang="ja-JP" altLang="en-US" sz="1400" b="1" i="0" strike="noStrike">
              <a:solidFill>
                <a:srgbClr val="FF0000"/>
              </a:solidFill>
              <a:latin typeface="ＭＳ Ｐゴシック"/>
              <a:ea typeface="ＭＳ Ｐゴシック"/>
            </a:rPr>
            <a:t>紫のセルの数値を見直してください。</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mn-ea"/>
            </a:rPr>
            <a:t>建築環境総合性能評価システム 　　「</a:t>
          </a:r>
          <a:r>
            <a:rPr lang="en-US" altLang="ja-JP" sz="1100" b="0" i="0" u="none" strike="noStrike" baseline="0">
              <a:solidFill>
                <a:srgbClr val="000000"/>
              </a:solidFill>
              <a:latin typeface="ＭＳ Ｐゴシック"/>
              <a:ea typeface="+mn-ea"/>
            </a:rPr>
            <a:t>CASBEE </a:t>
          </a:r>
          <a:r>
            <a:rPr lang="ja-JP" altLang="en-US" sz="1100" b="0" i="0" u="none" strike="noStrike" baseline="0">
              <a:solidFill>
                <a:srgbClr val="000000"/>
              </a:solidFill>
              <a:latin typeface="ＭＳ Ｐゴシック"/>
              <a:ea typeface="+mn-ea"/>
            </a:rPr>
            <a:t>大阪みらい 改修」</a:t>
          </a:r>
          <a:r>
            <a:rPr lang="en-US" altLang="ja-JP" sz="1100" b="0" i="0" u="none" strike="noStrike" baseline="0">
              <a:solidFill>
                <a:srgbClr val="000000"/>
              </a:solidFill>
              <a:latin typeface="ＭＳ Ｐゴシック"/>
              <a:ea typeface="+mn-ea"/>
            </a:rPr>
            <a:t>2015</a:t>
          </a:r>
          <a:r>
            <a:rPr lang="ja-JP" altLang="en-US" sz="1100" b="0" i="0" u="none" strike="noStrike" baseline="0">
              <a:solidFill>
                <a:srgbClr val="000000"/>
              </a:solidFill>
              <a:latin typeface="ＭＳ Ｐゴシック"/>
              <a:ea typeface="+mn-ea"/>
            </a:rPr>
            <a:t>年版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3 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mn-ea"/>
            </a:rPr>
            <a:t>CASBEE-BD_RN_2015(v.1.0)</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月発行　（200</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月初版）</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一般社団法人日本サステナブル建築協会　（JSBC)　　　</a:t>
          </a:r>
        </a:p>
        <a:p>
          <a:pPr algn="l" rtl="0">
            <a:lnSpc>
              <a:spcPts val="1300"/>
            </a:lnSpc>
            <a:defRPr sz="1000"/>
          </a:pPr>
          <a:r>
            <a:rPr lang="ja-JP" altLang="en-US" sz="1100" b="0" i="0" u="none" strike="noStrike" baseline="0">
              <a:solidFill>
                <a:srgbClr val="000000"/>
              </a:solidFill>
              <a:latin typeface="ＭＳ Ｐゴシック"/>
              <a:ea typeface="+mn-ea"/>
            </a:rPr>
            <a:t>                          ( 建築物の総合的環境評価研究委員会 )　　</a:t>
          </a:r>
          <a:r>
            <a:rPr lang="en-US" altLang="ja-JP" sz="1100" b="0" i="0" u="none" strike="noStrike" baseline="0">
              <a:solidFill>
                <a:srgbClr val="000000"/>
              </a:solidFill>
              <a:latin typeface="ＭＳ Ｐゴシック"/>
              <a:ea typeface="+mn-ea"/>
            </a:rPr>
            <a:t>URL</a:t>
          </a: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http://www.jsbc.or.jp/CASBEE</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mn-ea"/>
            </a:rPr>
            <a:t>       企画・発行　　大阪市計画調整局建築指導部建築確認課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mn-ea"/>
            </a:rPr>
            <a:t>ソフトの内容等に関する問い合わせ</a:t>
          </a:r>
        </a:p>
        <a:p>
          <a:pPr algn="l" rtl="0">
            <a:lnSpc>
              <a:spcPts val="1300"/>
            </a:lnSpc>
            <a:defRPr sz="1000"/>
          </a:pPr>
          <a:endParaRPr lang="ja-JP" altLang="en-US"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　        大阪市都市計画局建築指導部建築確認課</a:t>
          </a:r>
        </a:p>
        <a:p>
          <a:pPr algn="l" rtl="0">
            <a:lnSpc>
              <a:spcPts val="1300"/>
            </a:lnSpc>
            <a:defRPr sz="1000"/>
          </a:pP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530-8201</a:t>
          </a:r>
          <a:r>
            <a:rPr lang="ja-JP" altLang="en-US" sz="1100" b="0" i="0" u="none" strike="noStrike" baseline="0">
              <a:solidFill>
                <a:srgbClr val="000000"/>
              </a:solidFill>
              <a:latin typeface="ＭＳ Ｐゴシック"/>
              <a:ea typeface="+mn-ea"/>
            </a:rPr>
            <a:t>　大阪市北区中之島</a:t>
          </a:r>
          <a:r>
            <a:rPr lang="en-US" altLang="ja-JP" sz="1100" b="0" i="0" u="none" strike="noStrike" baseline="0">
              <a:solidFill>
                <a:srgbClr val="000000"/>
              </a:solidFill>
              <a:latin typeface="ＭＳ Ｐゴシック"/>
              <a:ea typeface="+mn-ea"/>
            </a:rPr>
            <a:t>1</a:t>
          </a:r>
          <a:r>
            <a:rPr lang="ja-JP" altLang="en-US" sz="1100" b="0" i="0" u="none" strike="noStrike" baseline="0">
              <a:solidFill>
                <a:srgbClr val="000000"/>
              </a:solidFill>
              <a:latin typeface="ＭＳ Ｐゴシック"/>
              <a:ea typeface="+mn-ea"/>
            </a:rPr>
            <a:t>丁目</a:t>
          </a:r>
          <a:r>
            <a:rPr lang="en-US" altLang="ja-JP" sz="1100" b="0" i="0" u="none" strike="noStrike" baseline="0">
              <a:solidFill>
                <a:srgbClr val="000000"/>
              </a:solidFill>
              <a:latin typeface="ＭＳ Ｐゴシック"/>
              <a:ea typeface="+mn-ea"/>
            </a:rPr>
            <a:t>3</a:t>
          </a:r>
          <a:r>
            <a:rPr lang="ja-JP" altLang="en-US" sz="1100" b="0" i="0" u="none" strike="noStrike" baseline="0">
              <a:solidFill>
                <a:srgbClr val="000000"/>
              </a:solidFill>
              <a:latin typeface="ＭＳ Ｐゴシック"/>
              <a:ea typeface="+mn-ea"/>
            </a:rPr>
            <a:t>番</a:t>
          </a:r>
          <a:r>
            <a:rPr lang="en-US" altLang="ja-JP" sz="1100" b="0" i="0" u="none" strike="noStrike" baseline="0">
              <a:solidFill>
                <a:srgbClr val="000000"/>
              </a:solidFill>
              <a:latin typeface="ＭＳ Ｐゴシック"/>
              <a:ea typeface="+mn-ea"/>
            </a:rPr>
            <a:t>20</a:t>
          </a:r>
          <a:r>
            <a:rPr lang="ja-JP" altLang="en-US" sz="1100" b="0" i="0" u="none" strike="noStrike" baseline="0">
              <a:solidFill>
                <a:srgbClr val="000000"/>
              </a:solidFill>
              <a:latin typeface="ＭＳ Ｐゴシック"/>
              <a:ea typeface="+mn-ea"/>
            </a:rPr>
            <a:t>号</a:t>
          </a:r>
        </a:p>
        <a:p>
          <a:pPr algn="l" rtl="0">
            <a:lnSpc>
              <a:spcPts val="1300"/>
            </a:lnSpc>
            <a:defRPr sz="1000"/>
          </a:pP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TEL</a:t>
          </a: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06-6208-9304</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Copyright ©201</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 Japan Sustainable Building Consortium (JSBC)</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xdr:col>
      <xdr:colOff>28575</xdr:colOff>
      <xdr:row>0</xdr:row>
      <xdr:rowOff>104775</xdr:rowOff>
    </xdr:from>
    <xdr:to>
      <xdr:col>7</xdr:col>
      <xdr:colOff>180975</xdr:colOff>
      <xdr:row>35</xdr:row>
      <xdr:rowOff>161925</xdr:rowOff>
    </xdr:to>
    <xdr:sp macro="" textlink="">
      <xdr:nvSpPr>
        <xdr:cNvPr id="4099" name="Text Box 3"/>
        <xdr:cNvSpPr txBox="1">
          <a:spLocks noChangeArrowheads="1"/>
        </xdr:cNvSpPr>
      </xdr:nvSpPr>
      <xdr:spPr bwMode="auto">
        <a:xfrm>
          <a:off x="114300" y="104775"/>
          <a:ext cx="41529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20</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3 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a:t>
          </a:r>
          <a:r>
            <a:rPr lang="en-US" altLang="ja-JP" sz="1100" b="0" i="0" u="none" strike="noStrike" baseline="0">
              <a:solidFill>
                <a:srgbClr val="000000"/>
              </a:solidFill>
              <a:latin typeface="ＭＳ Ｐゴシック"/>
              <a:ea typeface="+mn-ea"/>
            </a:rPr>
            <a:t>CASBEE </a:t>
          </a:r>
          <a:r>
            <a:rPr lang="ja-JP" altLang="en-US" sz="1100" b="0" i="0" u="none" strike="noStrike" baseline="0">
              <a:solidFill>
                <a:srgbClr val="000000"/>
              </a:solidFill>
              <a:latin typeface="ＭＳ Ｐゴシック"/>
              <a:ea typeface="+mn-ea"/>
            </a:rPr>
            <a:t>大阪みらい 改修　評価ソフト」は、Microsoft Excel</a:t>
          </a: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20</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3 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20</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3 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0.12875</cdr:x>
      <cdr:y>0.66253</cdr:y>
    </cdr:from>
    <cdr:to>
      <cdr:x>0.29935</cdr:x>
      <cdr:y>0.79895</cdr:y>
    </cdr:to>
    <cdr:sp macro="" textlink="#REF!">
      <cdr:nvSpPr>
        <cdr:cNvPr id="5121" name="Text Box 1"/>
        <cdr:cNvSpPr txBox="1">
          <a:spLocks xmlns:a="http://schemas.openxmlformats.org/drawingml/2006/main" noChangeArrowheads="1" noTextEdit="1"/>
        </cdr:cNvSpPr>
      </cdr:nvSpPr>
      <cdr:spPr bwMode="auto">
        <a:xfrm xmlns:a="http://schemas.openxmlformats.org/drawingml/2006/main">
          <a:off x="402958" y="1069663"/>
          <a:ext cx="529743" cy="2195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AA116A74-DD30-4245-9B00-F2D0DCAEC9DB}" type="TxLink">
            <a:rPr lang="ja-JP" altLang="en-US" sz="1100" b="0" i="0" u="none" strike="noStrike">
              <a:solidFill>
                <a:srgbClr val="000000"/>
              </a:solidFill>
              <a:latin typeface="Arial"/>
              <a:ea typeface="ＭＳ Ｐゴシック"/>
              <a:cs typeface="Arial"/>
            </a:rPr>
            <a:pPr/>
            <a:t>#VALUE!</a:t>
          </a:fld>
          <a:endParaRPr lang="ja-JP" altLang="en-US"/>
        </a:p>
      </cdr:txBody>
    </cdr:sp>
  </cdr:relSizeAnchor>
  <cdr:relSizeAnchor xmlns:cdr="http://schemas.openxmlformats.org/drawingml/2006/chartDrawing">
    <cdr:from>
      <cdr:x>0.43772</cdr:x>
      <cdr:y>0.63313</cdr:y>
    </cdr:from>
    <cdr:to>
      <cdr:x>0.6122</cdr:x>
      <cdr:y>0.76955</cdr:y>
    </cdr:to>
    <cdr:sp macro="" textlink="#REF!">
      <cdr:nvSpPr>
        <cdr:cNvPr id="5122" name="Text Box 2"/>
        <cdr:cNvSpPr txBox="1">
          <a:spLocks xmlns:a="http://schemas.openxmlformats.org/drawingml/2006/main" noChangeArrowheads="1" noTextEdit="1"/>
        </cdr:cNvSpPr>
      </cdr:nvSpPr>
      <cdr:spPr bwMode="auto">
        <a:xfrm xmlns:a="http://schemas.openxmlformats.org/drawingml/2006/main">
          <a:off x="1362364" y="1022336"/>
          <a:ext cx="541782" cy="2195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D1873F06-F124-4221-A498-6993F4C831F4}"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0.74063</cdr:x>
      <cdr:y>0.63313</cdr:y>
    </cdr:from>
    <cdr:to>
      <cdr:x>0.9139</cdr:x>
      <cdr:y>0.76955</cdr:y>
    </cdr:to>
    <cdr:sp macro="" textlink="#REF!">
      <cdr:nvSpPr>
        <cdr:cNvPr id="5123" name="Text Box 3"/>
        <cdr:cNvSpPr txBox="1">
          <a:spLocks xmlns:a="http://schemas.openxmlformats.org/drawingml/2006/main" noChangeArrowheads="1" noTextEdit="1"/>
        </cdr:cNvSpPr>
      </cdr:nvSpPr>
      <cdr:spPr bwMode="auto">
        <a:xfrm xmlns:a="http://schemas.openxmlformats.org/drawingml/2006/main">
          <a:off x="2302958" y="1022336"/>
          <a:ext cx="538019" cy="2195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F512A146-142C-4533-A422-2F73B14F8A2C}"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0.06453</cdr:x>
      <cdr:y>0.44543</cdr:y>
    </cdr:from>
    <cdr:to>
      <cdr:x>0.98175</cdr:x>
      <cdr:y>0.44543</cdr:y>
    </cdr:to>
    <cdr:sp macro="" textlink="">
      <cdr:nvSpPr>
        <cdr:cNvPr id="5124" name="Line 4"/>
        <cdr:cNvSpPr>
          <a:spLocks xmlns:a="http://schemas.openxmlformats.org/drawingml/2006/main" noChangeShapeType="1"/>
        </cdr:cNvSpPr>
      </cdr:nvSpPr>
      <cdr:spPr bwMode="auto">
        <a:xfrm xmlns:a="http://schemas.openxmlformats.org/drawingml/2006/main">
          <a:off x="203552" y="720198"/>
          <a:ext cx="2848118"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5.xml><?xml version="1.0" encoding="utf-8"?>
<c:userShapes xmlns:c="http://schemas.openxmlformats.org/drawingml/2006/chart">
  <cdr:relSizeAnchor xmlns:cdr="http://schemas.openxmlformats.org/drawingml/2006/chartDrawing">
    <cdr:from>
      <cdr:x>0.14065</cdr:x>
      <cdr:y>0.63506</cdr:y>
    </cdr:from>
    <cdr:to>
      <cdr:x>0.30762</cdr:x>
      <cdr:y>0.77035</cdr:y>
    </cdr:to>
    <cdr:sp macro="" textlink="#REF!">
      <cdr:nvSpPr>
        <cdr:cNvPr id="6145" name="Text Box 1"/>
        <cdr:cNvSpPr txBox="1">
          <a:spLocks xmlns:a="http://schemas.openxmlformats.org/drawingml/2006/main" noChangeArrowheads="1" noTextEdit="1"/>
        </cdr:cNvSpPr>
      </cdr:nvSpPr>
      <cdr:spPr bwMode="auto">
        <a:xfrm xmlns:a="http://schemas.openxmlformats.org/drawingml/2006/main">
          <a:off x="421156" y="1031494"/>
          <a:ext cx="496205" cy="2190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55E8952E-E4E6-426B-93CA-222FE865F997}"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0.43539</cdr:x>
      <cdr:y>0.63506</cdr:y>
    </cdr:from>
    <cdr:to>
      <cdr:x>0.60599</cdr:x>
      <cdr:y>0.77035</cdr:y>
    </cdr:to>
    <cdr:sp macro="" textlink="#REF!">
      <cdr:nvSpPr>
        <cdr:cNvPr id="6146" name="Text Box 2"/>
        <cdr:cNvSpPr txBox="1">
          <a:spLocks xmlns:a="http://schemas.openxmlformats.org/drawingml/2006/main" noChangeArrowheads="1" noTextEdit="1"/>
        </cdr:cNvSpPr>
      </cdr:nvSpPr>
      <cdr:spPr bwMode="auto">
        <a:xfrm xmlns:a="http://schemas.openxmlformats.org/drawingml/2006/main">
          <a:off x="1297065" y="1031494"/>
          <a:ext cx="506992" cy="2190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3735452B-FA05-4E8B-A999-CB9DD87D60F1}"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0.74392</cdr:x>
      <cdr:y>0.63506</cdr:y>
    </cdr:from>
    <cdr:to>
      <cdr:x>0.90702</cdr:x>
      <cdr:y>0.77035</cdr:y>
    </cdr:to>
    <cdr:sp macro="" textlink="#REF!">
      <cdr:nvSpPr>
        <cdr:cNvPr id="6147" name="Text Box 3"/>
        <cdr:cNvSpPr txBox="1">
          <a:spLocks xmlns:a="http://schemas.openxmlformats.org/drawingml/2006/main" noChangeArrowheads="1" noTextEdit="1"/>
        </cdr:cNvSpPr>
      </cdr:nvSpPr>
      <cdr:spPr bwMode="auto">
        <a:xfrm xmlns:a="http://schemas.openxmlformats.org/drawingml/2006/main">
          <a:off x="2213966" y="1031494"/>
          <a:ext cx="484698" cy="2190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B95155C0-9C06-40BE-8D5B-40312D49EF01}"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0.07362</cdr:x>
      <cdr:y>0.44847</cdr:y>
    </cdr:from>
    <cdr:to>
      <cdr:x>0.97889</cdr:x>
      <cdr:y>0.44847</cdr:y>
    </cdr:to>
    <cdr:sp macro="" textlink="">
      <cdr:nvSpPr>
        <cdr:cNvPr id="6148" name="Line 4"/>
        <cdr:cNvSpPr>
          <a:spLocks xmlns:a="http://schemas.openxmlformats.org/drawingml/2006/main" noChangeShapeType="1"/>
        </cdr:cNvSpPr>
      </cdr:nvSpPr>
      <cdr:spPr bwMode="auto">
        <a:xfrm xmlns:a="http://schemas.openxmlformats.org/drawingml/2006/main">
          <a:off x="221955" y="729361"/>
          <a:ext cx="269029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xml><?xml version="1.0" encoding="utf-8"?>
<c:userShapes xmlns:c="http://schemas.openxmlformats.org/drawingml/2006/chart">
  <cdr:relSizeAnchor xmlns:cdr="http://schemas.openxmlformats.org/drawingml/2006/chartDrawing">
    <cdr:from>
      <cdr:x>0.09963</cdr:x>
      <cdr:y>0.62711</cdr:y>
    </cdr:from>
    <cdr:to>
      <cdr:x>0.25274</cdr:x>
      <cdr:y>0.76033</cdr:y>
    </cdr:to>
    <cdr:sp macro="" textlink="#REF!">
      <cdr:nvSpPr>
        <cdr:cNvPr id="7169" name="Text Box 1"/>
        <cdr:cNvSpPr txBox="1">
          <a:spLocks xmlns:a="http://schemas.openxmlformats.org/drawingml/2006/main" noChangeArrowheads="1" noTextEdit="1"/>
        </cdr:cNvSpPr>
      </cdr:nvSpPr>
      <cdr:spPr bwMode="auto">
        <a:xfrm xmlns:a="http://schemas.openxmlformats.org/drawingml/2006/main">
          <a:off x="325834" y="1024588"/>
          <a:ext cx="495848" cy="21699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6A2AFFB6-7A49-4828-B992-2D271552D241}"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0.32529</cdr:x>
      <cdr:y>0.62711</cdr:y>
    </cdr:from>
    <cdr:to>
      <cdr:x>0.48132</cdr:x>
      <cdr:y>0.76033</cdr:y>
    </cdr:to>
    <cdr:sp macro="" textlink="#REF!">
      <cdr:nvSpPr>
        <cdr:cNvPr id="7170" name="Text Box 2"/>
        <cdr:cNvSpPr txBox="1">
          <a:spLocks xmlns:a="http://schemas.openxmlformats.org/drawingml/2006/main" noChangeArrowheads="1" noTextEdit="1"/>
        </cdr:cNvSpPr>
      </cdr:nvSpPr>
      <cdr:spPr bwMode="auto">
        <a:xfrm xmlns:a="http://schemas.openxmlformats.org/drawingml/2006/main">
          <a:off x="1056640" y="1024588"/>
          <a:ext cx="505277" cy="21699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CE5E8A16-FFA0-4EF8-8FAF-A1393A6A230A}"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0.55751</cdr:x>
      <cdr:y>0.62711</cdr:y>
    </cdr:from>
    <cdr:to>
      <cdr:x>0.71256</cdr:x>
      <cdr:y>0.76033</cdr:y>
    </cdr:to>
    <cdr:sp macro="" textlink="#REF!">
      <cdr:nvSpPr>
        <cdr:cNvPr id="7171" name="Text Box 3"/>
        <cdr:cNvSpPr txBox="1">
          <a:spLocks xmlns:a="http://schemas.openxmlformats.org/drawingml/2006/main" noChangeArrowheads="1" noTextEdit="1"/>
        </cdr:cNvSpPr>
      </cdr:nvSpPr>
      <cdr:spPr bwMode="auto">
        <a:xfrm xmlns:a="http://schemas.openxmlformats.org/drawingml/2006/main">
          <a:off x="1808663" y="1024588"/>
          <a:ext cx="502134" cy="21699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ECF17F96-C81B-49BF-94CB-5C077544BEDB}"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0.78875</cdr:x>
      <cdr:y>0.62711</cdr:y>
    </cdr:from>
    <cdr:to>
      <cdr:x>0.94744</cdr:x>
      <cdr:y>0.76033</cdr:y>
    </cdr:to>
    <cdr:sp macro="" textlink="#REF!">
      <cdr:nvSpPr>
        <cdr:cNvPr id="7172" name="Text Box 4"/>
        <cdr:cNvSpPr txBox="1">
          <a:spLocks xmlns:a="http://schemas.openxmlformats.org/drawingml/2006/main" noChangeArrowheads="1" noTextEdit="1"/>
        </cdr:cNvSpPr>
      </cdr:nvSpPr>
      <cdr:spPr bwMode="auto">
        <a:xfrm xmlns:a="http://schemas.openxmlformats.org/drawingml/2006/main">
          <a:off x="2557542" y="1024588"/>
          <a:ext cx="513921" cy="21699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4F8572A0-2C51-4A64-BFA2-28CDF0AA6CFD}"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0.06469</cdr:x>
      <cdr:y>0.43857</cdr:y>
    </cdr:from>
    <cdr:to>
      <cdr:x>0.98238</cdr:x>
      <cdr:y>0.43857</cdr:y>
    </cdr:to>
    <cdr:sp macro="" textlink="">
      <cdr:nvSpPr>
        <cdr:cNvPr id="7173" name="Line 5"/>
        <cdr:cNvSpPr>
          <a:spLocks xmlns:a="http://schemas.openxmlformats.org/drawingml/2006/main" noChangeShapeType="1"/>
        </cdr:cNvSpPr>
      </cdr:nvSpPr>
      <cdr:spPr bwMode="auto">
        <a:xfrm xmlns:a="http://schemas.openxmlformats.org/drawingml/2006/main" flipV="1">
          <a:off x="212677" y="717500"/>
          <a:ext cx="297194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7.xml><?xml version="1.0" encoding="utf-8"?>
<c:userShapes xmlns:c="http://schemas.openxmlformats.org/drawingml/2006/chart">
  <cdr:relSizeAnchor xmlns:cdr="http://schemas.openxmlformats.org/drawingml/2006/chartDrawing">
    <cdr:from>
      <cdr:x>0.11226</cdr:x>
      <cdr:y>0.62974</cdr:y>
    </cdr:from>
    <cdr:to>
      <cdr:x>0.25381</cdr:x>
      <cdr:y>0.76652</cdr:y>
    </cdr:to>
    <cdr:sp macro="" textlink="#REF!">
      <cdr:nvSpPr>
        <cdr:cNvPr id="8193" name="Text Box 1"/>
        <cdr:cNvSpPr txBox="1">
          <a:spLocks xmlns:a="http://schemas.openxmlformats.org/drawingml/2006/main" noChangeArrowheads="1" noTextEdit="1"/>
        </cdr:cNvSpPr>
      </cdr:nvSpPr>
      <cdr:spPr bwMode="auto">
        <a:xfrm xmlns:a="http://schemas.openxmlformats.org/drawingml/2006/main">
          <a:off x="374200" y="1004881"/>
          <a:ext cx="467847" cy="2175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BCE7A716-1DDE-41FB-B008-196BE3DA955D}"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0.33951</cdr:x>
      <cdr:y>0.62974</cdr:y>
    </cdr:from>
    <cdr:to>
      <cdr:x>0.48665</cdr:x>
      <cdr:y>0.76652</cdr:y>
    </cdr:to>
    <cdr:sp macro="" textlink="#REF!">
      <cdr:nvSpPr>
        <cdr:cNvPr id="8194" name="Text Box 2"/>
        <cdr:cNvSpPr txBox="1">
          <a:spLocks xmlns:a="http://schemas.openxmlformats.org/drawingml/2006/main" noChangeArrowheads="1" noTextEdit="1"/>
        </cdr:cNvSpPr>
      </cdr:nvSpPr>
      <cdr:spPr bwMode="auto">
        <a:xfrm xmlns:a="http://schemas.openxmlformats.org/drawingml/2006/main">
          <a:off x="1125322" y="1004881"/>
          <a:ext cx="486304" cy="2175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86706049-A9B1-4943-95D3-30F9BDF8D879}"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0.5624</cdr:x>
      <cdr:y>0.62974</cdr:y>
    </cdr:from>
    <cdr:to>
      <cdr:x>0.72022</cdr:x>
      <cdr:y>0.76652</cdr:y>
    </cdr:to>
    <cdr:sp macro="" textlink="#REF!">
      <cdr:nvSpPr>
        <cdr:cNvPr id="8195" name="Text Box 3"/>
        <cdr:cNvSpPr txBox="1">
          <a:spLocks xmlns:a="http://schemas.openxmlformats.org/drawingml/2006/main" noChangeArrowheads="1" noTextEdit="1"/>
        </cdr:cNvSpPr>
      </cdr:nvSpPr>
      <cdr:spPr bwMode="auto">
        <a:xfrm xmlns:a="http://schemas.openxmlformats.org/drawingml/2006/main">
          <a:off x="1862000" y="1004881"/>
          <a:ext cx="521613" cy="2175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60081A2E-8398-45E3-97B3-138922762D42}"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0.79233</cdr:x>
      <cdr:y>0.62974</cdr:y>
    </cdr:from>
    <cdr:to>
      <cdr:x>0.93388</cdr:x>
      <cdr:y>0.76652</cdr:y>
    </cdr:to>
    <cdr:sp macro="" textlink="#REF!">
      <cdr:nvSpPr>
        <cdr:cNvPr id="8196" name="Text Box 4"/>
        <cdr:cNvSpPr txBox="1">
          <a:spLocks xmlns:a="http://schemas.openxmlformats.org/drawingml/2006/main" noChangeArrowheads="1" noTextEdit="1"/>
        </cdr:cNvSpPr>
      </cdr:nvSpPr>
      <cdr:spPr bwMode="auto">
        <a:xfrm xmlns:a="http://schemas.openxmlformats.org/drawingml/2006/main">
          <a:off x="2621950" y="1004881"/>
          <a:ext cx="467846" cy="2175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7BC5C139-A17B-4F09-8D9C-FD7CE150D115}"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0.07972</cdr:x>
      <cdr:y>0.44007</cdr:y>
    </cdr:from>
    <cdr:to>
      <cdr:x>0.98098</cdr:x>
      <cdr:y>0.44007</cdr:y>
    </cdr:to>
    <cdr:sp macro="" textlink="">
      <cdr:nvSpPr>
        <cdr:cNvPr id="8197" name="Line 5"/>
        <cdr:cNvSpPr>
          <a:spLocks xmlns:a="http://schemas.openxmlformats.org/drawingml/2006/main" noChangeShapeType="1"/>
        </cdr:cNvSpPr>
      </cdr:nvSpPr>
      <cdr:spPr bwMode="auto">
        <a:xfrm xmlns:a="http://schemas.openxmlformats.org/drawingml/2006/main">
          <a:off x="266667" y="703179"/>
          <a:ext cx="2978811"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xml><?xml version="1.0" encoding="utf-8"?>
<c:userShapes xmlns:c="http://schemas.openxmlformats.org/drawingml/2006/chart">
  <cdr:relSizeAnchor xmlns:cdr="http://schemas.openxmlformats.org/drawingml/2006/chartDrawing">
    <cdr:from>
      <cdr:x>0.13062</cdr:x>
      <cdr:y>0.61615</cdr:y>
    </cdr:from>
    <cdr:to>
      <cdr:x>0.29422</cdr:x>
      <cdr:y>0.75064</cdr:y>
    </cdr:to>
    <cdr:sp macro="" textlink="#REF!">
      <cdr:nvSpPr>
        <cdr:cNvPr id="9217" name="Text Box 1"/>
        <cdr:cNvSpPr txBox="1">
          <a:spLocks xmlns:a="http://schemas.openxmlformats.org/drawingml/2006/main" noChangeArrowheads="1" noTextEdit="1"/>
        </cdr:cNvSpPr>
      </cdr:nvSpPr>
      <cdr:spPr bwMode="auto">
        <a:xfrm xmlns:a="http://schemas.openxmlformats.org/drawingml/2006/main">
          <a:off x="411245" y="989136"/>
          <a:ext cx="511135" cy="21520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B3CDAF2D-567D-40D5-8D4F-A20A27E644BE}"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0.43771</cdr:x>
      <cdr:y>0.61615</cdr:y>
    </cdr:from>
    <cdr:to>
      <cdr:x>0.59501</cdr:x>
      <cdr:y>0.75064</cdr:y>
    </cdr:to>
    <cdr:sp macro="" textlink="#REF!">
      <cdr:nvSpPr>
        <cdr:cNvPr id="9218" name="Text Box 2"/>
        <cdr:cNvSpPr txBox="1">
          <a:spLocks xmlns:a="http://schemas.openxmlformats.org/drawingml/2006/main" noChangeArrowheads="1" noTextEdit="1"/>
        </cdr:cNvSpPr>
      </cdr:nvSpPr>
      <cdr:spPr bwMode="auto">
        <a:xfrm xmlns:a="http://schemas.openxmlformats.org/drawingml/2006/main">
          <a:off x="1370665" y="989136"/>
          <a:ext cx="491447" cy="21520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9536C632-1C56-4167-826C-8060E5DEBC2F}"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0.7322</cdr:x>
      <cdr:y>0.63378</cdr:y>
    </cdr:from>
    <cdr:to>
      <cdr:x>0.91471</cdr:x>
      <cdr:y>0.76851</cdr:y>
    </cdr:to>
    <cdr:sp macro="" textlink="#REF!">
      <cdr:nvSpPr>
        <cdr:cNvPr id="9219" name="Text Box 3"/>
        <cdr:cNvSpPr txBox="1">
          <a:spLocks xmlns:a="http://schemas.openxmlformats.org/drawingml/2006/main" noChangeArrowheads="1" noTextEdit="1"/>
        </cdr:cNvSpPr>
      </cdr:nvSpPr>
      <cdr:spPr bwMode="auto">
        <a:xfrm xmlns:a="http://schemas.openxmlformats.org/drawingml/2006/main">
          <a:off x="2290709" y="1017354"/>
          <a:ext cx="570199" cy="2155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BC9F9712-F1A7-444B-A869-50512AE4CFCE}"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0.06711</cdr:x>
      <cdr:y>0.43746</cdr:y>
    </cdr:from>
    <cdr:to>
      <cdr:x>0.97555</cdr:x>
      <cdr:y>0.43746</cdr:y>
    </cdr:to>
    <cdr:sp macro="" textlink="">
      <cdr:nvSpPr>
        <cdr:cNvPr id="9220" name="Line 4"/>
        <cdr:cNvSpPr>
          <a:spLocks xmlns:a="http://schemas.openxmlformats.org/drawingml/2006/main" noChangeShapeType="1"/>
        </cdr:cNvSpPr>
      </cdr:nvSpPr>
      <cdr:spPr bwMode="auto">
        <a:xfrm xmlns:a="http://schemas.openxmlformats.org/drawingml/2006/main">
          <a:off x="212849" y="703196"/>
          <a:ext cx="283812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9.xml><?xml version="1.0" encoding="utf-8"?>
<c:userShapes xmlns:c="http://schemas.openxmlformats.org/drawingml/2006/chart">
  <cdr:relSizeAnchor xmlns:cdr="http://schemas.openxmlformats.org/drawingml/2006/chartDrawing">
    <cdr:from>
      <cdr:x>0.13121</cdr:x>
      <cdr:y>0.62856</cdr:y>
    </cdr:from>
    <cdr:to>
      <cdr:x>0.31391</cdr:x>
      <cdr:y>0.76629</cdr:y>
    </cdr:to>
    <cdr:sp macro="" textlink="#REF!">
      <cdr:nvSpPr>
        <cdr:cNvPr id="11265" name="Text Box 1"/>
        <cdr:cNvSpPr txBox="1">
          <a:spLocks xmlns:a="http://schemas.openxmlformats.org/drawingml/2006/main" noChangeArrowheads="1" noTextEdit="1"/>
        </cdr:cNvSpPr>
      </cdr:nvSpPr>
      <cdr:spPr bwMode="auto">
        <a:xfrm xmlns:a="http://schemas.openxmlformats.org/drawingml/2006/main">
          <a:off x="393109" y="1003012"/>
          <a:ext cx="542949" cy="21908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4FD0DFA4-FBEA-4409-A363-8CEE7003AD9E}"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0.43902</cdr:x>
      <cdr:y>0.63444</cdr:y>
    </cdr:from>
    <cdr:to>
      <cdr:x>0.61809</cdr:x>
      <cdr:y>0.77216</cdr:y>
    </cdr:to>
    <cdr:sp macro="" textlink="#REF!">
      <cdr:nvSpPr>
        <cdr:cNvPr id="11266" name="Text Box 2"/>
        <cdr:cNvSpPr txBox="1">
          <a:spLocks xmlns:a="http://schemas.openxmlformats.org/drawingml/2006/main" noChangeArrowheads="1" noTextEdit="1"/>
        </cdr:cNvSpPr>
      </cdr:nvSpPr>
      <cdr:spPr bwMode="auto">
        <a:xfrm xmlns:a="http://schemas.openxmlformats.org/drawingml/2006/main">
          <a:off x="1307852" y="1012358"/>
          <a:ext cx="532162" cy="21908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AA87953D-D246-4DBA-95C5-49BD58FB5212}"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0.73691</cdr:x>
      <cdr:y>0.63444</cdr:y>
    </cdr:from>
    <cdr:to>
      <cdr:x>0.90678</cdr:x>
      <cdr:y>0.77216</cdr:y>
    </cdr:to>
    <cdr:sp macro="" textlink="#REF!">
      <cdr:nvSpPr>
        <cdr:cNvPr id="11267" name="Text Box 3"/>
        <cdr:cNvSpPr txBox="1">
          <a:spLocks xmlns:a="http://schemas.openxmlformats.org/drawingml/2006/main" noChangeArrowheads="1" noTextEdit="1"/>
        </cdr:cNvSpPr>
      </cdr:nvSpPr>
      <cdr:spPr bwMode="auto">
        <a:xfrm xmlns:a="http://schemas.openxmlformats.org/drawingml/2006/main">
          <a:off x="2193111" y="1012358"/>
          <a:ext cx="504834" cy="21908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fld id="{F77814F1-43CF-453F-8DF2-E9A868657CD1}" type="TxLink">
            <a:rPr lang="ja-JP" altLang="en-US" sz="1100" b="0" i="0" u="none" strike="noStrike">
              <a:solidFill>
                <a:srgbClr val="000000"/>
              </a:solidFill>
              <a:latin typeface="Arial"/>
              <a:ea typeface="ＭＳ Ｐゴシック"/>
              <a:cs typeface="Arial"/>
            </a:rPr>
            <a:pPr/>
            <a:t> </a:t>
          </a:fld>
          <a:endParaRPr lang="ja-JP" altLang="en-US"/>
        </a:p>
      </cdr:txBody>
    </cdr:sp>
  </cdr:relSizeAnchor>
  <cdr:relSizeAnchor xmlns:cdr="http://schemas.openxmlformats.org/drawingml/2006/chartDrawing">
    <cdr:from>
      <cdr:x>0.06588</cdr:x>
      <cdr:y>0.44759</cdr:y>
    </cdr:from>
    <cdr:to>
      <cdr:x>0.98083</cdr:x>
      <cdr:y>0.44759</cdr:y>
    </cdr:to>
    <cdr:sp macro="" textlink="">
      <cdr:nvSpPr>
        <cdr:cNvPr id="11268"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xml"/><Relationship Id="rId7" Type="http://schemas.openxmlformats.org/officeDocument/2006/relationships/ctrlProp" Target="../ctrlProps/ctrlProp4.xml"/><Relationship Id="rId2" Type="http://schemas.openxmlformats.org/officeDocument/2006/relationships/vmlDrawing" Target="../drawings/vmlDrawing9.vml"/><Relationship Id="rId1" Type="http://schemas.openxmlformats.org/officeDocument/2006/relationships/printerSettings" Target="../printerSettings/printerSettings1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1.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B1:WVX43"/>
  <sheetViews>
    <sheetView showGridLines="0" view="pageBreakPreview" zoomScaleNormal="100" zoomScaleSheetLayoutView="100" workbookViewId="0">
      <selection activeCell="L32" sqref="L32:O32"/>
    </sheetView>
  </sheetViews>
  <sheetFormatPr defaultColWidth="0" defaultRowHeight="13.5" customHeight="1" zeroHeight="1"/>
  <cols>
    <col min="1" max="1" width="1.25" customWidth="1"/>
    <col min="2" max="2" width="3.75" customWidth="1"/>
    <col min="3" max="5" width="1.625" customWidth="1"/>
    <col min="6" max="6" width="3.625" style="2464" customWidth="1"/>
    <col min="7" max="8" width="1.625" customWidth="1"/>
    <col min="9" max="9" width="17.25" customWidth="1"/>
    <col min="10" max="10" width="6.5" customWidth="1"/>
    <col min="11" max="12" width="6.625" customWidth="1"/>
    <col min="13" max="13" width="20.625" customWidth="1"/>
    <col min="14" max="15" width="14.625" customWidth="1"/>
    <col min="16" max="16" width="21.25" customWidth="1"/>
    <col min="17" max="17" width="1.625" hidden="1" customWidth="1"/>
    <col min="18" max="24" width="5.125" style="2465" hidden="1" customWidth="1"/>
    <col min="25" max="26" width="1.625" style="2465" hidden="1" customWidth="1"/>
    <col min="27" max="27" width="7.375" style="2465" hidden="1" customWidth="1"/>
    <col min="28" max="28" width="5.125" style="2465" hidden="1" customWidth="1"/>
    <col min="29" max="29" width="6.125" style="2465" hidden="1" customWidth="1"/>
    <col min="30" max="30" width="5.125" style="2466" hidden="1" customWidth="1"/>
    <col min="31" max="31" width="5.125" style="2465" hidden="1" customWidth="1"/>
    <col min="32" max="32" width="5.125" hidden="1" customWidth="1"/>
    <col min="33" max="33" width="5.625" hidden="1" customWidth="1"/>
    <col min="34" max="34" width="4.375" hidden="1" customWidth="1"/>
    <col min="35" max="256" width="9" hidden="1" customWidth="1"/>
    <col min="257" max="257" width="1.25" hidden="1" customWidth="1"/>
    <col min="258" max="258" width="3.75" hidden="1" customWidth="1"/>
    <col min="259" max="261" width="1.625" hidden="1" customWidth="1"/>
    <col min="262" max="262" width="3.625" hidden="1" customWidth="1"/>
    <col min="263" max="264" width="1.625" hidden="1" customWidth="1"/>
    <col min="265" max="265" width="17.25" hidden="1" customWidth="1"/>
    <col min="266" max="266" width="6.5" hidden="1" customWidth="1"/>
    <col min="267" max="268" width="6.625" hidden="1" customWidth="1"/>
    <col min="269" max="269" width="20.625" hidden="1" customWidth="1"/>
    <col min="270" max="271" width="14.625" hidden="1" customWidth="1"/>
    <col min="272" max="272" width="21.25" hidden="1" customWidth="1"/>
    <col min="273" max="290" width="0" hidden="1" customWidth="1"/>
    <col min="513" max="513" width="1.25" hidden="1" customWidth="1"/>
    <col min="514" max="514" width="3.75" hidden="1" customWidth="1"/>
    <col min="515" max="517" width="1.625" hidden="1" customWidth="1"/>
    <col min="518" max="518" width="3.625" hidden="1" customWidth="1"/>
    <col min="519" max="520" width="1.625" hidden="1" customWidth="1"/>
    <col min="521" max="521" width="17.25" hidden="1" customWidth="1"/>
    <col min="522" max="522" width="6.5" hidden="1" customWidth="1"/>
    <col min="523" max="524" width="6.625" hidden="1" customWidth="1"/>
    <col min="525" max="525" width="20.625" hidden="1" customWidth="1"/>
    <col min="526" max="527" width="14.625" hidden="1" customWidth="1"/>
    <col min="528" max="528" width="21.25" hidden="1" customWidth="1"/>
    <col min="529" max="546" width="0" hidden="1" customWidth="1"/>
    <col min="769" max="769" width="1.25" hidden="1" customWidth="1"/>
    <col min="770" max="770" width="3.75" hidden="1" customWidth="1"/>
    <col min="771" max="773" width="1.625" hidden="1" customWidth="1"/>
    <col min="774" max="774" width="3.625" hidden="1" customWidth="1"/>
    <col min="775" max="776" width="1.625" hidden="1" customWidth="1"/>
    <col min="777" max="777" width="17.25" hidden="1" customWidth="1"/>
    <col min="778" max="778" width="6.5" hidden="1" customWidth="1"/>
    <col min="779" max="780" width="6.625" hidden="1" customWidth="1"/>
    <col min="781" max="781" width="20.625" hidden="1" customWidth="1"/>
    <col min="782" max="783" width="14.625" hidden="1" customWidth="1"/>
    <col min="784" max="784" width="21.25" hidden="1" customWidth="1"/>
    <col min="785" max="802" width="0" hidden="1" customWidth="1"/>
    <col min="1025" max="1025" width="1.25" hidden="1" customWidth="1"/>
    <col min="1026" max="1026" width="3.75" hidden="1" customWidth="1"/>
    <col min="1027" max="1029" width="1.625" hidden="1" customWidth="1"/>
    <col min="1030" max="1030" width="3.625" hidden="1" customWidth="1"/>
    <col min="1031" max="1032" width="1.625" hidden="1" customWidth="1"/>
    <col min="1033" max="1033" width="17.25" hidden="1" customWidth="1"/>
    <col min="1034" max="1034" width="6.5" hidden="1" customWidth="1"/>
    <col min="1035" max="1036" width="6.625" hidden="1" customWidth="1"/>
    <col min="1037" max="1037" width="20.625" hidden="1" customWidth="1"/>
    <col min="1038" max="1039" width="14.625" hidden="1" customWidth="1"/>
    <col min="1040" max="1040" width="21.25" hidden="1" customWidth="1"/>
    <col min="1041" max="1058" width="0" hidden="1" customWidth="1"/>
    <col min="1281" max="1281" width="1.25" hidden="1" customWidth="1"/>
    <col min="1282" max="1282" width="3.75" hidden="1" customWidth="1"/>
    <col min="1283" max="1285" width="1.625" hidden="1" customWidth="1"/>
    <col min="1286" max="1286" width="3.625" hidden="1" customWidth="1"/>
    <col min="1287" max="1288" width="1.625" hidden="1" customWidth="1"/>
    <col min="1289" max="1289" width="17.25" hidden="1" customWidth="1"/>
    <col min="1290" max="1290" width="6.5" hidden="1" customWidth="1"/>
    <col min="1291" max="1292" width="6.625" hidden="1" customWidth="1"/>
    <col min="1293" max="1293" width="20.625" hidden="1" customWidth="1"/>
    <col min="1294" max="1295" width="14.625" hidden="1" customWidth="1"/>
    <col min="1296" max="1296" width="21.25" hidden="1" customWidth="1"/>
    <col min="1297" max="1314" width="0" hidden="1" customWidth="1"/>
    <col min="1537" max="1537" width="1.25" hidden="1" customWidth="1"/>
    <col min="1538" max="1538" width="3.75" hidden="1" customWidth="1"/>
    <col min="1539" max="1541" width="1.625" hidden="1" customWidth="1"/>
    <col min="1542" max="1542" width="3.625" hidden="1" customWidth="1"/>
    <col min="1543" max="1544" width="1.625" hidden="1" customWidth="1"/>
    <col min="1545" max="1545" width="17.25" hidden="1" customWidth="1"/>
    <col min="1546" max="1546" width="6.5" hidden="1" customWidth="1"/>
    <col min="1547" max="1548" width="6.625" hidden="1" customWidth="1"/>
    <col min="1549" max="1549" width="20.625" hidden="1" customWidth="1"/>
    <col min="1550" max="1551" width="14.625" hidden="1" customWidth="1"/>
    <col min="1552" max="1552" width="21.25" hidden="1" customWidth="1"/>
    <col min="1553" max="1570" width="0" hidden="1" customWidth="1"/>
    <col min="1793" max="1793" width="1.25" hidden="1" customWidth="1"/>
    <col min="1794" max="1794" width="3.75" hidden="1" customWidth="1"/>
    <col min="1795" max="1797" width="1.625" hidden="1" customWidth="1"/>
    <col min="1798" max="1798" width="3.625" hidden="1" customWidth="1"/>
    <col min="1799" max="1800" width="1.625" hidden="1" customWidth="1"/>
    <col min="1801" max="1801" width="17.25" hidden="1" customWidth="1"/>
    <col min="1802" max="1802" width="6.5" hidden="1" customWidth="1"/>
    <col min="1803" max="1804" width="6.625" hidden="1" customWidth="1"/>
    <col min="1805" max="1805" width="20.625" hidden="1" customWidth="1"/>
    <col min="1806" max="1807" width="14.625" hidden="1" customWidth="1"/>
    <col min="1808" max="1808" width="21.25" hidden="1" customWidth="1"/>
    <col min="1809" max="1826" width="0" hidden="1" customWidth="1"/>
    <col min="2049" max="2049" width="1.25" hidden="1" customWidth="1"/>
    <col min="2050" max="2050" width="3.75" hidden="1" customWidth="1"/>
    <col min="2051" max="2053" width="1.625" hidden="1" customWidth="1"/>
    <col min="2054" max="2054" width="3.625" hidden="1" customWidth="1"/>
    <col min="2055" max="2056" width="1.625" hidden="1" customWidth="1"/>
    <col min="2057" max="2057" width="17.25" hidden="1" customWidth="1"/>
    <col min="2058" max="2058" width="6.5" hidden="1" customWidth="1"/>
    <col min="2059" max="2060" width="6.625" hidden="1" customWidth="1"/>
    <col min="2061" max="2061" width="20.625" hidden="1" customWidth="1"/>
    <col min="2062" max="2063" width="14.625" hidden="1" customWidth="1"/>
    <col min="2064" max="2064" width="21.25" hidden="1" customWidth="1"/>
    <col min="2065" max="2082" width="0" hidden="1" customWidth="1"/>
    <col min="2305" max="2305" width="1.25" hidden="1" customWidth="1"/>
    <col min="2306" max="2306" width="3.75" hidden="1" customWidth="1"/>
    <col min="2307" max="2309" width="1.625" hidden="1" customWidth="1"/>
    <col min="2310" max="2310" width="3.625" hidden="1" customWidth="1"/>
    <col min="2311" max="2312" width="1.625" hidden="1" customWidth="1"/>
    <col min="2313" max="2313" width="17.25" hidden="1" customWidth="1"/>
    <col min="2314" max="2314" width="6.5" hidden="1" customWidth="1"/>
    <col min="2315" max="2316" width="6.625" hidden="1" customWidth="1"/>
    <col min="2317" max="2317" width="20.625" hidden="1" customWidth="1"/>
    <col min="2318" max="2319" width="14.625" hidden="1" customWidth="1"/>
    <col min="2320" max="2320" width="21.25" hidden="1" customWidth="1"/>
    <col min="2321" max="2338" width="0" hidden="1" customWidth="1"/>
    <col min="2561" max="2561" width="1.25" hidden="1" customWidth="1"/>
    <col min="2562" max="2562" width="3.75" hidden="1" customWidth="1"/>
    <col min="2563" max="2565" width="1.625" hidden="1" customWidth="1"/>
    <col min="2566" max="2566" width="3.625" hidden="1" customWidth="1"/>
    <col min="2567" max="2568" width="1.625" hidden="1" customWidth="1"/>
    <col min="2569" max="2569" width="17.25" hidden="1" customWidth="1"/>
    <col min="2570" max="2570" width="6.5" hidden="1" customWidth="1"/>
    <col min="2571" max="2572" width="6.625" hidden="1" customWidth="1"/>
    <col min="2573" max="2573" width="20.625" hidden="1" customWidth="1"/>
    <col min="2574" max="2575" width="14.625" hidden="1" customWidth="1"/>
    <col min="2576" max="2576" width="21.25" hidden="1" customWidth="1"/>
    <col min="2577" max="2594" width="0" hidden="1" customWidth="1"/>
    <col min="2817" max="2817" width="1.25" hidden="1" customWidth="1"/>
    <col min="2818" max="2818" width="3.75" hidden="1" customWidth="1"/>
    <col min="2819" max="2821" width="1.625" hidden="1" customWidth="1"/>
    <col min="2822" max="2822" width="3.625" hidden="1" customWidth="1"/>
    <col min="2823" max="2824" width="1.625" hidden="1" customWidth="1"/>
    <col min="2825" max="2825" width="17.25" hidden="1" customWidth="1"/>
    <col min="2826" max="2826" width="6.5" hidden="1" customWidth="1"/>
    <col min="2827" max="2828" width="6.625" hidden="1" customWidth="1"/>
    <col min="2829" max="2829" width="20.625" hidden="1" customWidth="1"/>
    <col min="2830" max="2831" width="14.625" hidden="1" customWidth="1"/>
    <col min="2832" max="2832" width="21.25" hidden="1" customWidth="1"/>
    <col min="2833" max="2850" width="0" hidden="1" customWidth="1"/>
    <col min="3073" max="3073" width="1.25" hidden="1" customWidth="1"/>
    <col min="3074" max="3074" width="3.75" hidden="1" customWidth="1"/>
    <col min="3075" max="3077" width="1.625" hidden="1" customWidth="1"/>
    <col min="3078" max="3078" width="3.625" hidden="1" customWidth="1"/>
    <col min="3079" max="3080" width="1.625" hidden="1" customWidth="1"/>
    <col min="3081" max="3081" width="17.25" hidden="1" customWidth="1"/>
    <col min="3082" max="3082" width="6.5" hidden="1" customWidth="1"/>
    <col min="3083" max="3084" width="6.625" hidden="1" customWidth="1"/>
    <col min="3085" max="3085" width="20.625" hidden="1" customWidth="1"/>
    <col min="3086" max="3087" width="14.625" hidden="1" customWidth="1"/>
    <col min="3088" max="3088" width="21.25" hidden="1" customWidth="1"/>
    <col min="3089" max="3106" width="0" hidden="1" customWidth="1"/>
    <col min="3329" max="3329" width="1.25" hidden="1" customWidth="1"/>
    <col min="3330" max="3330" width="3.75" hidden="1" customWidth="1"/>
    <col min="3331" max="3333" width="1.625" hidden="1" customWidth="1"/>
    <col min="3334" max="3334" width="3.625" hidden="1" customWidth="1"/>
    <col min="3335" max="3336" width="1.625" hidden="1" customWidth="1"/>
    <col min="3337" max="3337" width="17.25" hidden="1" customWidth="1"/>
    <col min="3338" max="3338" width="6.5" hidden="1" customWidth="1"/>
    <col min="3339" max="3340" width="6.625" hidden="1" customWidth="1"/>
    <col min="3341" max="3341" width="20.625" hidden="1" customWidth="1"/>
    <col min="3342" max="3343" width="14.625" hidden="1" customWidth="1"/>
    <col min="3344" max="3344" width="21.25" hidden="1" customWidth="1"/>
    <col min="3345" max="3362" width="0" hidden="1" customWidth="1"/>
    <col min="3585" max="3585" width="1.25" hidden="1" customWidth="1"/>
    <col min="3586" max="3586" width="3.75" hidden="1" customWidth="1"/>
    <col min="3587" max="3589" width="1.625" hidden="1" customWidth="1"/>
    <col min="3590" max="3590" width="3.625" hidden="1" customWidth="1"/>
    <col min="3591" max="3592" width="1.625" hidden="1" customWidth="1"/>
    <col min="3593" max="3593" width="17.25" hidden="1" customWidth="1"/>
    <col min="3594" max="3594" width="6.5" hidden="1" customWidth="1"/>
    <col min="3595" max="3596" width="6.625" hidden="1" customWidth="1"/>
    <col min="3597" max="3597" width="20.625" hidden="1" customWidth="1"/>
    <col min="3598" max="3599" width="14.625" hidden="1" customWidth="1"/>
    <col min="3600" max="3600" width="21.25" hidden="1" customWidth="1"/>
    <col min="3601" max="3618" width="0" hidden="1" customWidth="1"/>
    <col min="3841" max="3841" width="1.25" hidden="1" customWidth="1"/>
    <col min="3842" max="3842" width="3.75" hidden="1" customWidth="1"/>
    <col min="3843" max="3845" width="1.625" hidden="1" customWidth="1"/>
    <col min="3846" max="3846" width="3.625" hidden="1" customWidth="1"/>
    <col min="3847" max="3848" width="1.625" hidden="1" customWidth="1"/>
    <col min="3849" max="3849" width="17.25" hidden="1" customWidth="1"/>
    <col min="3850" max="3850" width="6.5" hidden="1" customWidth="1"/>
    <col min="3851" max="3852" width="6.625" hidden="1" customWidth="1"/>
    <col min="3853" max="3853" width="20.625" hidden="1" customWidth="1"/>
    <col min="3854" max="3855" width="14.625" hidden="1" customWidth="1"/>
    <col min="3856" max="3856" width="21.25" hidden="1" customWidth="1"/>
    <col min="3857" max="3874" width="0" hidden="1" customWidth="1"/>
    <col min="4097" max="4097" width="1.25" hidden="1" customWidth="1"/>
    <col min="4098" max="4098" width="3.75" hidden="1" customWidth="1"/>
    <col min="4099" max="4101" width="1.625" hidden="1" customWidth="1"/>
    <col min="4102" max="4102" width="3.625" hidden="1" customWidth="1"/>
    <col min="4103" max="4104" width="1.625" hidden="1" customWidth="1"/>
    <col min="4105" max="4105" width="17.25" hidden="1" customWidth="1"/>
    <col min="4106" max="4106" width="6.5" hidden="1" customWidth="1"/>
    <col min="4107" max="4108" width="6.625" hidden="1" customWidth="1"/>
    <col min="4109" max="4109" width="20.625" hidden="1" customWidth="1"/>
    <col min="4110" max="4111" width="14.625" hidden="1" customWidth="1"/>
    <col min="4112" max="4112" width="21.25" hidden="1" customWidth="1"/>
    <col min="4113" max="4130" width="0" hidden="1" customWidth="1"/>
    <col min="4353" max="4353" width="1.25" hidden="1" customWidth="1"/>
    <col min="4354" max="4354" width="3.75" hidden="1" customWidth="1"/>
    <col min="4355" max="4357" width="1.625" hidden="1" customWidth="1"/>
    <col min="4358" max="4358" width="3.625" hidden="1" customWidth="1"/>
    <col min="4359" max="4360" width="1.625" hidden="1" customWidth="1"/>
    <col min="4361" max="4361" width="17.25" hidden="1" customWidth="1"/>
    <col min="4362" max="4362" width="6.5" hidden="1" customWidth="1"/>
    <col min="4363" max="4364" width="6.625" hidden="1" customWidth="1"/>
    <col min="4365" max="4365" width="20.625" hidden="1" customWidth="1"/>
    <col min="4366" max="4367" width="14.625" hidden="1" customWidth="1"/>
    <col min="4368" max="4368" width="21.25" hidden="1" customWidth="1"/>
    <col min="4369" max="4386" width="0" hidden="1" customWidth="1"/>
    <col min="4609" max="4609" width="1.25" hidden="1" customWidth="1"/>
    <col min="4610" max="4610" width="3.75" hidden="1" customWidth="1"/>
    <col min="4611" max="4613" width="1.625" hidden="1" customWidth="1"/>
    <col min="4614" max="4614" width="3.625" hidden="1" customWidth="1"/>
    <col min="4615" max="4616" width="1.625" hidden="1" customWidth="1"/>
    <col min="4617" max="4617" width="17.25" hidden="1" customWidth="1"/>
    <col min="4618" max="4618" width="6.5" hidden="1" customWidth="1"/>
    <col min="4619" max="4620" width="6.625" hidden="1" customWidth="1"/>
    <col min="4621" max="4621" width="20.625" hidden="1" customWidth="1"/>
    <col min="4622" max="4623" width="14.625" hidden="1" customWidth="1"/>
    <col min="4624" max="4624" width="21.25" hidden="1" customWidth="1"/>
    <col min="4625" max="4642" width="0" hidden="1" customWidth="1"/>
    <col min="4865" max="4865" width="1.25" hidden="1" customWidth="1"/>
    <col min="4866" max="4866" width="3.75" hidden="1" customWidth="1"/>
    <col min="4867" max="4869" width="1.625" hidden="1" customWidth="1"/>
    <col min="4870" max="4870" width="3.625" hidden="1" customWidth="1"/>
    <col min="4871" max="4872" width="1.625" hidden="1" customWidth="1"/>
    <col min="4873" max="4873" width="17.25" hidden="1" customWidth="1"/>
    <col min="4874" max="4874" width="6.5" hidden="1" customWidth="1"/>
    <col min="4875" max="4876" width="6.625" hidden="1" customWidth="1"/>
    <col min="4877" max="4877" width="20.625" hidden="1" customWidth="1"/>
    <col min="4878" max="4879" width="14.625" hidden="1" customWidth="1"/>
    <col min="4880" max="4880" width="21.25" hidden="1" customWidth="1"/>
    <col min="4881" max="4898" width="0" hidden="1" customWidth="1"/>
    <col min="5121" max="5121" width="1.25" hidden="1" customWidth="1"/>
    <col min="5122" max="5122" width="3.75" hidden="1" customWidth="1"/>
    <col min="5123" max="5125" width="1.625" hidden="1" customWidth="1"/>
    <col min="5126" max="5126" width="3.625" hidden="1" customWidth="1"/>
    <col min="5127" max="5128" width="1.625" hidden="1" customWidth="1"/>
    <col min="5129" max="5129" width="17.25" hidden="1" customWidth="1"/>
    <col min="5130" max="5130" width="6.5" hidden="1" customWidth="1"/>
    <col min="5131" max="5132" width="6.625" hidden="1" customWidth="1"/>
    <col min="5133" max="5133" width="20.625" hidden="1" customWidth="1"/>
    <col min="5134" max="5135" width="14.625" hidden="1" customWidth="1"/>
    <col min="5136" max="5136" width="21.25" hidden="1" customWidth="1"/>
    <col min="5137" max="5154" width="0" hidden="1" customWidth="1"/>
    <col min="5377" max="5377" width="1.25" hidden="1" customWidth="1"/>
    <col min="5378" max="5378" width="3.75" hidden="1" customWidth="1"/>
    <col min="5379" max="5381" width="1.625" hidden="1" customWidth="1"/>
    <col min="5382" max="5382" width="3.625" hidden="1" customWidth="1"/>
    <col min="5383" max="5384" width="1.625" hidden="1" customWidth="1"/>
    <col min="5385" max="5385" width="17.25" hidden="1" customWidth="1"/>
    <col min="5386" max="5386" width="6.5" hidden="1" customWidth="1"/>
    <col min="5387" max="5388" width="6.625" hidden="1" customWidth="1"/>
    <col min="5389" max="5389" width="20.625" hidden="1" customWidth="1"/>
    <col min="5390" max="5391" width="14.625" hidden="1" customWidth="1"/>
    <col min="5392" max="5392" width="21.25" hidden="1" customWidth="1"/>
    <col min="5393" max="5410" width="0" hidden="1" customWidth="1"/>
    <col min="5633" max="5633" width="1.25" hidden="1" customWidth="1"/>
    <col min="5634" max="5634" width="3.75" hidden="1" customWidth="1"/>
    <col min="5635" max="5637" width="1.625" hidden="1" customWidth="1"/>
    <col min="5638" max="5638" width="3.625" hidden="1" customWidth="1"/>
    <col min="5639" max="5640" width="1.625" hidden="1" customWidth="1"/>
    <col min="5641" max="5641" width="17.25" hidden="1" customWidth="1"/>
    <col min="5642" max="5642" width="6.5" hidden="1" customWidth="1"/>
    <col min="5643" max="5644" width="6.625" hidden="1" customWidth="1"/>
    <col min="5645" max="5645" width="20.625" hidden="1" customWidth="1"/>
    <col min="5646" max="5647" width="14.625" hidden="1" customWidth="1"/>
    <col min="5648" max="5648" width="21.25" hidden="1" customWidth="1"/>
    <col min="5649" max="5666" width="0" hidden="1" customWidth="1"/>
    <col min="5889" max="5889" width="1.25" hidden="1" customWidth="1"/>
    <col min="5890" max="5890" width="3.75" hidden="1" customWidth="1"/>
    <col min="5891" max="5893" width="1.625" hidden="1" customWidth="1"/>
    <col min="5894" max="5894" width="3.625" hidden="1" customWidth="1"/>
    <col min="5895" max="5896" width="1.625" hidden="1" customWidth="1"/>
    <col min="5897" max="5897" width="17.25" hidden="1" customWidth="1"/>
    <col min="5898" max="5898" width="6.5" hidden="1" customWidth="1"/>
    <col min="5899" max="5900" width="6.625" hidden="1" customWidth="1"/>
    <col min="5901" max="5901" width="20.625" hidden="1" customWidth="1"/>
    <col min="5902" max="5903" width="14.625" hidden="1" customWidth="1"/>
    <col min="5904" max="5904" width="21.25" hidden="1" customWidth="1"/>
    <col min="5905" max="5922" width="0" hidden="1" customWidth="1"/>
    <col min="6145" max="6145" width="1.25" hidden="1" customWidth="1"/>
    <col min="6146" max="6146" width="3.75" hidden="1" customWidth="1"/>
    <col min="6147" max="6149" width="1.625" hidden="1" customWidth="1"/>
    <col min="6150" max="6150" width="3.625" hidden="1" customWidth="1"/>
    <col min="6151" max="6152" width="1.625" hidden="1" customWidth="1"/>
    <col min="6153" max="6153" width="17.25" hidden="1" customWidth="1"/>
    <col min="6154" max="6154" width="6.5" hidden="1" customWidth="1"/>
    <col min="6155" max="6156" width="6.625" hidden="1" customWidth="1"/>
    <col min="6157" max="6157" width="20.625" hidden="1" customWidth="1"/>
    <col min="6158" max="6159" width="14.625" hidden="1" customWidth="1"/>
    <col min="6160" max="6160" width="21.25" hidden="1" customWidth="1"/>
    <col min="6161" max="6178" width="0" hidden="1" customWidth="1"/>
    <col min="6401" max="6401" width="1.25" hidden="1" customWidth="1"/>
    <col min="6402" max="6402" width="3.75" hidden="1" customWidth="1"/>
    <col min="6403" max="6405" width="1.625" hidden="1" customWidth="1"/>
    <col min="6406" max="6406" width="3.625" hidden="1" customWidth="1"/>
    <col min="6407" max="6408" width="1.625" hidden="1" customWidth="1"/>
    <col min="6409" max="6409" width="17.25" hidden="1" customWidth="1"/>
    <col min="6410" max="6410" width="6.5" hidden="1" customWidth="1"/>
    <col min="6411" max="6412" width="6.625" hidden="1" customWidth="1"/>
    <col min="6413" max="6413" width="20.625" hidden="1" customWidth="1"/>
    <col min="6414" max="6415" width="14.625" hidden="1" customWidth="1"/>
    <col min="6416" max="6416" width="21.25" hidden="1" customWidth="1"/>
    <col min="6417" max="6434" width="0" hidden="1" customWidth="1"/>
    <col min="6657" max="6657" width="1.25" hidden="1" customWidth="1"/>
    <col min="6658" max="6658" width="3.75" hidden="1" customWidth="1"/>
    <col min="6659" max="6661" width="1.625" hidden="1" customWidth="1"/>
    <col min="6662" max="6662" width="3.625" hidden="1" customWidth="1"/>
    <col min="6663" max="6664" width="1.625" hidden="1" customWidth="1"/>
    <col min="6665" max="6665" width="17.25" hidden="1" customWidth="1"/>
    <col min="6666" max="6666" width="6.5" hidden="1" customWidth="1"/>
    <col min="6667" max="6668" width="6.625" hidden="1" customWidth="1"/>
    <col min="6669" max="6669" width="20.625" hidden="1" customWidth="1"/>
    <col min="6670" max="6671" width="14.625" hidden="1" customWidth="1"/>
    <col min="6672" max="6672" width="21.25" hidden="1" customWidth="1"/>
    <col min="6673" max="6690" width="0" hidden="1" customWidth="1"/>
    <col min="6913" max="6913" width="1.25" hidden="1" customWidth="1"/>
    <col min="6914" max="6914" width="3.75" hidden="1" customWidth="1"/>
    <col min="6915" max="6917" width="1.625" hidden="1" customWidth="1"/>
    <col min="6918" max="6918" width="3.625" hidden="1" customWidth="1"/>
    <col min="6919" max="6920" width="1.625" hidden="1" customWidth="1"/>
    <col min="6921" max="6921" width="17.25" hidden="1" customWidth="1"/>
    <col min="6922" max="6922" width="6.5" hidden="1" customWidth="1"/>
    <col min="6923" max="6924" width="6.625" hidden="1" customWidth="1"/>
    <col min="6925" max="6925" width="20.625" hidden="1" customWidth="1"/>
    <col min="6926" max="6927" width="14.625" hidden="1" customWidth="1"/>
    <col min="6928" max="6928" width="21.25" hidden="1" customWidth="1"/>
    <col min="6929" max="6946" width="0" hidden="1" customWidth="1"/>
    <col min="7169" max="7169" width="1.25" hidden="1" customWidth="1"/>
    <col min="7170" max="7170" width="3.75" hidden="1" customWidth="1"/>
    <col min="7171" max="7173" width="1.625" hidden="1" customWidth="1"/>
    <col min="7174" max="7174" width="3.625" hidden="1" customWidth="1"/>
    <col min="7175" max="7176" width="1.625" hidden="1" customWidth="1"/>
    <col min="7177" max="7177" width="17.25" hidden="1" customWidth="1"/>
    <col min="7178" max="7178" width="6.5" hidden="1" customWidth="1"/>
    <col min="7179" max="7180" width="6.625" hidden="1" customWidth="1"/>
    <col min="7181" max="7181" width="20.625" hidden="1" customWidth="1"/>
    <col min="7182" max="7183" width="14.625" hidden="1" customWidth="1"/>
    <col min="7184" max="7184" width="21.25" hidden="1" customWidth="1"/>
    <col min="7185" max="7202" width="0" hidden="1" customWidth="1"/>
    <col min="7425" max="7425" width="1.25" hidden="1" customWidth="1"/>
    <col min="7426" max="7426" width="3.75" hidden="1" customWidth="1"/>
    <col min="7427" max="7429" width="1.625" hidden="1" customWidth="1"/>
    <col min="7430" max="7430" width="3.625" hidden="1" customWidth="1"/>
    <col min="7431" max="7432" width="1.625" hidden="1" customWidth="1"/>
    <col min="7433" max="7433" width="17.25" hidden="1" customWidth="1"/>
    <col min="7434" max="7434" width="6.5" hidden="1" customWidth="1"/>
    <col min="7435" max="7436" width="6.625" hidden="1" customWidth="1"/>
    <col min="7437" max="7437" width="20.625" hidden="1" customWidth="1"/>
    <col min="7438" max="7439" width="14.625" hidden="1" customWidth="1"/>
    <col min="7440" max="7440" width="21.25" hidden="1" customWidth="1"/>
    <col min="7441" max="7458" width="0" hidden="1" customWidth="1"/>
    <col min="7681" max="7681" width="1.25" hidden="1" customWidth="1"/>
    <col min="7682" max="7682" width="3.75" hidden="1" customWidth="1"/>
    <col min="7683" max="7685" width="1.625" hidden="1" customWidth="1"/>
    <col min="7686" max="7686" width="3.625" hidden="1" customWidth="1"/>
    <col min="7687" max="7688" width="1.625" hidden="1" customWidth="1"/>
    <col min="7689" max="7689" width="17.25" hidden="1" customWidth="1"/>
    <col min="7690" max="7690" width="6.5" hidden="1" customWidth="1"/>
    <col min="7691" max="7692" width="6.625" hidden="1" customWidth="1"/>
    <col min="7693" max="7693" width="20.625" hidden="1" customWidth="1"/>
    <col min="7694" max="7695" width="14.625" hidden="1" customWidth="1"/>
    <col min="7696" max="7696" width="21.25" hidden="1" customWidth="1"/>
    <col min="7697" max="7714" width="0" hidden="1" customWidth="1"/>
    <col min="7937" max="7937" width="1.25" hidden="1" customWidth="1"/>
    <col min="7938" max="7938" width="3.75" hidden="1" customWidth="1"/>
    <col min="7939" max="7941" width="1.625" hidden="1" customWidth="1"/>
    <col min="7942" max="7942" width="3.625" hidden="1" customWidth="1"/>
    <col min="7943" max="7944" width="1.625" hidden="1" customWidth="1"/>
    <col min="7945" max="7945" width="17.25" hidden="1" customWidth="1"/>
    <col min="7946" max="7946" width="6.5" hidden="1" customWidth="1"/>
    <col min="7947" max="7948" width="6.625" hidden="1" customWidth="1"/>
    <col min="7949" max="7949" width="20.625" hidden="1" customWidth="1"/>
    <col min="7950" max="7951" width="14.625" hidden="1" customWidth="1"/>
    <col min="7952" max="7952" width="21.25" hidden="1" customWidth="1"/>
    <col min="7953" max="7970" width="0" hidden="1" customWidth="1"/>
    <col min="8193" max="8193" width="1.25" hidden="1" customWidth="1"/>
    <col min="8194" max="8194" width="3.75" hidden="1" customWidth="1"/>
    <col min="8195" max="8197" width="1.625" hidden="1" customWidth="1"/>
    <col min="8198" max="8198" width="3.625" hidden="1" customWidth="1"/>
    <col min="8199" max="8200" width="1.625" hidden="1" customWidth="1"/>
    <col min="8201" max="8201" width="17.25" hidden="1" customWidth="1"/>
    <col min="8202" max="8202" width="6.5" hidden="1" customWidth="1"/>
    <col min="8203" max="8204" width="6.625" hidden="1" customWidth="1"/>
    <col min="8205" max="8205" width="20.625" hidden="1" customWidth="1"/>
    <col min="8206" max="8207" width="14.625" hidden="1" customWidth="1"/>
    <col min="8208" max="8208" width="21.25" hidden="1" customWidth="1"/>
    <col min="8209" max="8226" width="0" hidden="1" customWidth="1"/>
    <col min="8449" max="8449" width="1.25" hidden="1" customWidth="1"/>
    <col min="8450" max="8450" width="3.75" hidden="1" customWidth="1"/>
    <col min="8451" max="8453" width="1.625" hidden="1" customWidth="1"/>
    <col min="8454" max="8454" width="3.625" hidden="1" customWidth="1"/>
    <col min="8455" max="8456" width="1.625" hidden="1" customWidth="1"/>
    <col min="8457" max="8457" width="17.25" hidden="1" customWidth="1"/>
    <col min="8458" max="8458" width="6.5" hidden="1" customWidth="1"/>
    <col min="8459" max="8460" width="6.625" hidden="1" customWidth="1"/>
    <col min="8461" max="8461" width="20.625" hidden="1" customWidth="1"/>
    <col min="8462" max="8463" width="14.625" hidden="1" customWidth="1"/>
    <col min="8464" max="8464" width="21.25" hidden="1" customWidth="1"/>
    <col min="8465" max="8482" width="0" hidden="1" customWidth="1"/>
    <col min="8705" max="8705" width="1.25" hidden="1" customWidth="1"/>
    <col min="8706" max="8706" width="3.75" hidden="1" customWidth="1"/>
    <col min="8707" max="8709" width="1.625" hidden="1" customWidth="1"/>
    <col min="8710" max="8710" width="3.625" hidden="1" customWidth="1"/>
    <col min="8711" max="8712" width="1.625" hidden="1" customWidth="1"/>
    <col min="8713" max="8713" width="17.25" hidden="1" customWidth="1"/>
    <col min="8714" max="8714" width="6.5" hidden="1" customWidth="1"/>
    <col min="8715" max="8716" width="6.625" hidden="1" customWidth="1"/>
    <col min="8717" max="8717" width="20.625" hidden="1" customWidth="1"/>
    <col min="8718" max="8719" width="14.625" hidden="1" customWidth="1"/>
    <col min="8720" max="8720" width="21.25" hidden="1" customWidth="1"/>
    <col min="8721" max="8738" width="0" hidden="1" customWidth="1"/>
    <col min="8961" max="8961" width="1.25" hidden="1" customWidth="1"/>
    <col min="8962" max="8962" width="3.75" hidden="1" customWidth="1"/>
    <col min="8963" max="8965" width="1.625" hidden="1" customWidth="1"/>
    <col min="8966" max="8966" width="3.625" hidden="1" customWidth="1"/>
    <col min="8967" max="8968" width="1.625" hidden="1" customWidth="1"/>
    <col min="8969" max="8969" width="17.25" hidden="1" customWidth="1"/>
    <col min="8970" max="8970" width="6.5" hidden="1" customWidth="1"/>
    <col min="8971" max="8972" width="6.625" hidden="1" customWidth="1"/>
    <col min="8973" max="8973" width="20.625" hidden="1" customWidth="1"/>
    <col min="8974" max="8975" width="14.625" hidden="1" customWidth="1"/>
    <col min="8976" max="8976" width="21.25" hidden="1" customWidth="1"/>
    <col min="8977" max="8994" width="0" hidden="1" customWidth="1"/>
    <col min="9217" max="9217" width="1.25" hidden="1" customWidth="1"/>
    <col min="9218" max="9218" width="3.75" hidden="1" customWidth="1"/>
    <col min="9219" max="9221" width="1.625" hidden="1" customWidth="1"/>
    <col min="9222" max="9222" width="3.625" hidden="1" customWidth="1"/>
    <col min="9223" max="9224" width="1.625" hidden="1" customWidth="1"/>
    <col min="9225" max="9225" width="17.25" hidden="1" customWidth="1"/>
    <col min="9226" max="9226" width="6.5" hidden="1" customWidth="1"/>
    <col min="9227" max="9228" width="6.625" hidden="1" customWidth="1"/>
    <col min="9229" max="9229" width="20.625" hidden="1" customWidth="1"/>
    <col min="9230" max="9231" width="14.625" hidden="1" customWidth="1"/>
    <col min="9232" max="9232" width="21.25" hidden="1" customWidth="1"/>
    <col min="9233" max="9250" width="0" hidden="1" customWidth="1"/>
    <col min="9473" max="9473" width="1.25" hidden="1" customWidth="1"/>
    <col min="9474" max="9474" width="3.75" hidden="1" customWidth="1"/>
    <col min="9475" max="9477" width="1.625" hidden="1" customWidth="1"/>
    <col min="9478" max="9478" width="3.625" hidden="1" customWidth="1"/>
    <col min="9479" max="9480" width="1.625" hidden="1" customWidth="1"/>
    <col min="9481" max="9481" width="17.25" hidden="1" customWidth="1"/>
    <col min="9482" max="9482" width="6.5" hidden="1" customWidth="1"/>
    <col min="9483" max="9484" width="6.625" hidden="1" customWidth="1"/>
    <col min="9485" max="9485" width="20.625" hidden="1" customWidth="1"/>
    <col min="9486" max="9487" width="14.625" hidden="1" customWidth="1"/>
    <col min="9488" max="9488" width="21.25" hidden="1" customWidth="1"/>
    <col min="9489" max="9506" width="0" hidden="1" customWidth="1"/>
    <col min="9729" max="9729" width="1.25" hidden="1" customWidth="1"/>
    <col min="9730" max="9730" width="3.75" hidden="1" customWidth="1"/>
    <col min="9731" max="9733" width="1.625" hidden="1" customWidth="1"/>
    <col min="9734" max="9734" width="3.625" hidden="1" customWidth="1"/>
    <col min="9735" max="9736" width="1.625" hidden="1" customWidth="1"/>
    <col min="9737" max="9737" width="17.25" hidden="1" customWidth="1"/>
    <col min="9738" max="9738" width="6.5" hidden="1" customWidth="1"/>
    <col min="9739" max="9740" width="6.625" hidden="1" customWidth="1"/>
    <col min="9741" max="9741" width="20.625" hidden="1" customWidth="1"/>
    <col min="9742" max="9743" width="14.625" hidden="1" customWidth="1"/>
    <col min="9744" max="9744" width="21.25" hidden="1" customWidth="1"/>
    <col min="9745" max="9762" width="0" hidden="1" customWidth="1"/>
    <col min="9985" max="9985" width="1.25" hidden="1" customWidth="1"/>
    <col min="9986" max="9986" width="3.75" hidden="1" customWidth="1"/>
    <col min="9987" max="9989" width="1.625" hidden="1" customWidth="1"/>
    <col min="9990" max="9990" width="3.625" hidden="1" customWidth="1"/>
    <col min="9991" max="9992" width="1.625" hidden="1" customWidth="1"/>
    <col min="9993" max="9993" width="17.25" hidden="1" customWidth="1"/>
    <col min="9994" max="9994" width="6.5" hidden="1" customWidth="1"/>
    <col min="9995" max="9996" width="6.625" hidden="1" customWidth="1"/>
    <col min="9997" max="9997" width="20.625" hidden="1" customWidth="1"/>
    <col min="9998" max="9999" width="14.625" hidden="1" customWidth="1"/>
    <col min="10000" max="10000" width="21.25" hidden="1" customWidth="1"/>
    <col min="10001" max="10018" width="0" hidden="1" customWidth="1"/>
    <col min="10241" max="10241" width="1.25" hidden="1" customWidth="1"/>
    <col min="10242" max="10242" width="3.75" hidden="1" customWidth="1"/>
    <col min="10243" max="10245" width="1.625" hidden="1" customWidth="1"/>
    <col min="10246" max="10246" width="3.625" hidden="1" customWidth="1"/>
    <col min="10247" max="10248" width="1.625" hidden="1" customWidth="1"/>
    <col min="10249" max="10249" width="17.25" hidden="1" customWidth="1"/>
    <col min="10250" max="10250" width="6.5" hidden="1" customWidth="1"/>
    <col min="10251" max="10252" width="6.625" hidden="1" customWidth="1"/>
    <col min="10253" max="10253" width="20.625" hidden="1" customWidth="1"/>
    <col min="10254" max="10255" width="14.625" hidden="1" customWidth="1"/>
    <col min="10256" max="10256" width="21.25" hidden="1" customWidth="1"/>
    <col min="10257" max="10274" width="0" hidden="1" customWidth="1"/>
    <col min="10497" max="10497" width="1.25" hidden="1" customWidth="1"/>
    <col min="10498" max="10498" width="3.75" hidden="1" customWidth="1"/>
    <col min="10499" max="10501" width="1.625" hidden="1" customWidth="1"/>
    <col min="10502" max="10502" width="3.625" hidden="1" customWidth="1"/>
    <col min="10503" max="10504" width="1.625" hidden="1" customWidth="1"/>
    <col min="10505" max="10505" width="17.25" hidden="1" customWidth="1"/>
    <col min="10506" max="10506" width="6.5" hidden="1" customWidth="1"/>
    <col min="10507" max="10508" width="6.625" hidden="1" customWidth="1"/>
    <col min="10509" max="10509" width="20.625" hidden="1" customWidth="1"/>
    <col min="10510" max="10511" width="14.625" hidden="1" customWidth="1"/>
    <col min="10512" max="10512" width="21.25" hidden="1" customWidth="1"/>
    <col min="10513" max="10530" width="0" hidden="1" customWidth="1"/>
    <col min="10753" max="10753" width="1.25" hidden="1" customWidth="1"/>
    <col min="10754" max="10754" width="3.75" hidden="1" customWidth="1"/>
    <col min="10755" max="10757" width="1.625" hidden="1" customWidth="1"/>
    <col min="10758" max="10758" width="3.625" hidden="1" customWidth="1"/>
    <col min="10759" max="10760" width="1.625" hidden="1" customWidth="1"/>
    <col min="10761" max="10761" width="17.25" hidden="1" customWidth="1"/>
    <col min="10762" max="10762" width="6.5" hidden="1" customWidth="1"/>
    <col min="10763" max="10764" width="6.625" hidden="1" customWidth="1"/>
    <col min="10765" max="10765" width="20.625" hidden="1" customWidth="1"/>
    <col min="10766" max="10767" width="14.625" hidden="1" customWidth="1"/>
    <col min="10768" max="10768" width="21.25" hidden="1" customWidth="1"/>
    <col min="10769" max="10786" width="0" hidden="1" customWidth="1"/>
    <col min="11009" max="11009" width="1.25" hidden="1" customWidth="1"/>
    <col min="11010" max="11010" width="3.75" hidden="1" customWidth="1"/>
    <col min="11011" max="11013" width="1.625" hidden="1" customWidth="1"/>
    <col min="11014" max="11014" width="3.625" hidden="1" customWidth="1"/>
    <col min="11015" max="11016" width="1.625" hidden="1" customWidth="1"/>
    <col min="11017" max="11017" width="17.25" hidden="1" customWidth="1"/>
    <col min="11018" max="11018" width="6.5" hidden="1" customWidth="1"/>
    <col min="11019" max="11020" width="6.625" hidden="1" customWidth="1"/>
    <col min="11021" max="11021" width="20.625" hidden="1" customWidth="1"/>
    <col min="11022" max="11023" width="14.625" hidden="1" customWidth="1"/>
    <col min="11024" max="11024" width="21.25" hidden="1" customWidth="1"/>
    <col min="11025" max="11042" width="0" hidden="1" customWidth="1"/>
    <col min="11265" max="11265" width="1.25" hidden="1" customWidth="1"/>
    <col min="11266" max="11266" width="3.75" hidden="1" customWidth="1"/>
    <col min="11267" max="11269" width="1.625" hidden="1" customWidth="1"/>
    <col min="11270" max="11270" width="3.625" hidden="1" customWidth="1"/>
    <col min="11271" max="11272" width="1.625" hidden="1" customWidth="1"/>
    <col min="11273" max="11273" width="17.25" hidden="1" customWidth="1"/>
    <col min="11274" max="11274" width="6.5" hidden="1" customWidth="1"/>
    <col min="11275" max="11276" width="6.625" hidden="1" customWidth="1"/>
    <col min="11277" max="11277" width="20.625" hidden="1" customWidth="1"/>
    <col min="11278" max="11279" width="14.625" hidden="1" customWidth="1"/>
    <col min="11280" max="11280" width="21.25" hidden="1" customWidth="1"/>
    <col min="11281" max="11298" width="0" hidden="1" customWidth="1"/>
    <col min="11521" max="11521" width="1.25" hidden="1" customWidth="1"/>
    <col min="11522" max="11522" width="3.75" hidden="1" customWidth="1"/>
    <col min="11523" max="11525" width="1.625" hidden="1" customWidth="1"/>
    <col min="11526" max="11526" width="3.625" hidden="1" customWidth="1"/>
    <col min="11527" max="11528" width="1.625" hidden="1" customWidth="1"/>
    <col min="11529" max="11529" width="17.25" hidden="1" customWidth="1"/>
    <col min="11530" max="11530" width="6.5" hidden="1" customWidth="1"/>
    <col min="11531" max="11532" width="6.625" hidden="1" customWidth="1"/>
    <col min="11533" max="11533" width="20.625" hidden="1" customWidth="1"/>
    <col min="11534" max="11535" width="14.625" hidden="1" customWidth="1"/>
    <col min="11536" max="11536" width="21.25" hidden="1" customWidth="1"/>
    <col min="11537" max="11554" width="0" hidden="1" customWidth="1"/>
    <col min="11777" max="11777" width="1.25" hidden="1" customWidth="1"/>
    <col min="11778" max="11778" width="3.75" hidden="1" customWidth="1"/>
    <col min="11779" max="11781" width="1.625" hidden="1" customWidth="1"/>
    <col min="11782" max="11782" width="3.625" hidden="1" customWidth="1"/>
    <col min="11783" max="11784" width="1.625" hidden="1" customWidth="1"/>
    <col min="11785" max="11785" width="17.25" hidden="1" customWidth="1"/>
    <col min="11786" max="11786" width="6.5" hidden="1" customWidth="1"/>
    <col min="11787" max="11788" width="6.625" hidden="1" customWidth="1"/>
    <col min="11789" max="11789" width="20.625" hidden="1" customWidth="1"/>
    <col min="11790" max="11791" width="14.625" hidden="1" customWidth="1"/>
    <col min="11792" max="11792" width="21.25" hidden="1" customWidth="1"/>
    <col min="11793" max="11810" width="0" hidden="1" customWidth="1"/>
    <col min="12033" max="12033" width="1.25" hidden="1" customWidth="1"/>
    <col min="12034" max="12034" width="3.75" hidden="1" customWidth="1"/>
    <col min="12035" max="12037" width="1.625" hidden="1" customWidth="1"/>
    <col min="12038" max="12038" width="3.625" hidden="1" customWidth="1"/>
    <col min="12039" max="12040" width="1.625" hidden="1" customWidth="1"/>
    <col min="12041" max="12041" width="17.25" hidden="1" customWidth="1"/>
    <col min="12042" max="12042" width="6.5" hidden="1" customWidth="1"/>
    <col min="12043" max="12044" width="6.625" hidden="1" customWidth="1"/>
    <col min="12045" max="12045" width="20.625" hidden="1" customWidth="1"/>
    <col min="12046" max="12047" width="14.625" hidden="1" customWidth="1"/>
    <col min="12048" max="12048" width="21.25" hidden="1" customWidth="1"/>
    <col min="12049" max="12066" width="0" hidden="1" customWidth="1"/>
    <col min="12289" max="12289" width="1.25" hidden="1" customWidth="1"/>
    <col min="12290" max="12290" width="3.75" hidden="1" customWidth="1"/>
    <col min="12291" max="12293" width="1.625" hidden="1" customWidth="1"/>
    <col min="12294" max="12294" width="3.625" hidden="1" customWidth="1"/>
    <col min="12295" max="12296" width="1.625" hidden="1" customWidth="1"/>
    <col min="12297" max="12297" width="17.25" hidden="1" customWidth="1"/>
    <col min="12298" max="12298" width="6.5" hidden="1" customWidth="1"/>
    <col min="12299" max="12300" width="6.625" hidden="1" customWidth="1"/>
    <col min="12301" max="12301" width="20.625" hidden="1" customWidth="1"/>
    <col min="12302" max="12303" width="14.625" hidden="1" customWidth="1"/>
    <col min="12304" max="12304" width="21.25" hidden="1" customWidth="1"/>
    <col min="12305" max="12322" width="0" hidden="1" customWidth="1"/>
    <col min="12545" max="12545" width="1.25" hidden="1" customWidth="1"/>
    <col min="12546" max="12546" width="3.75" hidden="1" customWidth="1"/>
    <col min="12547" max="12549" width="1.625" hidden="1" customWidth="1"/>
    <col min="12550" max="12550" width="3.625" hidden="1" customWidth="1"/>
    <col min="12551" max="12552" width="1.625" hidden="1" customWidth="1"/>
    <col min="12553" max="12553" width="17.25" hidden="1" customWidth="1"/>
    <col min="12554" max="12554" width="6.5" hidden="1" customWidth="1"/>
    <col min="12555" max="12556" width="6.625" hidden="1" customWidth="1"/>
    <col min="12557" max="12557" width="20.625" hidden="1" customWidth="1"/>
    <col min="12558" max="12559" width="14.625" hidden="1" customWidth="1"/>
    <col min="12560" max="12560" width="21.25" hidden="1" customWidth="1"/>
    <col min="12561" max="12578" width="0" hidden="1" customWidth="1"/>
    <col min="12801" max="12801" width="1.25" hidden="1" customWidth="1"/>
    <col min="12802" max="12802" width="3.75" hidden="1" customWidth="1"/>
    <col min="12803" max="12805" width="1.625" hidden="1" customWidth="1"/>
    <col min="12806" max="12806" width="3.625" hidden="1" customWidth="1"/>
    <col min="12807" max="12808" width="1.625" hidden="1" customWidth="1"/>
    <col min="12809" max="12809" width="17.25" hidden="1" customWidth="1"/>
    <col min="12810" max="12810" width="6.5" hidden="1" customWidth="1"/>
    <col min="12811" max="12812" width="6.625" hidden="1" customWidth="1"/>
    <col min="12813" max="12813" width="20.625" hidden="1" customWidth="1"/>
    <col min="12814" max="12815" width="14.625" hidden="1" customWidth="1"/>
    <col min="12816" max="12816" width="21.25" hidden="1" customWidth="1"/>
    <col min="12817" max="12834" width="0" hidden="1" customWidth="1"/>
    <col min="13057" max="13057" width="1.25" hidden="1" customWidth="1"/>
    <col min="13058" max="13058" width="3.75" hidden="1" customWidth="1"/>
    <col min="13059" max="13061" width="1.625" hidden="1" customWidth="1"/>
    <col min="13062" max="13062" width="3.625" hidden="1" customWidth="1"/>
    <col min="13063" max="13064" width="1.625" hidden="1" customWidth="1"/>
    <col min="13065" max="13065" width="17.25" hidden="1" customWidth="1"/>
    <col min="13066" max="13066" width="6.5" hidden="1" customWidth="1"/>
    <col min="13067" max="13068" width="6.625" hidden="1" customWidth="1"/>
    <col min="13069" max="13069" width="20.625" hidden="1" customWidth="1"/>
    <col min="13070" max="13071" width="14.625" hidden="1" customWidth="1"/>
    <col min="13072" max="13072" width="21.25" hidden="1" customWidth="1"/>
    <col min="13073" max="13090" width="0" hidden="1" customWidth="1"/>
    <col min="13313" max="13313" width="1.25" hidden="1" customWidth="1"/>
    <col min="13314" max="13314" width="3.75" hidden="1" customWidth="1"/>
    <col min="13315" max="13317" width="1.625" hidden="1" customWidth="1"/>
    <col min="13318" max="13318" width="3.625" hidden="1" customWidth="1"/>
    <col min="13319" max="13320" width="1.625" hidden="1" customWidth="1"/>
    <col min="13321" max="13321" width="17.25" hidden="1" customWidth="1"/>
    <col min="13322" max="13322" width="6.5" hidden="1" customWidth="1"/>
    <col min="13323" max="13324" width="6.625" hidden="1" customWidth="1"/>
    <col min="13325" max="13325" width="20.625" hidden="1" customWidth="1"/>
    <col min="13326" max="13327" width="14.625" hidden="1" customWidth="1"/>
    <col min="13328" max="13328" width="21.25" hidden="1" customWidth="1"/>
    <col min="13329" max="13346" width="0" hidden="1" customWidth="1"/>
    <col min="13569" max="13569" width="1.25" hidden="1" customWidth="1"/>
    <col min="13570" max="13570" width="3.75" hidden="1" customWidth="1"/>
    <col min="13571" max="13573" width="1.625" hidden="1" customWidth="1"/>
    <col min="13574" max="13574" width="3.625" hidden="1" customWidth="1"/>
    <col min="13575" max="13576" width="1.625" hidden="1" customWidth="1"/>
    <col min="13577" max="13577" width="17.25" hidden="1" customWidth="1"/>
    <col min="13578" max="13578" width="6.5" hidden="1" customWidth="1"/>
    <col min="13579" max="13580" width="6.625" hidden="1" customWidth="1"/>
    <col min="13581" max="13581" width="20.625" hidden="1" customWidth="1"/>
    <col min="13582" max="13583" width="14.625" hidden="1" customWidth="1"/>
    <col min="13584" max="13584" width="21.25" hidden="1" customWidth="1"/>
    <col min="13585" max="13602" width="0" hidden="1" customWidth="1"/>
    <col min="13825" max="13825" width="1.25" hidden="1" customWidth="1"/>
    <col min="13826" max="13826" width="3.75" hidden="1" customWidth="1"/>
    <col min="13827" max="13829" width="1.625" hidden="1" customWidth="1"/>
    <col min="13830" max="13830" width="3.625" hidden="1" customWidth="1"/>
    <col min="13831" max="13832" width="1.625" hidden="1" customWidth="1"/>
    <col min="13833" max="13833" width="17.25" hidden="1" customWidth="1"/>
    <col min="13834" max="13834" width="6.5" hidden="1" customWidth="1"/>
    <col min="13835" max="13836" width="6.625" hidden="1" customWidth="1"/>
    <col min="13837" max="13837" width="20.625" hidden="1" customWidth="1"/>
    <col min="13838" max="13839" width="14.625" hidden="1" customWidth="1"/>
    <col min="13840" max="13840" width="21.25" hidden="1" customWidth="1"/>
    <col min="13841" max="13858" width="0" hidden="1" customWidth="1"/>
    <col min="14081" max="14081" width="1.25" hidden="1" customWidth="1"/>
    <col min="14082" max="14082" width="3.75" hidden="1" customWidth="1"/>
    <col min="14083" max="14085" width="1.625" hidden="1" customWidth="1"/>
    <col min="14086" max="14086" width="3.625" hidden="1" customWidth="1"/>
    <col min="14087" max="14088" width="1.625" hidden="1" customWidth="1"/>
    <col min="14089" max="14089" width="17.25" hidden="1" customWidth="1"/>
    <col min="14090" max="14090" width="6.5" hidden="1" customWidth="1"/>
    <col min="14091" max="14092" width="6.625" hidden="1" customWidth="1"/>
    <col min="14093" max="14093" width="20.625" hidden="1" customWidth="1"/>
    <col min="14094" max="14095" width="14.625" hidden="1" customWidth="1"/>
    <col min="14096" max="14096" width="21.25" hidden="1" customWidth="1"/>
    <col min="14097" max="14114" width="0" hidden="1" customWidth="1"/>
    <col min="14337" max="14337" width="1.25" hidden="1" customWidth="1"/>
    <col min="14338" max="14338" width="3.75" hidden="1" customWidth="1"/>
    <col min="14339" max="14341" width="1.625" hidden="1" customWidth="1"/>
    <col min="14342" max="14342" width="3.625" hidden="1" customWidth="1"/>
    <col min="14343" max="14344" width="1.625" hidden="1" customWidth="1"/>
    <col min="14345" max="14345" width="17.25" hidden="1" customWidth="1"/>
    <col min="14346" max="14346" width="6.5" hidden="1" customWidth="1"/>
    <col min="14347" max="14348" width="6.625" hidden="1" customWidth="1"/>
    <col min="14349" max="14349" width="20.625" hidden="1" customWidth="1"/>
    <col min="14350" max="14351" width="14.625" hidden="1" customWidth="1"/>
    <col min="14352" max="14352" width="21.25" hidden="1" customWidth="1"/>
    <col min="14353" max="14370" width="0" hidden="1" customWidth="1"/>
    <col min="14593" max="14593" width="1.25" hidden="1" customWidth="1"/>
    <col min="14594" max="14594" width="3.75" hidden="1" customWidth="1"/>
    <col min="14595" max="14597" width="1.625" hidden="1" customWidth="1"/>
    <col min="14598" max="14598" width="3.625" hidden="1" customWidth="1"/>
    <col min="14599" max="14600" width="1.625" hidden="1" customWidth="1"/>
    <col min="14601" max="14601" width="17.25" hidden="1" customWidth="1"/>
    <col min="14602" max="14602" width="6.5" hidden="1" customWidth="1"/>
    <col min="14603" max="14604" width="6.625" hidden="1" customWidth="1"/>
    <col min="14605" max="14605" width="20.625" hidden="1" customWidth="1"/>
    <col min="14606" max="14607" width="14.625" hidden="1" customWidth="1"/>
    <col min="14608" max="14608" width="21.25" hidden="1" customWidth="1"/>
    <col min="14609" max="14626" width="0" hidden="1" customWidth="1"/>
    <col min="14849" max="14849" width="1.25" hidden="1" customWidth="1"/>
    <col min="14850" max="14850" width="3.75" hidden="1" customWidth="1"/>
    <col min="14851" max="14853" width="1.625" hidden="1" customWidth="1"/>
    <col min="14854" max="14854" width="3.625" hidden="1" customWidth="1"/>
    <col min="14855" max="14856" width="1.625" hidden="1" customWidth="1"/>
    <col min="14857" max="14857" width="17.25" hidden="1" customWidth="1"/>
    <col min="14858" max="14858" width="6.5" hidden="1" customWidth="1"/>
    <col min="14859" max="14860" width="6.625" hidden="1" customWidth="1"/>
    <col min="14861" max="14861" width="20.625" hidden="1" customWidth="1"/>
    <col min="14862" max="14863" width="14.625" hidden="1" customWidth="1"/>
    <col min="14864" max="14864" width="21.25" hidden="1" customWidth="1"/>
    <col min="14865" max="14882" width="0" hidden="1" customWidth="1"/>
    <col min="15105" max="15105" width="1.25" hidden="1" customWidth="1"/>
    <col min="15106" max="15106" width="3.75" hidden="1" customWidth="1"/>
    <col min="15107" max="15109" width="1.625" hidden="1" customWidth="1"/>
    <col min="15110" max="15110" width="3.625" hidden="1" customWidth="1"/>
    <col min="15111" max="15112" width="1.625" hidden="1" customWidth="1"/>
    <col min="15113" max="15113" width="17.25" hidden="1" customWidth="1"/>
    <col min="15114" max="15114" width="6.5" hidden="1" customWidth="1"/>
    <col min="15115" max="15116" width="6.625" hidden="1" customWidth="1"/>
    <col min="15117" max="15117" width="20.625" hidden="1" customWidth="1"/>
    <col min="15118" max="15119" width="14.625" hidden="1" customWidth="1"/>
    <col min="15120" max="15120" width="21.25" hidden="1" customWidth="1"/>
    <col min="15121" max="15138" width="0" hidden="1" customWidth="1"/>
    <col min="15361" max="15361" width="1.25" hidden="1" customWidth="1"/>
    <col min="15362" max="15362" width="3.75" hidden="1" customWidth="1"/>
    <col min="15363" max="15365" width="1.625" hidden="1" customWidth="1"/>
    <col min="15366" max="15366" width="3.625" hidden="1" customWidth="1"/>
    <col min="15367" max="15368" width="1.625" hidden="1" customWidth="1"/>
    <col min="15369" max="15369" width="17.25" hidden="1" customWidth="1"/>
    <col min="15370" max="15370" width="6.5" hidden="1" customWidth="1"/>
    <col min="15371" max="15372" width="6.625" hidden="1" customWidth="1"/>
    <col min="15373" max="15373" width="20.625" hidden="1" customWidth="1"/>
    <col min="15374" max="15375" width="14.625" hidden="1" customWidth="1"/>
    <col min="15376" max="15376" width="21.25" hidden="1" customWidth="1"/>
    <col min="15377" max="15394" width="0" hidden="1" customWidth="1"/>
    <col min="15617" max="15617" width="1.25" hidden="1" customWidth="1"/>
    <col min="15618" max="15618" width="3.75" hidden="1" customWidth="1"/>
    <col min="15619" max="15621" width="1.625" hidden="1" customWidth="1"/>
    <col min="15622" max="15622" width="3.625" hidden="1" customWidth="1"/>
    <col min="15623" max="15624" width="1.625" hidden="1" customWidth="1"/>
    <col min="15625" max="15625" width="17.25" hidden="1" customWidth="1"/>
    <col min="15626" max="15626" width="6.5" hidden="1" customWidth="1"/>
    <col min="15627" max="15628" width="6.625" hidden="1" customWidth="1"/>
    <col min="15629" max="15629" width="20.625" hidden="1" customWidth="1"/>
    <col min="15630" max="15631" width="14.625" hidden="1" customWidth="1"/>
    <col min="15632" max="15632" width="21.25" hidden="1" customWidth="1"/>
    <col min="15633" max="15650" width="0" hidden="1" customWidth="1"/>
    <col min="15873" max="15873" width="1.25" hidden="1" customWidth="1"/>
    <col min="15874" max="15874" width="3.75" hidden="1" customWidth="1"/>
    <col min="15875" max="15877" width="1.625" hidden="1" customWidth="1"/>
    <col min="15878" max="15878" width="3.625" hidden="1" customWidth="1"/>
    <col min="15879" max="15880" width="1.625" hidden="1" customWidth="1"/>
    <col min="15881" max="15881" width="17.25" hidden="1" customWidth="1"/>
    <col min="15882" max="15882" width="6.5" hidden="1" customWidth="1"/>
    <col min="15883" max="15884" width="6.625" hidden="1" customWidth="1"/>
    <col min="15885" max="15885" width="20.625" hidden="1" customWidth="1"/>
    <col min="15886" max="15887" width="14.625" hidden="1" customWidth="1"/>
    <col min="15888" max="15888" width="21.25" hidden="1" customWidth="1"/>
    <col min="15889" max="15906" width="0" hidden="1" customWidth="1"/>
    <col min="16129" max="16129" width="1.25" hidden="1" customWidth="1"/>
    <col min="16130" max="16130" width="3.75" hidden="1" customWidth="1"/>
    <col min="16131" max="16133" width="1.625" hidden="1" customWidth="1"/>
    <col min="16134" max="16134" width="3.625" hidden="1" customWidth="1"/>
    <col min="16135" max="16136" width="1.625" hidden="1" customWidth="1"/>
    <col min="16137" max="16137" width="17.25" hidden="1" customWidth="1"/>
    <col min="16138" max="16138" width="6.5" hidden="1" customWidth="1"/>
    <col min="16139" max="16140" width="6.625" hidden="1" customWidth="1"/>
    <col min="16141" max="16141" width="20.625" hidden="1" customWidth="1"/>
    <col min="16142" max="16143" width="14.625" hidden="1" customWidth="1"/>
    <col min="16144" max="16144" width="21.25" hidden="1" customWidth="1"/>
    <col min="16145" max="16162" width="0" hidden="1" customWidth="1"/>
  </cols>
  <sheetData>
    <row r="1" spans="2:32"/>
    <row r="2" spans="2:32" ht="21.75" customHeight="1">
      <c r="J2" s="2467"/>
    </row>
    <row r="3" spans="2:32" ht="13.5" customHeight="1">
      <c r="K3" s="2696"/>
      <c r="L3" s="2696"/>
      <c r="M3" s="2468"/>
      <c r="N3" s="2468"/>
      <c r="O3" s="2469"/>
    </row>
    <row r="4" spans="2:32" ht="3" hidden="1" customHeight="1"/>
    <row r="5" spans="2:32" ht="30" customHeight="1">
      <c r="B5" s="2470"/>
      <c r="C5" s="192"/>
      <c r="D5" s="2471"/>
      <c r="E5" s="192"/>
      <c r="F5" s="2472"/>
      <c r="G5" s="192"/>
      <c r="H5" s="192"/>
      <c r="I5" s="2471"/>
      <c r="J5" s="2473"/>
      <c r="K5" s="2474"/>
      <c r="L5" s="2380"/>
      <c r="M5" s="2475"/>
      <c r="N5" s="2476"/>
      <c r="O5" s="2468"/>
    </row>
    <row r="6" spans="2:32" ht="30" customHeight="1">
      <c r="B6" s="2477" t="s">
        <v>1873</v>
      </c>
      <c r="C6" s="2378"/>
      <c r="D6" s="2478"/>
      <c r="E6" s="2378"/>
      <c r="F6" s="2479"/>
      <c r="G6" s="2378"/>
      <c r="H6" s="2378"/>
      <c r="I6" s="2478"/>
      <c r="J6" s="2478" t="s">
        <v>1874</v>
      </c>
      <c r="K6" s="2697" t="e">
        <f>'計画概要書(改修後)'!$S$13</f>
        <v>#VALUE!</v>
      </c>
      <c r="L6" s="2698"/>
      <c r="M6" s="2475"/>
      <c r="N6" s="2476"/>
      <c r="O6" s="2468"/>
    </row>
    <row r="7" spans="2:32" ht="30" customHeight="1">
      <c r="B7" s="2470"/>
      <c r="C7" s="192"/>
      <c r="D7" s="2471"/>
      <c r="E7" s="192"/>
      <c r="F7" s="2472"/>
      <c r="G7" s="192"/>
      <c r="H7" s="192"/>
      <c r="I7" s="2471"/>
      <c r="J7" s="2473"/>
      <c r="K7" s="2474"/>
      <c r="L7" s="2380"/>
      <c r="M7" s="2475"/>
      <c r="N7" s="2476"/>
      <c r="O7" s="2468"/>
    </row>
    <row r="8" spans="2:32" ht="30" customHeight="1">
      <c r="K8" s="2380"/>
      <c r="L8" s="2380"/>
      <c r="M8" s="2380"/>
      <c r="N8" s="2380"/>
    </row>
    <row r="9" spans="2:32" s="516" customFormat="1" ht="18" customHeight="1">
      <c r="B9" s="2480" t="s">
        <v>1875</v>
      </c>
      <c r="C9" s="2481"/>
      <c r="D9" s="2481"/>
      <c r="E9" s="2481"/>
      <c r="F9" s="2482"/>
      <c r="G9" s="2481"/>
      <c r="H9" s="2481"/>
      <c r="I9" s="2481"/>
      <c r="J9" s="2483"/>
      <c r="K9" s="2484" t="s">
        <v>1876</v>
      </c>
      <c r="L9" s="2485"/>
      <c r="M9" s="2485"/>
      <c r="N9" s="2485"/>
      <c r="O9" s="2485"/>
      <c r="R9" s="2486"/>
      <c r="S9" s="2486"/>
      <c r="T9" s="2486"/>
      <c r="U9" s="2486"/>
      <c r="V9" s="2486"/>
      <c r="W9" s="2486"/>
      <c r="X9" s="2486"/>
      <c r="Y9" s="2486"/>
      <c r="Z9" s="2486"/>
      <c r="AA9" s="2486"/>
      <c r="AB9" s="2486"/>
      <c r="AC9" s="2486"/>
      <c r="AD9" s="2466"/>
      <c r="AE9" s="2486"/>
    </row>
    <row r="10" spans="2:32" ht="30" customHeight="1">
      <c r="B10" s="2487" t="s">
        <v>1877</v>
      </c>
      <c r="C10" s="2488"/>
      <c r="D10" s="2488"/>
      <c r="E10" s="2488"/>
      <c r="F10" s="2489"/>
      <c r="G10" s="2488"/>
      <c r="H10" s="2488"/>
      <c r="I10" s="2488"/>
      <c r="J10" s="2490"/>
      <c r="K10" s="2491" t="e">
        <f>AE12</f>
        <v>#VALUE!</v>
      </c>
      <c r="L10" s="2492"/>
      <c r="M10" s="2492"/>
      <c r="N10" s="2492"/>
      <c r="O10" s="2493"/>
    </row>
    <row r="11" spans="2:32" ht="18" customHeight="1">
      <c r="B11" s="2494" t="s">
        <v>1878</v>
      </c>
      <c r="C11" s="2488"/>
      <c r="D11" s="2488"/>
      <c r="E11" s="2488"/>
      <c r="F11" s="2489"/>
      <c r="G11" s="2488"/>
      <c r="H11" s="2488"/>
      <c r="I11" s="2488"/>
      <c r="J11" s="2495"/>
      <c r="K11" s="2496"/>
      <c r="L11" s="2699" t="s">
        <v>1879</v>
      </c>
      <c r="M11" s="2700"/>
      <c r="N11" s="2700"/>
      <c r="O11" s="2701"/>
      <c r="P11" t="s">
        <v>1880</v>
      </c>
      <c r="R11" s="2497" t="s">
        <v>1881</v>
      </c>
      <c r="S11" s="2497" t="s">
        <v>1882</v>
      </c>
      <c r="T11" s="2498" t="s">
        <v>1883</v>
      </c>
      <c r="U11" s="2499"/>
      <c r="V11" s="2497" t="s">
        <v>1881</v>
      </c>
      <c r="W11" s="2497" t="s">
        <v>1882</v>
      </c>
      <c r="X11" s="2498" t="s">
        <v>1884</v>
      </c>
      <c r="Y11" s="2499"/>
      <c r="Z11" s="2499"/>
      <c r="AA11" s="2500" t="s">
        <v>1885</v>
      </c>
      <c r="AB11" s="2500" t="s">
        <v>1886</v>
      </c>
      <c r="AC11" s="2497" t="s">
        <v>1887</v>
      </c>
      <c r="AD11" s="2497" t="s">
        <v>1888</v>
      </c>
      <c r="AE11" s="2497" t="s">
        <v>1889</v>
      </c>
      <c r="AF11" s="2497" t="s">
        <v>1890</v>
      </c>
    </row>
    <row r="12" spans="2:32" ht="18" customHeight="1">
      <c r="B12" s="2501" t="s">
        <v>1891</v>
      </c>
      <c r="C12" s="2368"/>
      <c r="D12" s="2368"/>
      <c r="E12" s="2368"/>
      <c r="F12" s="2502"/>
      <c r="G12" s="2368"/>
      <c r="H12" s="2503"/>
      <c r="I12" s="2702" t="s">
        <v>1892</v>
      </c>
      <c r="J12" s="2703"/>
      <c r="K12" s="2504" t="e">
        <f>スコア表示!M160</f>
        <v>#VALUE!</v>
      </c>
      <c r="L12" s="2693"/>
      <c r="M12" s="2694"/>
      <c r="N12" s="2694"/>
      <c r="O12" s="2695"/>
      <c r="R12" s="2505"/>
      <c r="S12" s="2505"/>
      <c r="T12" s="2505"/>
      <c r="V12" s="2505"/>
      <c r="W12" s="2505"/>
      <c r="X12" s="2505"/>
      <c r="AA12" s="2506" t="e">
        <f>K12</f>
        <v>#VALUE!</v>
      </c>
      <c r="AB12" s="2507"/>
      <c r="AC12" s="2506" t="e">
        <f>IF(AA12=0,0,5)</f>
        <v>#VALUE!</v>
      </c>
      <c r="AD12" s="2507"/>
      <c r="AE12" s="2508" t="e">
        <f>ROUND(K12,0)</f>
        <v>#VALUE!</v>
      </c>
      <c r="AF12" s="2508" t="e">
        <f>5-AE12</f>
        <v>#VALUE!</v>
      </c>
    </row>
    <row r="13" spans="2:32" ht="5.0999999999999996" customHeight="1">
      <c r="B13" s="1884"/>
      <c r="C13" s="1884"/>
      <c r="D13" s="1884"/>
      <c r="E13" s="1884"/>
      <c r="F13" s="2509"/>
      <c r="G13" s="1884"/>
      <c r="H13" s="1884"/>
      <c r="I13" s="2510"/>
      <c r="J13" s="2510"/>
      <c r="K13" s="2510"/>
      <c r="L13" s="2510"/>
      <c r="M13" s="2510"/>
      <c r="N13" s="2510"/>
      <c r="O13" s="1884"/>
      <c r="R13" s="2511"/>
      <c r="S13" s="2511"/>
      <c r="V13" s="2511"/>
      <c r="W13" s="2511"/>
      <c r="AA13" s="2511"/>
      <c r="AB13" s="2511"/>
      <c r="AC13" s="2512"/>
    </row>
    <row r="14" spans="2:32" ht="100.5" customHeight="1">
      <c r="B14" s="2494" t="s">
        <v>1893</v>
      </c>
      <c r="C14" s="2488"/>
      <c r="D14" s="2488"/>
      <c r="E14" s="2488"/>
      <c r="F14" s="2489"/>
      <c r="G14" s="2488"/>
      <c r="H14" s="2495"/>
      <c r="I14" s="2704"/>
      <c r="J14" s="2705"/>
      <c r="K14" s="2705"/>
      <c r="L14" s="2705"/>
      <c r="M14" s="2705"/>
      <c r="N14" s="2705"/>
      <c r="O14" s="2706"/>
      <c r="R14" s="2511"/>
      <c r="S14" s="2511"/>
      <c r="V14" s="2511"/>
      <c r="W14" s="2511"/>
      <c r="AA14" s="2498"/>
      <c r="AB14" s="2513"/>
      <c r="AC14" s="2514"/>
      <c r="AD14" s="2513"/>
    </row>
    <row r="15" spans="2:32" ht="15" customHeight="1">
      <c r="I15" s="2380"/>
      <c r="J15" s="2380"/>
      <c r="K15" s="2380"/>
      <c r="L15" s="2380"/>
      <c r="M15" s="2380"/>
      <c r="N15" s="2380"/>
      <c r="R15" s="2499"/>
      <c r="S15" s="2499"/>
      <c r="V15" s="2499"/>
      <c r="W15" s="2499"/>
      <c r="AA15" s="2499"/>
      <c r="AB15" s="2499"/>
      <c r="AC15" s="2499"/>
    </row>
    <row r="16" spans="2:32" s="516" customFormat="1" ht="18" customHeight="1">
      <c r="B16" s="2480" t="s">
        <v>1894</v>
      </c>
      <c r="C16" s="2481"/>
      <c r="D16" s="2481"/>
      <c r="E16" s="2481"/>
      <c r="F16" s="2482"/>
      <c r="G16" s="2481"/>
      <c r="H16" s="2481"/>
      <c r="I16" s="2481"/>
      <c r="J16" s="2483"/>
      <c r="K16" s="2515" t="s">
        <v>1876</v>
      </c>
      <c r="L16" s="2485"/>
      <c r="M16" s="2485"/>
      <c r="N16" s="2485"/>
      <c r="O16" s="2485"/>
      <c r="R16" s="2486"/>
      <c r="S16" s="2486"/>
      <c r="T16" s="2486"/>
      <c r="U16" s="2486"/>
      <c r="V16" s="2486"/>
      <c r="W16" s="2486"/>
      <c r="X16" s="2486"/>
      <c r="Y16" s="2486"/>
      <c r="Z16" s="2486"/>
      <c r="AA16" s="2486"/>
      <c r="AB16" s="2486"/>
      <c r="AC16" s="2486"/>
      <c r="AD16" s="2466"/>
      <c r="AE16" s="2486"/>
    </row>
    <row r="17" spans="2:32" ht="30" customHeight="1">
      <c r="B17" s="2516" t="s">
        <v>1895</v>
      </c>
      <c r="C17" s="2517"/>
      <c r="D17" s="2517"/>
      <c r="E17" s="2517"/>
      <c r="F17" s="2518"/>
      <c r="G17" s="2517"/>
      <c r="H17" s="2517"/>
      <c r="I17" s="2519"/>
      <c r="J17" s="2520"/>
      <c r="K17" s="2491">
        <f>AE19</f>
        <v>2</v>
      </c>
      <c r="L17" s="2492"/>
      <c r="M17" s="2492"/>
      <c r="N17" s="2492"/>
      <c r="O17" s="2368"/>
      <c r="R17" s="2499"/>
      <c r="S17" s="2499"/>
      <c r="V17" s="2499"/>
      <c r="W17" s="2499"/>
      <c r="AA17" s="2499"/>
      <c r="AB17" s="2499"/>
      <c r="AC17" s="2499"/>
    </row>
    <row r="18" spans="2:32" ht="18" customHeight="1">
      <c r="B18" s="2521" t="s">
        <v>1896</v>
      </c>
      <c r="C18" s="2522"/>
      <c r="D18" s="2522"/>
      <c r="E18" s="2522"/>
      <c r="F18" s="2523"/>
      <c r="G18" s="2522"/>
      <c r="H18" s="2522"/>
      <c r="I18" s="2524"/>
      <c r="J18" s="2520"/>
      <c r="K18" s="2525" t="s">
        <v>765</v>
      </c>
      <c r="L18" s="2525" t="s">
        <v>222</v>
      </c>
      <c r="M18" s="2707" t="s">
        <v>1897</v>
      </c>
      <c r="N18" s="2708"/>
      <c r="O18" s="2709"/>
      <c r="P18" t="s">
        <v>1880</v>
      </c>
      <c r="R18" s="2526" t="s">
        <v>1881</v>
      </c>
      <c r="S18" s="2526" t="s">
        <v>1882</v>
      </c>
      <c r="T18" s="2498" t="s">
        <v>1883</v>
      </c>
      <c r="U18" s="2499"/>
      <c r="V18" s="2526" t="s">
        <v>1881</v>
      </c>
      <c r="W18" s="2526" t="s">
        <v>1882</v>
      </c>
      <c r="X18" s="2498" t="s">
        <v>1884</v>
      </c>
      <c r="Y18" s="2499"/>
      <c r="Z18" s="2499"/>
      <c r="AA18" s="2526" t="s">
        <v>1885</v>
      </c>
      <c r="AB18" s="2526" t="s">
        <v>1886</v>
      </c>
      <c r="AC18" s="2526" t="s">
        <v>1887</v>
      </c>
      <c r="AD18" s="2526" t="s">
        <v>1888</v>
      </c>
      <c r="AE18" s="2497" t="s">
        <v>1889</v>
      </c>
      <c r="AF18" s="2497" t="s">
        <v>1890</v>
      </c>
    </row>
    <row r="19" spans="2:32" ht="18" customHeight="1">
      <c r="B19" s="2501" t="s">
        <v>1898</v>
      </c>
      <c r="C19" s="2527"/>
      <c r="D19" s="2368"/>
      <c r="E19" s="2368"/>
      <c r="F19" s="2502"/>
      <c r="G19" s="2368"/>
      <c r="H19" s="2503"/>
      <c r="I19" s="2300" t="s">
        <v>557</v>
      </c>
      <c r="J19" s="2301"/>
      <c r="K19" s="2504">
        <f>スコア表示!M24</f>
        <v>3</v>
      </c>
      <c r="L19" s="2504">
        <f>スコア表示!Q24</f>
        <v>3</v>
      </c>
      <c r="M19" s="2693"/>
      <c r="N19" s="2694"/>
      <c r="O19" s="2695"/>
      <c r="R19" s="2508">
        <f>スコア表示!O21</f>
        <v>0.50422873566481596</v>
      </c>
      <c r="S19" s="2508">
        <f>スコア表示!O24</f>
        <v>0.25261096605744127</v>
      </c>
      <c r="T19" s="2508">
        <f>スコア表示!AI6</f>
        <v>1</v>
      </c>
      <c r="V19" s="2508">
        <f>スコア表示!S21</f>
        <v>1</v>
      </c>
      <c r="W19" s="2508">
        <f>スコア表示!S24</f>
        <v>0.37500000000000006</v>
      </c>
      <c r="X19" s="2508">
        <f>スコア表示!AM6</f>
        <v>0</v>
      </c>
      <c r="AA19" s="2506">
        <f>K19*R19*S19*T19</f>
        <v>0.38212112409063403</v>
      </c>
      <c r="AB19" s="2506">
        <f>L19*V19*W19*X19</f>
        <v>0</v>
      </c>
      <c r="AC19" s="2506">
        <f>IF(AA19=0,0,5*R19*S19*T19)</f>
        <v>0.63686854015105676</v>
      </c>
      <c r="AD19" s="2506">
        <f>IF(AB19=0,0,5*V19*W19*X19)</f>
        <v>0</v>
      </c>
      <c r="AE19" s="2508">
        <f>ROUND(5*(AA26+AB26)/(AC26+AD26),0)</f>
        <v>2</v>
      </c>
      <c r="AF19" s="2508">
        <f>5-AE19</f>
        <v>3</v>
      </c>
    </row>
    <row r="20" spans="2:32" ht="18" customHeight="1">
      <c r="B20" s="2501" t="s">
        <v>1899</v>
      </c>
      <c r="C20" s="1174"/>
      <c r="D20" s="1174"/>
      <c r="E20" s="1174"/>
      <c r="F20" s="2528"/>
      <c r="G20" s="1174"/>
      <c r="H20" s="2301"/>
      <c r="I20" s="2300" t="s">
        <v>1900</v>
      </c>
      <c r="J20" s="2301"/>
      <c r="K20" s="2504">
        <f>スコア表示!M118</f>
        <v>0.1</v>
      </c>
      <c r="L20" s="2529"/>
      <c r="M20" s="2693"/>
      <c r="N20" s="2694"/>
      <c r="O20" s="2695"/>
      <c r="R20" s="2505"/>
      <c r="S20" s="2505"/>
      <c r="T20" s="2505"/>
      <c r="V20" s="2505"/>
      <c r="W20" s="2505"/>
      <c r="X20" s="2505"/>
      <c r="AA20" s="2506">
        <f>K20</f>
        <v>0.1</v>
      </c>
      <c r="AB20" s="2507"/>
      <c r="AC20" s="2506">
        <f>IF(AA20=0,0,5)</f>
        <v>5</v>
      </c>
      <c r="AD20" s="2507"/>
      <c r="AE20" s="2530">
        <f>5*(AA26+AB26)/(AC26+AD26)</f>
        <v>2.0248419006070741</v>
      </c>
      <c r="AF20" s="1884"/>
    </row>
    <row r="21" spans="2:32" ht="18" customHeight="1">
      <c r="B21" s="2501" t="s">
        <v>1901</v>
      </c>
      <c r="C21" s="1174"/>
      <c r="D21" s="1174"/>
      <c r="E21" s="1174"/>
      <c r="F21" s="2528"/>
      <c r="G21" s="1174"/>
      <c r="H21" s="2301"/>
      <c r="I21" s="2300" t="s">
        <v>1902</v>
      </c>
      <c r="J21" s="2301"/>
      <c r="K21" s="2504">
        <f>スコア表示!M119</f>
        <v>3</v>
      </c>
      <c r="L21" s="2529"/>
      <c r="M21" s="2693"/>
      <c r="N21" s="2694"/>
      <c r="O21" s="2695"/>
      <c r="R21" s="2505"/>
      <c r="S21" s="2505"/>
      <c r="T21" s="2505"/>
      <c r="V21" s="2505"/>
      <c r="W21" s="2505"/>
      <c r="X21" s="2505"/>
      <c r="AA21" s="2506">
        <f>K21</f>
        <v>3</v>
      </c>
      <c r="AB21" s="2507"/>
      <c r="AC21" s="2506">
        <f>IF(AA21=0,0,5)</f>
        <v>5</v>
      </c>
      <c r="AD21" s="2507"/>
      <c r="AE21" s="2530"/>
      <c r="AF21" s="1884"/>
    </row>
    <row r="22" spans="2:32" ht="18" customHeight="1">
      <c r="B22" s="2501" t="s">
        <v>1903</v>
      </c>
      <c r="C22" s="1174"/>
      <c r="D22" s="1174"/>
      <c r="E22" s="1174"/>
      <c r="F22" s="2528"/>
      <c r="G22" s="1174"/>
      <c r="H22" s="2301"/>
      <c r="I22" s="2300" t="s">
        <v>1904</v>
      </c>
      <c r="J22" s="2301"/>
      <c r="K22" s="2504">
        <f>スコア表示!M124</f>
        <v>0.9</v>
      </c>
      <c r="L22" s="2529"/>
      <c r="M22" s="2693"/>
      <c r="N22" s="2694"/>
      <c r="O22" s="2695"/>
      <c r="R22" s="2505"/>
      <c r="S22" s="2505"/>
      <c r="T22" s="2505"/>
      <c r="V22" s="2505"/>
      <c r="W22" s="2505"/>
      <c r="X22" s="2505"/>
      <c r="AA22" s="2506">
        <f>K22</f>
        <v>0.9</v>
      </c>
      <c r="AB22" s="2507"/>
      <c r="AC22" s="2506">
        <f>IF(AA22=0,0,5)</f>
        <v>5</v>
      </c>
      <c r="AD22" s="2507"/>
      <c r="AE22" s="2530"/>
      <c r="AF22" s="1884"/>
    </row>
    <row r="23" spans="2:32" ht="18" customHeight="1">
      <c r="B23" s="2501" t="s">
        <v>1905</v>
      </c>
      <c r="C23" s="1174"/>
      <c r="D23" s="1174"/>
      <c r="E23" s="1174"/>
      <c r="F23" s="2528"/>
      <c r="G23" s="1174"/>
      <c r="H23" s="2301"/>
      <c r="I23" s="2300" t="s">
        <v>1906</v>
      </c>
      <c r="J23" s="2301"/>
      <c r="K23" s="2504">
        <f>スコア表示!M133</f>
        <v>3</v>
      </c>
      <c r="L23" s="2529"/>
      <c r="M23" s="2693"/>
      <c r="N23" s="2694"/>
      <c r="O23" s="2695"/>
      <c r="R23" s="2505"/>
      <c r="S23" s="2505"/>
      <c r="T23" s="2505"/>
      <c r="V23" s="2505"/>
      <c r="W23" s="2505"/>
      <c r="X23" s="2505"/>
      <c r="AA23" s="2506">
        <f>K23</f>
        <v>3</v>
      </c>
      <c r="AB23" s="2507"/>
      <c r="AC23" s="2506">
        <f>IF(AA23=0,0,5)</f>
        <v>5</v>
      </c>
      <c r="AD23" s="2507"/>
      <c r="AE23" s="2497" t="s">
        <v>1907</v>
      </c>
      <c r="AF23" s="2531">
        <f>IF(AND(メイン!C69=0,メイン!C68&gt;0),0,IF(AND(メイン!C69&gt;0,メイン!C68&gt;0),0,1))</f>
        <v>0</v>
      </c>
    </row>
    <row r="24" spans="2:32" ht="18" customHeight="1">
      <c r="B24" s="2501" t="s">
        <v>1908</v>
      </c>
      <c r="C24" s="1174"/>
      <c r="D24" s="1174"/>
      <c r="E24" s="1174"/>
      <c r="F24" s="2528"/>
      <c r="G24" s="1174"/>
      <c r="H24" s="2301"/>
      <c r="I24" s="2300" t="s">
        <v>1909</v>
      </c>
      <c r="J24" s="2301"/>
      <c r="K24" s="2504">
        <f>スコア表示!M141</f>
        <v>3</v>
      </c>
      <c r="L24" s="2529"/>
      <c r="M24" s="2693"/>
      <c r="N24" s="2694"/>
      <c r="O24" s="2695"/>
      <c r="R24" s="2505"/>
      <c r="S24" s="2505"/>
      <c r="T24" s="2505"/>
      <c r="V24" s="2505"/>
      <c r="W24" s="2505"/>
      <c r="X24" s="2505"/>
      <c r="AA24" s="2506">
        <f>K24</f>
        <v>3</v>
      </c>
      <c r="AB24" s="2507"/>
      <c r="AC24" s="2506">
        <f>IF(AA24=0,0,5)</f>
        <v>5</v>
      </c>
      <c r="AD24" s="2507"/>
      <c r="AE24" s="2530"/>
      <c r="AF24" s="1884"/>
    </row>
    <row r="25" spans="2:32" ht="5.0999999999999996" customHeight="1">
      <c r="B25" s="1884"/>
      <c r="C25" s="1884"/>
      <c r="D25" s="1884"/>
      <c r="E25" s="1884"/>
      <c r="F25" s="2509"/>
      <c r="G25" s="1884"/>
      <c r="H25" s="1884"/>
      <c r="I25" s="1884"/>
      <c r="J25" s="1884"/>
      <c r="K25" s="2510"/>
      <c r="L25" s="2510"/>
      <c r="M25" s="2510"/>
      <c r="N25" s="2510"/>
      <c r="O25" s="1884"/>
      <c r="R25" s="2532"/>
      <c r="S25" s="2532"/>
      <c r="V25" s="2532"/>
      <c r="W25" s="2532"/>
      <c r="AA25" s="2532"/>
      <c r="AB25" s="2532"/>
      <c r="AC25" s="2532"/>
    </row>
    <row r="26" spans="2:32" ht="100.5" customHeight="1">
      <c r="B26" s="2521" t="s">
        <v>1910</v>
      </c>
      <c r="C26" s="2522"/>
      <c r="D26" s="2522"/>
      <c r="E26" s="2522"/>
      <c r="F26" s="2523"/>
      <c r="G26" s="2522"/>
      <c r="H26" s="2533"/>
      <c r="I26" s="2704"/>
      <c r="J26" s="2705"/>
      <c r="K26" s="2705"/>
      <c r="L26" s="2705"/>
      <c r="M26" s="2705"/>
      <c r="N26" s="2705"/>
      <c r="O26" s="2706"/>
      <c r="R26" s="2532"/>
      <c r="S26" s="2532"/>
      <c r="V26" s="2532"/>
      <c r="W26" s="2532"/>
      <c r="AA26" s="2508">
        <f>SUM(AA19:AA24)</f>
        <v>10.382121124090634</v>
      </c>
      <c r="AB26" s="2508">
        <f>SUM(AB19:AB24)</f>
        <v>0</v>
      </c>
      <c r="AC26" s="2508">
        <f>SUM(AC19:AC24)</f>
        <v>25.636868540151056</v>
      </c>
      <c r="AD26" s="2508">
        <f>SUM(AD19:AD24)</f>
        <v>0</v>
      </c>
    </row>
    <row r="27" spans="2:32" ht="15" customHeight="1">
      <c r="I27" s="2380"/>
      <c r="J27" s="2380"/>
      <c r="K27" s="2380"/>
      <c r="L27" s="2380"/>
      <c r="M27" s="2380"/>
      <c r="N27" s="2380"/>
      <c r="R27" s="2499"/>
      <c r="S27" s="2499"/>
      <c r="V27" s="2499"/>
      <c r="W27" s="2499"/>
      <c r="AA27" s="2499"/>
      <c r="AB27" s="2499">
        <f>SUM(AA26:AB26)</f>
        <v>10.382121124090634</v>
      </c>
      <c r="AC27" s="2499"/>
      <c r="AD27" s="2499">
        <f>SUM(AC26:AD26)</f>
        <v>25.636868540151056</v>
      </c>
    </row>
    <row r="28" spans="2:32" s="516" customFormat="1" ht="18" customHeight="1">
      <c r="B28" s="2480" t="s">
        <v>1875</v>
      </c>
      <c r="C28" s="2481"/>
      <c r="D28" s="2481"/>
      <c r="E28" s="2481"/>
      <c r="F28" s="2482"/>
      <c r="G28" s="2481"/>
      <c r="H28" s="2481"/>
      <c r="I28" s="2481"/>
      <c r="J28" s="2483"/>
      <c r="K28" s="2484" t="s">
        <v>1876</v>
      </c>
      <c r="L28" s="2485"/>
      <c r="M28" s="2485"/>
      <c r="N28" s="2485"/>
      <c r="O28" s="2485"/>
      <c r="R28" s="2486"/>
      <c r="S28" s="2486"/>
      <c r="T28" s="2486"/>
      <c r="U28" s="2486"/>
      <c r="V28" s="2486"/>
      <c r="W28" s="2486"/>
      <c r="X28" s="2486"/>
      <c r="Y28" s="2486"/>
      <c r="Z28" s="2486"/>
      <c r="AA28" s="2486"/>
      <c r="AB28" s="2486"/>
      <c r="AC28" s="2486"/>
      <c r="AD28" s="2466"/>
      <c r="AE28" s="2486"/>
    </row>
    <row r="29" spans="2:32" ht="30" customHeight="1">
      <c r="B29" s="2534" t="s">
        <v>1911</v>
      </c>
      <c r="C29" s="2535"/>
      <c r="D29" s="2535"/>
      <c r="E29" s="2535"/>
      <c r="F29" s="2536"/>
      <c r="G29" s="2535"/>
      <c r="H29" s="2535"/>
      <c r="I29" s="2537"/>
      <c r="J29" s="2538"/>
      <c r="K29" s="2491">
        <f>AE31</f>
        <v>3</v>
      </c>
      <c r="L29" s="2492"/>
      <c r="M29" s="2492"/>
      <c r="N29" s="2492"/>
      <c r="O29" s="2368"/>
      <c r="R29" s="2499"/>
      <c r="S29" s="2499"/>
      <c r="V29" s="2499"/>
      <c r="W29" s="2499"/>
      <c r="AA29" s="2499"/>
      <c r="AB29" s="2499"/>
      <c r="AC29" s="2499"/>
    </row>
    <row r="30" spans="2:32" ht="18" customHeight="1">
      <c r="B30" s="2539" t="s">
        <v>1912</v>
      </c>
      <c r="C30" s="2540"/>
      <c r="D30" s="2540"/>
      <c r="E30" s="2540"/>
      <c r="F30" s="2541"/>
      <c r="G30" s="2540"/>
      <c r="H30" s="2540"/>
      <c r="I30" s="2542"/>
      <c r="J30" s="2538"/>
      <c r="K30" s="2543"/>
      <c r="L30" s="2710" t="s">
        <v>1897</v>
      </c>
      <c r="M30" s="2711"/>
      <c r="N30" s="2711"/>
      <c r="O30" s="2712"/>
      <c r="P30" t="s">
        <v>1880</v>
      </c>
      <c r="R30" s="2544" t="s">
        <v>1881</v>
      </c>
      <c r="S30" s="2544" t="s">
        <v>1882</v>
      </c>
      <c r="T30" s="2498" t="s">
        <v>1883</v>
      </c>
      <c r="U30" s="2499"/>
      <c r="V30" s="2544" t="s">
        <v>1881</v>
      </c>
      <c r="W30" s="2544" t="s">
        <v>1882</v>
      </c>
      <c r="X30" s="2498" t="s">
        <v>1884</v>
      </c>
      <c r="Y30" s="2499"/>
      <c r="Z30" s="2499"/>
      <c r="AA30" s="2544" t="s">
        <v>1885</v>
      </c>
      <c r="AB30" s="2544" t="s">
        <v>1886</v>
      </c>
      <c r="AC30" s="2544" t="s">
        <v>1887</v>
      </c>
      <c r="AD30" s="2544" t="s">
        <v>1888</v>
      </c>
      <c r="AE30" s="2497" t="s">
        <v>1889</v>
      </c>
      <c r="AF30" s="2497" t="s">
        <v>1890</v>
      </c>
    </row>
    <row r="31" spans="2:32" ht="18" customHeight="1">
      <c r="B31" s="2501" t="s">
        <v>1913</v>
      </c>
      <c r="C31" s="2368"/>
      <c r="D31" s="2368"/>
      <c r="E31" s="2368"/>
      <c r="F31" s="2502"/>
      <c r="G31" s="2368"/>
      <c r="H31" s="2503"/>
      <c r="I31" s="2300" t="s">
        <v>1914</v>
      </c>
      <c r="J31" s="2301"/>
      <c r="K31" s="2504">
        <f>スコア表示!M110</f>
        <v>3</v>
      </c>
      <c r="L31" s="2693"/>
      <c r="M31" s="2694"/>
      <c r="N31" s="2694"/>
      <c r="O31" s="2695"/>
      <c r="R31" s="2505"/>
      <c r="S31" s="2505"/>
      <c r="T31" s="2505"/>
      <c r="V31" s="2505"/>
      <c r="W31" s="2505"/>
      <c r="X31" s="2505"/>
      <c r="AA31" s="2506">
        <f>K31</f>
        <v>3</v>
      </c>
      <c r="AB31" s="2507"/>
      <c r="AC31" s="2506">
        <f>IF(AA31=0,0,5)</f>
        <v>5</v>
      </c>
      <c r="AD31" s="2507"/>
      <c r="AE31" s="2508">
        <f>ROUND(5*AA35/AC35,0)</f>
        <v>3</v>
      </c>
      <c r="AF31" s="2508">
        <f>5-AE31</f>
        <v>2</v>
      </c>
    </row>
    <row r="32" spans="2:32" ht="18" customHeight="1">
      <c r="B32" s="2501" t="s">
        <v>1915</v>
      </c>
      <c r="C32" s="1174"/>
      <c r="D32" s="1174"/>
      <c r="E32" s="1174"/>
      <c r="F32" s="2528"/>
      <c r="G32" s="1174"/>
      <c r="H32" s="2301"/>
      <c r="I32" s="2300" t="s">
        <v>1916</v>
      </c>
      <c r="J32" s="2301"/>
      <c r="K32" s="2504">
        <f>スコア表示!M114</f>
        <v>3</v>
      </c>
      <c r="L32" s="2693"/>
      <c r="M32" s="2694"/>
      <c r="N32" s="2694"/>
      <c r="O32" s="2695"/>
      <c r="R32" s="2508">
        <f>スコア表示!O114</f>
        <v>0.5</v>
      </c>
      <c r="S32" s="2505"/>
      <c r="T32" s="2505"/>
      <c r="V32" s="2505"/>
      <c r="W32" s="2505"/>
      <c r="X32" s="2505"/>
      <c r="AA32" s="2506">
        <f>K32*R32</f>
        <v>1.5</v>
      </c>
      <c r="AB32" s="2507"/>
      <c r="AC32" s="2506">
        <f>IF(AA32=0,0,5*R32)</f>
        <v>2.5</v>
      </c>
      <c r="AD32" s="2507"/>
      <c r="AE32" s="2508">
        <f>5*AA35/AC35</f>
        <v>3</v>
      </c>
      <c r="AF32" s="2367"/>
    </row>
    <row r="33" spans="2:32" ht="18" customHeight="1">
      <c r="B33" s="2501" t="s">
        <v>1917</v>
      </c>
      <c r="C33" s="1174"/>
      <c r="D33" s="1174"/>
      <c r="E33" s="1174"/>
      <c r="F33" s="2528"/>
      <c r="G33" s="1174"/>
      <c r="H33" s="2301"/>
      <c r="I33" s="2300" t="s">
        <v>1918</v>
      </c>
      <c r="J33" s="2301"/>
      <c r="K33" s="2504">
        <f>スコア表示!M163</f>
        <v>3</v>
      </c>
      <c r="L33" s="2693"/>
      <c r="M33" s="2694"/>
      <c r="N33" s="2694"/>
      <c r="O33" s="2695"/>
      <c r="R33" s="2508">
        <f>スコア表示!O163</f>
        <v>0.5</v>
      </c>
      <c r="S33" s="2505"/>
      <c r="T33" s="2505"/>
      <c r="V33" s="2505"/>
      <c r="W33" s="2505"/>
      <c r="X33" s="2505"/>
      <c r="AA33" s="2506">
        <f>K33*R33</f>
        <v>1.5</v>
      </c>
      <c r="AB33" s="2507"/>
      <c r="AC33" s="2506">
        <f>IF(AA33=0,0,5*R33)</f>
        <v>2.5</v>
      </c>
      <c r="AD33" s="2507"/>
      <c r="AE33" s="2530"/>
      <c r="AF33" s="1884"/>
    </row>
    <row r="34" spans="2:32" ht="5.0999999999999996" customHeight="1">
      <c r="AC34" s="2545"/>
    </row>
    <row r="35" spans="2:32" ht="100.5" customHeight="1">
      <c r="B35" s="2546" t="s">
        <v>1910</v>
      </c>
      <c r="C35" s="2540"/>
      <c r="D35" s="2540"/>
      <c r="E35" s="2540"/>
      <c r="F35" s="2541"/>
      <c r="G35" s="2540"/>
      <c r="H35" s="2547"/>
      <c r="I35" s="2704"/>
      <c r="J35" s="2705"/>
      <c r="K35" s="2705"/>
      <c r="L35" s="2705"/>
      <c r="M35" s="2705"/>
      <c r="N35" s="2705"/>
      <c r="O35" s="2706"/>
      <c r="AA35" s="2508">
        <f>SUM(AA31:AA33)</f>
        <v>6</v>
      </c>
      <c r="AB35" s="2505"/>
      <c r="AC35" s="2508">
        <f>SUM(AC31:AC33)</f>
        <v>10</v>
      </c>
      <c r="AD35" s="2505"/>
    </row>
    <row r="36" spans="2:32" ht="5.0999999999999996" customHeight="1">
      <c r="AC36" s="2545"/>
    </row>
    <row r="37" spans="2:32" hidden="1">
      <c r="AC37" s="2545"/>
    </row>
    <row r="38" spans="2:32" hidden="1"/>
    <row r="39" spans="2:32" hidden="1"/>
    <row r="40" spans="2:32" hidden="1"/>
    <row r="41" spans="2:32" hidden="1"/>
    <row r="42" spans="2:32" hidden="1"/>
    <row r="43" spans="2:32"/>
  </sheetData>
  <sheetProtection password="82B4" sheet="1" objects="1" scenarios="1" selectLockedCells="1"/>
  <mergeCells count="19">
    <mergeCell ref="I35:O35"/>
    <mergeCell ref="M24:O24"/>
    <mergeCell ref="I26:O26"/>
    <mergeCell ref="L30:O30"/>
    <mergeCell ref="L31:O31"/>
    <mergeCell ref="L32:O32"/>
    <mergeCell ref="L33:O33"/>
    <mergeCell ref="M23:O23"/>
    <mergeCell ref="K3:L3"/>
    <mergeCell ref="K6:L6"/>
    <mergeCell ref="L11:O11"/>
    <mergeCell ref="I12:J12"/>
    <mergeCell ref="L12:O12"/>
    <mergeCell ref="I14:O14"/>
    <mergeCell ref="M18:O18"/>
    <mergeCell ref="M19:O19"/>
    <mergeCell ref="M20:O20"/>
    <mergeCell ref="M21:O21"/>
    <mergeCell ref="M22:O22"/>
  </mergeCells>
  <phoneticPr fontId="20"/>
  <conditionalFormatting sqref="L19">
    <cfRule type="expression" dxfId="100" priority="1" stopIfTrue="1">
      <formula>AND($X$19=0)</formula>
    </cfRule>
  </conditionalFormatting>
  <conditionalFormatting sqref="K23">
    <cfRule type="expression" dxfId="99" priority="2" stopIfTrue="1">
      <formula>(AND($AF$23=1))</formula>
    </cfRule>
  </conditionalFormatting>
  <pageMargins left="0.78700000000000003" right="0.78700000000000003" top="0.98399999999999999" bottom="0.98399999999999999" header="0.51200000000000001" footer="0.51200000000000001"/>
  <pageSetup paperSize="9" scale="84" orientation="portrait" r:id="rId1"/>
  <headerFooter alignWithMargins="0">
    <oddHeader>&amp;L&amp;F&amp;R&amp;A</oddHeader>
    <oddFooter>&amp;C&amp;P/&amp;N&amp;R「CASBEE 大阪みらい 改修」2012年版</oddFooter>
  </headerFooter>
  <colBreaks count="2" manualBreakCount="2">
    <brk id="15" max="1048575" man="1"/>
    <brk id="32" max="1048575" man="1"/>
  </colBreaks>
  <drawing r:id="rId2"/>
  <legacyDrawing r:id="rId3"/>
</worksheet>
</file>

<file path=xl/worksheets/sheet10.xml><?xml version="1.0" encoding="utf-8"?>
<worksheet xmlns="http://schemas.openxmlformats.org/spreadsheetml/2006/main" xmlns:r="http://schemas.openxmlformats.org/officeDocument/2006/relationships">
  <sheetPr codeName="Sheet11">
    <pageSetUpPr fitToPage="1"/>
  </sheetPr>
  <dimension ref="A1:AC143"/>
  <sheetViews>
    <sheetView showGridLines="0" zoomScaleNormal="100" zoomScaleSheetLayoutView="100" workbookViewId="0">
      <selection activeCell="K8" sqref="K8"/>
    </sheetView>
  </sheetViews>
  <sheetFormatPr defaultColWidth="0" defaultRowHeight="13.5" zeroHeight="1"/>
  <cols>
    <col min="1" max="2" width="1.375" customWidth="1"/>
    <col min="3" max="3" width="2.125" customWidth="1"/>
    <col min="4" max="4" width="2.5" customWidth="1"/>
    <col min="5" max="8" width="9.5" customWidth="1"/>
    <col min="9" max="9" width="11.375" customWidth="1"/>
    <col min="10" max="13" width="9.5" customWidth="1"/>
    <col min="14" max="14" width="10.75" customWidth="1"/>
    <col min="15" max="15" width="3.25" customWidth="1"/>
    <col min="16" max="16" width="9.5" customWidth="1"/>
    <col min="17" max="17" width="10.75" customWidth="1"/>
    <col min="18" max="18" width="1" customWidth="1"/>
    <col min="19" max="19" width="26.875" hidden="1" customWidth="1"/>
    <col min="20" max="20" width="23.5" hidden="1" customWidth="1"/>
    <col min="21" max="21" width="23.25" hidden="1" customWidth="1"/>
    <col min="22" max="23" width="9.125" hidden="1" customWidth="1"/>
    <col min="24" max="24" width="13.875" hidden="1" customWidth="1"/>
    <col min="25" max="25" width="12.75" hidden="1" customWidth="1"/>
    <col min="26" max="26" width="8.375" hidden="1" customWidth="1"/>
    <col min="27" max="27" width="10.375" hidden="1" customWidth="1"/>
    <col min="28" max="28" width="13.875" hidden="1" customWidth="1"/>
    <col min="29" max="29" width="12.75" hidden="1" customWidth="1"/>
    <col min="30" max="16384" width="9" hidden="1"/>
  </cols>
  <sheetData>
    <row r="1" spans="2:17" s="2638" customFormat="1" ht="14.25" thickBot="1"/>
    <row r="2" spans="2:17" s="2638" customFormat="1" ht="14.25">
      <c r="B2" s="2640"/>
      <c r="C2" s="2641" t="s">
        <v>2026</v>
      </c>
      <c r="D2" s="2642"/>
      <c r="E2" s="2642"/>
      <c r="F2" s="2642"/>
      <c r="G2" s="2642"/>
      <c r="H2" s="2642"/>
      <c r="I2" s="2642"/>
      <c r="J2" s="2642"/>
      <c r="K2" s="2642"/>
      <c r="L2" s="2642"/>
      <c r="M2" s="2642"/>
      <c r="N2" s="2642"/>
      <c r="O2" s="2642"/>
      <c r="P2" s="2642"/>
      <c r="Q2" s="2643"/>
    </row>
    <row r="3" spans="2:17" s="2646" customFormat="1" ht="12">
      <c r="B3" s="2647"/>
      <c r="C3" s="2645" t="s">
        <v>2027</v>
      </c>
      <c r="D3" s="2648"/>
      <c r="E3" s="2648"/>
      <c r="F3" s="2648"/>
      <c r="G3" s="2649"/>
      <c r="H3" s="2649"/>
      <c r="I3" s="2649"/>
      <c r="J3" s="2649"/>
      <c r="K3" s="2649"/>
      <c r="L3" s="2649"/>
      <c r="M3" s="2649"/>
      <c r="N3" s="2649"/>
      <c r="O3" s="2649"/>
      <c r="P3" s="2649"/>
      <c r="Q3" s="2650"/>
    </row>
    <row r="4" spans="2:17" s="2646" customFormat="1" ht="30" customHeight="1">
      <c r="B4" s="2651"/>
      <c r="C4" s="2872"/>
      <c r="D4" s="2877"/>
      <c r="E4" s="2873"/>
      <c r="F4" s="2872" t="s">
        <v>2028</v>
      </c>
      <c r="G4" s="2873"/>
      <c r="H4" s="2676" t="s">
        <v>2043</v>
      </c>
      <c r="I4" s="2676" t="s">
        <v>2044</v>
      </c>
      <c r="J4" s="2652" t="s">
        <v>2029</v>
      </c>
      <c r="K4" s="2638"/>
      <c r="L4" s="2638"/>
      <c r="M4" s="2638"/>
      <c r="N4" s="2649"/>
      <c r="O4" s="2649"/>
      <c r="P4" s="2649"/>
      <c r="Q4" s="2650"/>
    </row>
    <row r="5" spans="2:17" s="2646" customFormat="1" ht="20.100000000000001" customHeight="1">
      <c r="B5" s="2651"/>
      <c r="C5" s="2872" t="s">
        <v>2030</v>
      </c>
      <c r="D5" s="2877"/>
      <c r="E5" s="2873"/>
      <c r="F5" s="2888" t="s">
        <v>2040</v>
      </c>
      <c r="G5" s="2889"/>
      <c r="H5" s="2677"/>
      <c r="I5" s="2677"/>
      <c r="J5" s="2653"/>
      <c r="K5" s="2638"/>
      <c r="L5" s="2638"/>
      <c r="M5" s="2638"/>
      <c r="N5" s="2649"/>
      <c r="O5" s="2649"/>
      <c r="P5" s="2649"/>
      <c r="Q5" s="2650"/>
    </row>
    <row r="6" spans="2:17" s="2646" customFormat="1" ht="12">
      <c r="B6" s="2647"/>
      <c r="C6" s="2648"/>
      <c r="D6" s="2648"/>
      <c r="E6" s="2648"/>
      <c r="F6" s="2648"/>
      <c r="G6" s="2649"/>
      <c r="H6" s="2649"/>
      <c r="I6" s="2649"/>
      <c r="J6" s="2649"/>
      <c r="K6" s="2649"/>
      <c r="L6" s="2649"/>
      <c r="M6" s="2649"/>
      <c r="N6" s="2649"/>
      <c r="O6" s="2649"/>
      <c r="P6" s="2649"/>
      <c r="Q6" s="2650"/>
    </row>
    <row r="7" spans="2:17" s="2646" customFormat="1" ht="60" customHeight="1">
      <c r="B7" s="2651"/>
      <c r="C7" s="2872"/>
      <c r="D7" s="2877"/>
      <c r="E7" s="2873"/>
      <c r="F7" s="2872" t="s">
        <v>2028</v>
      </c>
      <c r="G7" s="2873"/>
      <c r="H7" s="2676" t="s">
        <v>2045</v>
      </c>
      <c r="I7" s="2676" t="s">
        <v>2044</v>
      </c>
      <c r="J7" s="2675" t="s">
        <v>2046</v>
      </c>
      <c r="K7" s="2664" t="s">
        <v>2048</v>
      </c>
      <c r="L7" s="2890" t="s">
        <v>2049</v>
      </c>
      <c r="M7" s="2890"/>
      <c r="N7" s="2654"/>
      <c r="O7" s="2649"/>
      <c r="Q7" s="2650"/>
    </row>
    <row r="8" spans="2:17" s="2646" customFormat="1" ht="20.100000000000001" customHeight="1">
      <c r="B8" s="2651"/>
      <c r="C8" s="2891" t="s">
        <v>2031</v>
      </c>
      <c r="D8" s="2892"/>
      <c r="E8" s="2893"/>
      <c r="F8" s="2888" t="s">
        <v>2041</v>
      </c>
      <c r="G8" s="2889"/>
      <c r="H8" s="2677"/>
      <c r="I8" s="2677"/>
      <c r="J8" s="2652"/>
      <c r="K8" s="2678"/>
      <c r="L8" s="2874"/>
      <c r="M8" s="2874"/>
      <c r="N8" s="2654"/>
      <c r="O8" s="2649"/>
      <c r="Q8" s="2650"/>
    </row>
    <row r="9" spans="2:17" s="2646" customFormat="1" ht="12">
      <c r="B9" s="2647"/>
      <c r="C9" s="2648"/>
      <c r="D9" s="2648"/>
      <c r="E9" s="2648"/>
      <c r="F9" s="2648"/>
      <c r="G9" s="2649"/>
      <c r="H9" s="2649"/>
      <c r="I9" s="2649"/>
      <c r="J9" s="2649"/>
      <c r="K9" s="2649"/>
      <c r="L9" s="2649"/>
      <c r="M9" s="2649"/>
      <c r="N9" s="2649"/>
      <c r="O9" s="2649"/>
      <c r="P9" s="2649"/>
      <c r="Q9" s="2650"/>
    </row>
    <row r="10" spans="2:17" s="2646" customFormat="1" ht="12">
      <c r="B10" s="2651"/>
      <c r="C10" s="2649" t="s">
        <v>2032</v>
      </c>
      <c r="D10" s="2648"/>
      <c r="E10" s="2648"/>
      <c r="F10" s="2648"/>
      <c r="G10" s="2648"/>
      <c r="H10" s="2648"/>
      <c r="I10" s="2649"/>
      <c r="J10" s="2649"/>
      <c r="K10" s="2649"/>
      <c r="L10" s="2649"/>
      <c r="M10" s="2649"/>
      <c r="N10" s="2649"/>
      <c r="O10" s="2649"/>
      <c r="P10" s="2649"/>
      <c r="Q10" s="2650"/>
    </row>
    <row r="11" spans="2:17" s="2646" customFormat="1" ht="30" customHeight="1">
      <c r="B11" s="2651"/>
      <c r="C11" s="2874"/>
      <c r="D11" s="2874"/>
      <c r="E11" s="2874"/>
      <c r="F11" s="2874"/>
      <c r="G11" s="2874"/>
      <c r="H11" s="2872" t="s">
        <v>2033</v>
      </c>
      <c r="I11" s="2873"/>
      <c r="J11" s="2638"/>
      <c r="K11" s="2638"/>
      <c r="L11" s="2638"/>
      <c r="M11" s="2638"/>
      <c r="N11" s="2649"/>
      <c r="O11" s="2649"/>
      <c r="P11" s="2649"/>
      <c r="Q11" s="2650"/>
    </row>
    <row r="12" spans="2:17" s="2646" customFormat="1" ht="20.100000000000001" customHeight="1">
      <c r="B12" s="2651"/>
      <c r="C12" s="2874" t="s">
        <v>2030</v>
      </c>
      <c r="D12" s="2874"/>
      <c r="E12" s="2874"/>
      <c r="F12" s="2874"/>
      <c r="G12" s="2874"/>
      <c r="H12" s="2875" t="s">
        <v>2034</v>
      </c>
      <c r="I12" s="2876"/>
      <c r="J12" s="2638"/>
      <c r="K12" s="2638"/>
      <c r="L12" s="2638"/>
      <c r="M12" s="2638"/>
      <c r="N12" s="2649"/>
      <c r="O12" s="2649"/>
      <c r="P12" s="2649"/>
      <c r="Q12" s="2650"/>
    </row>
    <row r="13" spans="2:17" s="2646" customFormat="1" ht="12">
      <c r="B13" s="2651"/>
      <c r="C13" s="2655"/>
      <c r="D13" s="2656"/>
      <c r="E13" s="2645"/>
      <c r="F13" s="2655"/>
      <c r="G13" s="2648"/>
      <c r="H13" s="2648"/>
      <c r="I13" s="2649"/>
      <c r="J13" s="2649"/>
      <c r="K13" s="2649"/>
      <c r="L13" s="2649"/>
      <c r="M13" s="2649"/>
      <c r="N13" s="2649"/>
      <c r="O13" s="2649"/>
      <c r="P13" s="2649"/>
      <c r="Q13" s="2650"/>
    </row>
    <row r="14" spans="2:17" s="2646" customFormat="1" ht="12">
      <c r="B14" s="2651"/>
      <c r="C14" s="2655" t="s">
        <v>2035</v>
      </c>
      <c r="D14" s="2656"/>
      <c r="E14" s="2645"/>
      <c r="F14" s="2655" t="s">
        <v>2042</v>
      </c>
      <c r="G14" s="2648"/>
      <c r="H14" s="2648"/>
      <c r="I14" s="2649"/>
      <c r="J14" s="2649"/>
      <c r="K14" s="2649"/>
      <c r="L14" s="2649"/>
      <c r="M14" s="2649"/>
      <c r="N14" s="2649"/>
      <c r="O14" s="2649"/>
      <c r="P14" s="2649"/>
      <c r="Q14" s="2650"/>
    </row>
    <row r="15" spans="2:17" s="2646" customFormat="1" ht="60" customHeight="1">
      <c r="B15" s="2651"/>
      <c r="C15" s="2872"/>
      <c r="D15" s="2877"/>
      <c r="E15" s="2877"/>
      <c r="F15" s="2877"/>
      <c r="G15" s="2873"/>
      <c r="H15" s="2676" t="s">
        <v>2045</v>
      </c>
      <c r="I15" s="2676" t="s">
        <v>2044</v>
      </c>
      <c r="J15" s="2664" t="s">
        <v>2051</v>
      </c>
      <c r="K15" s="2664" t="s">
        <v>2048</v>
      </c>
      <c r="L15" s="2654"/>
      <c r="M15" s="2649"/>
      <c r="N15" s="2649"/>
      <c r="Q15" s="2650"/>
    </row>
    <row r="16" spans="2:17" s="2646" customFormat="1" ht="20.100000000000001" customHeight="1">
      <c r="B16" s="2657"/>
      <c r="C16" s="2872" t="s">
        <v>2031</v>
      </c>
      <c r="D16" s="2877"/>
      <c r="E16" s="2877"/>
      <c r="F16" s="2877"/>
      <c r="G16" s="2873"/>
      <c r="H16" s="2678"/>
      <c r="I16" s="2678"/>
      <c r="J16" s="2678"/>
      <c r="K16" s="2678"/>
      <c r="L16" s="2654"/>
      <c r="M16" s="2649"/>
      <c r="N16" s="2649"/>
      <c r="Q16" s="2650"/>
    </row>
    <row r="17" spans="1:29" s="2663" customFormat="1" ht="30" customHeight="1">
      <c r="A17" s="2658"/>
      <c r="B17" s="2659"/>
      <c r="C17" s="2660"/>
      <c r="D17" s="2660"/>
      <c r="E17" s="2660"/>
      <c r="F17" s="2660"/>
      <c r="G17" s="2660"/>
      <c r="H17" s="2894" t="s">
        <v>2036</v>
      </c>
      <c r="I17" s="2894"/>
      <c r="J17" s="2894"/>
      <c r="K17" s="2894"/>
      <c r="L17" s="2895"/>
      <c r="M17" s="2895"/>
      <c r="N17" s="2895"/>
      <c r="O17" s="2661"/>
      <c r="P17" s="2661"/>
      <c r="Q17" s="2662"/>
    </row>
    <row r="18" spans="1:29" s="2646" customFormat="1" ht="12">
      <c r="B18" s="2651"/>
      <c r="C18" s="2655" t="s">
        <v>2037</v>
      </c>
      <c r="D18" s="2655"/>
      <c r="E18" s="2648"/>
      <c r="F18" s="2648"/>
      <c r="G18" s="2648"/>
      <c r="H18" s="2648"/>
      <c r="I18" s="2648"/>
      <c r="J18" s="2649"/>
      <c r="K18" s="2649"/>
      <c r="L18" s="2649"/>
      <c r="M18" s="2649"/>
      <c r="N18" s="2649"/>
      <c r="O18" s="2649"/>
      <c r="P18" s="2649"/>
      <c r="Q18" s="2650"/>
    </row>
    <row r="19" spans="1:29" s="2646" customFormat="1" ht="60" customHeight="1">
      <c r="B19" s="2651"/>
      <c r="C19" s="2870"/>
      <c r="D19" s="2870"/>
      <c r="E19" s="2870"/>
      <c r="F19" s="2870"/>
      <c r="G19" s="2870"/>
      <c r="H19" s="2676" t="s">
        <v>2045</v>
      </c>
      <c r="I19" s="2676" t="s">
        <v>2044</v>
      </c>
      <c r="J19" s="2675"/>
      <c r="K19" s="2664" t="s">
        <v>2048</v>
      </c>
      <c r="L19" s="2649"/>
      <c r="M19" s="2649"/>
      <c r="N19" s="2649"/>
      <c r="O19" s="2649"/>
      <c r="P19" s="2649"/>
      <c r="Q19" s="2650"/>
    </row>
    <row r="20" spans="1:29" s="2646" customFormat="1" ht="20.100000000000001" customHeight="1">
      <c r="B20" s="2651"/>
      <c r="C20" s="2871" t="s">
        <v>2031</v>
      </c>
      <c r="D20" s="2871"/>
      <c r="E20" s="2871"/>
      <c r="F20" s="2871"/>
      <c r="G20" s="2871"/>
      <c r="H20" s="2679"/>
      <c r="I20" s="2679"/>
      <c r="J20" s="2680"/>
      <c r="K20" s="2679"/>
      <c r="L20" s="2649"/>
      <c r="M20" s="2649"/>
      <c r="N20" s="2649"/>
      <c r="O20" s="2649"/>
      <c r="P20" s="2649"/>
      <c r="Q20" s="2650"/>
    </row>
    <row r="21" spans="1:29" s="2638" customFormat="1" hidden="1">
      <c r="B21" s="2644"/>
      <c r="C21" s="1884"/>
      <c r="D21" s="1884"/>
      <c r="E21" s="1884"/>
      <c r="F21" s="1884"/>
      <c r="G21" s="1884"/>
      <c r="H21" s="1884"/>
      <c r="I21" s="1884"/>
      <c r="J21" s="1884"/>
      <c r="K21" s="1884"/>
      <c r="L21" s="1884"/>
      <c r="M21" s="1884"/>
      <c r="N21" s="1884"/>
      <c r="O21" s="1884"/>
      <c r="P21" s="1884"/>
      <c r="Q21" s="1142"/>
    </row>
    <row r="22" spans="1:29" s="2638" customFormat="1" ht="14.25" thickBot="1">
      <c r="B22" s="2665"/>
      <c r="C22" s="2666"/>
      <c r="D22" s="2666"/>
      <c r="E22" s="2666"/>
      <c r="F22" s="2666"/>
      <c r="G22" s="2666"/>
      <c r="H22" s="2666"/>
      <c r="I22" s="2666"/>
      <c r="J22" s="2666"/>
      <c r="K22" s="2666"/>
      <c r="L22" s="2666"/>
      <c r="M22" s="2666"/>
      <c r="N22" s="2666"/>
      <c r="O22" s="2666"/>
      <c r="P22" s="2666"/>
      <c r="Q22" s="2667"/>
    </row>
    <row r="23" spans="1:29" s="2638" customFormat="1"/>
    <row r="24" spans="1:29" ht="9.75" customHeight="1" thickBot="1"/>
    <row r="25" spans="1:29" ht="25.5" customHeight="1">
      <c r="B25" s="2101"/>
      <c r="C25" s="2102" t="s">
        <v>1196</v>
      </c>
      <c r="D25" s="2103"/>
      <c r="E25" s="2103"/>
      <c r="F25" s="2104"/>
      <c r="G25" s="2104"/>
      <c r="H25" s="2105"/>
      <c r="I25" s="2103"/>
      <c r="J25" s="2106"/>
      <c r="K25" s="2106"/>
      <c r="L25" s="2106"/>
      <c r="M25" s="2107" t="s">
        <v>742</v>
      </c>
      <c r="N25" s="2108" t="str">
        <f>メイン!C11</f>
        <v>旧ビル</v>
      </c>
      <c r="O25" s="2108"/>
      <c r="P25" s="2109"/>
      <c r="Q25" s="2110"/>
    </row>
    <row r="26" spans="1:29">
      <c r="B26" s="2111"/>
      <c r="C26" s="2112"/>
      <c r="D26" s="2112"/>
      <c r="E26" s="2112"/>
      <c r="F26" s="2112"/>
      <c r="G26" s="2112"/>
      <c r="H26" s="2112"/>
      <c r="I26" s="2112"/>
      <c r="J26" s="2112"/>
      <c r="K26" s="2112"/>
      <c r="L26" s="2112"/>
      <c r="M26" s="2112"/>
      <c r="N26" s="2112"/>
      <c r="O26" s="2112"/>
      <c r="P26" s="2112"/>
      <c r="Q26" s="2113"/>
      <c r="S26" s="2690" t="s">
        <v>2054</v>
      </c>
      <c r="U26" s="2114" t="s">
        <v>1197</v>
      </c>
      <c r="V26" s="2072">
        <f>IF($I$29&lt;=W32,V33,IF($I$29&lt;=W31,V32,IF($I$29&lt;=W30,V31,IF($I$29&lt;=W29,V30,1))))</f>
        <v>1</v>
      </c>
      <c r="X26">
        <f>VLOOKUP($V$26,V29:Y33,3)</f>
        <v>0</v>
      </c>
      <c r="Y26">
        <f>VLOOKUP($V$26,V29:Y33,4)</f>
        <v>1</v>
      </c>
      <c r="Z26" s="2072">
        <f>IF($I$29&lt;=AA32,Z33,IF($I$29&lt;=AA31,Z32,IF($I$29&lt;=AA30,Z31,IF($I$29&lt;=AA29,Z30,1))))</f>
        <v>1</v>
      </c>
      <c r="AB26">
        <f>VLOOKUP($Z$26,Z29:AC33,3)</f>
        <v>0</v>
      </c>
      <c r="AC26">
        <f>VLOOKUP($Z$26,Z29:AC33,4)</f>
        <v>1</v>
      </c>
    </row>
    <row r="27" spans="1:29">
      <c r="B27" s="2111"/>
      <c r="C27" s="2112"/>
      <c r="D27" s="2112"/>
      <c r="E27" s="2112"/>
      <c r="F27" s="2112"/>
      <c r="G27" s="2112"/>
      <c r="H27" s="2112"/>
      <c r="I27" s="2115" t="s">
        <v>1198</v>
      </c>
      <c r="J27" s="2112"/>
      <c r="K27" s="2112"/>
      <c r="L27" s="2112"/>
      <c r="M27" s="2115" t="s">
        <v>1199</v>
      </c>
      <c r="N27" s="2112"/>
      <c r="O27" s="2112"/>
      <c r="P27" s="2112"/>
      <c r="Q27" s="2113"/>
      <c r="S27" s="2690" t="s">
        <v>2055</v>
      </c>
      <c r="U27" s="2114" t="s">
        <v>1200</v>
      </c>
      <c r="V27" s="2072">
        <f>IF($I$29&lt;=W39,V39,IF($I$29&lt;=W38,V38,IF($I$29&lt;=W37,V37,1)))</f>
        <v>1</v>
      </c>
      <c r="Z27" s="2072">
        <f>IF($I$29&lt;=AA39,Z39,IF($I$29&lt;=AA38,Z38,IF($I$29&lt;=AA37,Z37,IF($I$29&lt;=AA36,Z36,1))))</f>
        <v>1</v>
      </c>
    </row>
    <row r="28" spans="1:29" ht="14.25" thickBot="1">
      <c r="B28" s="2111"/>
      <c r="C28" s="2116" t="s">
        <v>1201</v>
      </c>
      <c r="D28" s="2115" t="s">
        <v>1202</v>
      </c>
      <c r="E28" s="2112"/>
      <c r="F28" s="2112"/>
      <c r="G28" s="2112"/>
      <c r="H28" s="2112"/>
      <c r="I28" s="2112"/>
      <c r="J28" s="2112"/>
      <c r="K28" s="2112"/>
      <c r="L28" s="2112"/>
      <c r="M28" s="2112"/>
      <c r="N28" s="2112"/>
      <c r="O28" s="2112"/>
      <c r="P28" s="2112"/>
      <c r="Q28" s="2113"/>
      <c r="T28" t="s">
        <v>770</v>
      </c>
      <c r="U28" t="s">
        <v>1203</v>
      </c>
      <c r="V28" s="1" t="s">
        <v>1204</v>
      </c>
      <c r="W28" s="1" t="s">
        <v>1205</v>
      </c>
      <c r="X28" t="s">
        <v>1030</v>
      </c>
      <c r="Y28" t="s">
        <v>1031</v>
      </c>
      <c r="Z28" s="1" t="s">
        <v>1204</v>
      </c>
      <c r="AA28" s="1" t="s">
        <v>1715</v>
      </c>
      <c r="AB28" t="s">
        <v>1030</v>
      </c>
      <c r="AC28" t="s">
        <v>1031</v>
      </c>
    </row>
    <row r="29" spans="1:29" ht="14.25" thickBot="1">
      <c r="B29" s="2111"/>
      <c r="C29" s="2112"/>
      <c r="D29" s="2115"/>
      <c r="E29" s="2878" t="str">
        <f>F5 &amp; "での評価"</f>
        <v>BPI（標準法）での評価</v>
      </c>
      <c r="F29" s="2879"/>
      <c r="G29" s="2880"/>
      <c r="H29" s="2117" t="str">
        <f>IF(E29=S26,U26,U27)</f>
        <v>BPI=</v>
      </c>
      <c r="I29" s="2668" t="str">
        <f>IF(F5="BPI（標準法）",IF(OR(H5="",I5=""),"",I5/H5),IF(J5="","",J5))</f>
        <v/>
      </c>
      <c r="J29" s="2112"/>
      <c r="K29" s="2112"/>
      <c r="L29" s="2118" t="s">
        <v>1206</v>
      </c>
      <c r="M29" s="2669" t="str">
        <f>IF(H12="","",H12)</f>
        <v>等級4</v>
      </c>
      <c r="N29" s="2112"/>
      <c r="O29" s="2112"/>
      <c r="P29" s="2112"/>
      <c r="Q29" s="2113"/>
      <c r="T29" t="s">
        <v>188</v>
      </c>
      <c r="V29" s="1">
        <v>1</v>
      </c>
      <c r="W29" s="1">
        <v>1.03</v>
      </c>
      <c r="X29" s="2072">
        <v>0</v>
      </c>
      <c r="Y29" s="2072">
        <v>1</v>
      </c>
      <c r="Z29" s="1">
        <v>1</v>
      </c>
      <c r="AA29" s="1">
        <v>1.03</v>
      </c>
      <c r="AB29" s="2072">
        <v>0</v>
      </c>
      <c r="AC29" s="2072">
        <v>1</v>
      </c>
    </row>
    <row r="30" spans="1:29" ht="5.25" customHeight="1">
      <c r="B30" s="2111"/>
      <c r="C30" s="2112"/>
      <c r="D30" s="2112"/>
      <c r="E30" s="2112"/>
      <c r="F30" s="2112"/>
      <c r="G30" s="2112"/>
      <c r="H30" s="2112"/>
      <c r="I30" s="2112"/>
      <c r="J30" s="2112"/>
      <c r="K30" s="2112"/>
      <c r="L30" s="2112"/>
      <c r="M30" s="2112"/>
      <c r="N30" s="2112"/>
      <c r="O30" s="2112"/>
      <c r="P30" s="2112"/>
      <c r="Q30" s="2113"/>
      <c r="T30" t="s">
        <v>189</v>
      </c>
      <c r="V30" s="1">
        <v>2</v>
      </c>
      <c r="W30" s="1">
        <v>1</v>
      </c>
      <c r="X30">
        <f>(V30-V29)/(W30-W29)</f>
        <v>-33.3333333333333</v>
      </c>
      <c r="Y30">
        <f>V30-X30*W30</f>
        <v>35.3333333333333</v>
      </c>
      <c r="Z30" s="1">
        <v>2</v>
      </c>
      <c r="AA30" s="1">
        <v>1</v>
      </c>
      <c r="AB30">
        <f>(Z30-Z29)/(AA30-AA29)</f>
        <v>-33.3333333333333</v>
      </c>
      <c r="AC30">
        <f>Z30-AB30*AA30</f>
        <v>35.3333333333333</v>
      </c>
    </row>
    <row r="31" spans="1:29">
      <c r="B31" s="2111"/>
      <c r="C31" s="2112"/>
      <c r="D31" s="2112"/>
      <c r="E31" s="2112"/>
      <c r="F31" s="2112"/>
      <c r="G31" s="2112"/>
      <c r="H31" s="2112"/>
      <c r="I31" s="2120" t="str">
        <f>W28</f>
        <v>1～7地域</v>
      </c>
      <c r="J31" s="2120" t="str">
        <f>AA28</f>
        <v>８地域</v>
      </c>
      <c r="K31" s="2112"/>
      <c r="L31" s="2112"/>
      <c r="M31" s="2112"/>
      <c r="N31" s="2112"/>
      <c r="O31" s="2112"/>
      <c r="P31" s="2112"/>
      <c r="Q31" s="2113"/>
      <c r="T31" t="s">
        <v>190</v>
      </c>
      <c r="V31" s="1">
        <v>3</v>
      </c>
      <c r="W31" s="1">
        <v>0.97</v>
      </c>
      <c r="X31">
        <f>(V31-V30)/(W31-W30)</f>
        <v>-33.3333333333333</v>
      </c>
      <c r="Y31">
        <f>V31-X31*W31</f>
        <v>35.3333333333333</v>
      </c>
      <c r="Z31" s="1">
        <v>3</v>
      </c>
      <c r="AA31" s="1">
        <v>0.97</v>
      </c>
      <c r="AB31">
        <f>(Z31-Z30)/(AA31-AA30)</f>
        <v>-33.3333333333333</v>
      </c>
      <c r="AC31">
        <f>Z31-AB31*AA31</f>
        <v>35.3333333333333</v>
      </c>
    </row>
    <row r="32" spans="1:29">
      <c r="B32" s="2111"/>
      <c r="C32" s="2112"/>
      <c r="D32" s="2112"/>
      <c r="E32" s="2112"/>
      <c r="F32" s="2112" t="s">
        <v>1204</v>
      </c>
      <c r="G32" s="2112"/>
      <c r="H32" s="2118" t="s">
        <v>1207</v>
      </c>
      <c r="I32" s="2121" t="e">
        <f>IF(I29&lt;=0.8,5,I29*X26+Y26)</f>
        <v>#VALUE!</v>
      </c>
      <c r="J32" s="2121" t="e">
        <f>IF(I29&lt;=0.85,5,I29*AB26+AC26)</f>
        <v>#VALUE!</v>
      </c>
      <c r="K32" s="2112"/>
      <c r="L32" s="2112"/>
      <c r="M32" s="2112"/>
      <c r="N32" s="2112"/>
      <c r="O32" s="2112"/>
      <c r="P32" s="2112"/>
      <c r="Q32" s="2113"/>
      <c r="T32" t="s">
        <v>191</v>
      </c>
      <c r="V32" s="1">
        <v>4</v>
      </c>
      <c r="W32" s="1">
        <v>0.9</v>
      </c>
      <c r="X32">
        <f>(V32-V31)/(W32-W31)</f>
        <v>-14.285714285714295</v>
      </c>
      <c r="Y32">
        <f>V32-X32*W32</f>
        <v>16.857142857142868</v>
      </c>
      <c r="Z32" s="1">
        <v>4</v>
      </c>
      <c r="AA32" s="1">
        <v>0.93</v>
      </c>
      <c r="AB32">
        <f>(Z32-Z31)/(AA32-AA31)</f>
        <v>-25.000000000000046</v>
      </c>
      <c r="AC32">
        <f>Z32-AB32*AA32</f>
        <v>27.250000000000043</v>
      </c>
    </row>
    <row r="33" spans="2:29">
      <c r="B33" s="2111"/>
      <c r="C33" s="2112"/>
      <c r="D33" s="2112"/>
      <c r="E33" s="2112"/>
      <c r="F33" s="2112"/>
      <c r="G33" s="2112"/>
      <c r="H33" s="2118" t="s">
        <v>1208</v>
      </c>
      <c r="I33" s="2121">
        <f>V27</f>
        <v>1</v>
      </c>
      <c r="J33" s="2121">
        <f>Z27</f>
        <v>1</v>
      </c>
      <c r="K33" s="2112"/>
      <c r="L33" s="2112"/>
      <c r="M33" s="2112"/>
      <c r="N33" s="2112"/>
      <c r="O33" s="2112"/>
      <c r="P33" s="2112"/>
      <c r="Q33" s="2113"/>
      <c r="T33" t="s">
        <v>769</v>
      </c>
      <c r="V33" s="1">
        <v>5</v>
      </c>
      <c r="W33" s="1">
        <v>0.8</v>
      </c>
      <c r="X33">
        <f>(V33-V32)/(W33-W32)</f>
        <v>-10.000000000000002</v>
      </c>
      <c r="Y33">
        <f>V33-X33*W33</f>
        <v>13.000000000000002</v>
      </c>
      <c r="Z33" s="1">
        <v>5</v>
      </c>
      <c r="AA33" s="1">
        <v>0.85</v>
      </c>
      <c r="AB33">
        <f>(Z33-Z32)/(AA33-AA32)</f>
        <v>-12.499999999999989</v>
      </c>
      <c r="AC33">
        <f>Z33-AB33*AA33</f>
        <v>15.624999999999991</v>
      </c>
    </row>
    <row r="34" spans="2:29" ht="5.25" customHeight="1" thickBot="1">
      <c r="B34" s="2111"/>
      <c r="C34" s="2112"/>
      <c r="D34" s="2112"/>
      <c r="E34" s="2112"/>
      <c r="F34" s="2112"/>
      <c r="G34" s="2112"/>
      <c r="H34" s="2118"/>
      <c r="I34" s="2122"/>
      <c r="J34" s="2122"/>
      <c r="K34" s="2112"/>
      <c r="L34" s="2112"/>
      <c r="M34" s="2123"/>
      <c r="N34" s="2112"/>
      <c r="O34" s="2112"/>
      <c r="P34" s="2112"/>
      <c r="Q34" s="2113"/>
    </row>
    <row r="35" spans="2:29" ht="14.25" thickBot="1">
      <c r="B35" s="2111"/>
      <c r="C35" s="2112"/>
      <c r="D35" s="2112"/>
      <c r="E35" s="2115"/>
      <c r="F35" s="2112" t="s">
        <v>1209</v>
      </c>
      <c r="G35" s="2120" t="str">
        <f>メイン!H13</f>
        <v>６地域</v>
      </c>
      <c r="H35" s="2112"/>
      <c r="I35" s="2124">
        <f>IF(I29="",0,IF(E29=S26,IF(G35=AA28,J32,I32),IF(G35=AA28,J33,I33)))</f>
        <v>0</v>
      </c>
      <c r="J35" s="2112"/>
      <c r="K35" s="2112"/>
      <c r="L35" s="2112"/>
      <c r="M35" s="2124">
        <f>IF(M29="",$T33,IF(M29=T32,5,IF(M29=T31,3,IF(M29=T30,2,1))))</f>
        <v>5</v>
      </c>
      <c r="N35" s="2112"/>
      <c r="O35" s="2112"/>
      <c r="P35" s="2112"/>
      <c r="Q35" s="2113"/>
      <c r="U35" t="s">
        <v>1210</v>
      </c>
      <c r="V35" s="1" t="s">
        <v>1204</v>
      </c>
      <c r="W35" s="1" t="s">
        <v>1205</v>
      </c>
      <c r="Z35" s="1" t="s">
        <v>1204</v>
      </c>
      <c r="AA35" s="1" t="s">
        <v>1715</v>
      </c>
    </row>
    <row r="36" spans="2:29" ht="6.75" customHeight="1">
      <c r="B36" s="2111"/>
      <c r="C36" s="2112"/>
      <c r="D36" s="2112"/>
      <c r="E36" s="2115"/>
      <c r="F36" s="2112"/>
      <c r="G36" s="2112"/>
      <c r="H36" s="2112"/>
      <c r="I36" s="2112"/>
      <c r="J36" s="2112"/>
      <c r="K36" s="2112"/>
      <c r="L36" s="2112"/>
      <c r="M36" s="2112"/>
      <c r="N36" s="2112"/>
      <c r="O36" s="2112"/>
      <c r="P36" s="2112"/>
      <c r="Q36" s="2113"/>
      <c r="V36" s="1">
        <v>1</v>
      </c>
      <c r="W36" s="1"/>
      <c r="Z36" s="1">
        <v>1</v>
      </c>
      <c r="AA36" s="1"/>
    </row>
    <row r="37" spans="2:29">
      <c r="B37" s="2111"/>
      <c r="C37" s="2112"/>
      <c r="D37" s="2112"/>
      <c r="E37" s="2115"/>
      <c r="F37" s="2112"/>
      <c r="G37" s="2112"/>
      <c r="H37" s="2118" t="s">
        <v>1211</v>
      </c>
      <c r="I37" s="1874">
        <f>H117-H114</f>
        <v>15000</v>
      </c>
      <c r="J37" s="2112" t="s">
        <v>1212</v>
      </c>
      <c r="K37" s="2112"/>
      <c r="L37" s="2112"/>
      <c r="M37" s="1874">
        <f>M52+N52</f>
        <v>320</v>
      </c>
      <c r="N37" s="2112" t="s">
        <v>1213</v>
      </c>
      <c r="O37" s="2112"/>
      <c r="P37" s="2112"/>
      <c r="Q37" s="2113"/>
      <c r="V37" s="1">
        <v>2</v>
      </c>
      <c r="W37" s="1">
        <v>1</v>
      </c>
      <c r="Z37" s="1">
        <v>2</v>
      </c>
      <c r="AA37" s="1">
        <v>1</v>
      </c>
    </row>
    <row r="38" spans="2:29">
      <c r="B38" s="2111"/>
      <c r="C38" s="2112"/>
      <c r="D38" s="2112"/>
      <c r="E38" s="2115"/>
      <c r="F38" s="2112"/>
      <c r="G38" s="2112"/>
      <c r="H38" s="2118" t="s">
        <v>1214</v>
      </c>
      <c r="I38" s="2125">
        <f>IF(I37+M37=0,0,I37/(I37+M37))</f>
        <v>0.97911227154046998</v>
      </c>
      <c r="J38" s="2112"/>
      <c r="K38" s="2112"/>
      <c r="L38" s="2118"/>
      <c r="M38" s="2125">
        <f>IF(I37+M37=0,0,M37/(I37+M37))</f>
        <v>2.0887728459530026E-2</v>
      </c>
      <c r="N38" s="2112"/>
      <c r="O38" s="2112"/>
      <c r="P38" s="2112"/>
      <c r="Q38" s="2113"/>
      <c r="V38" s="1">
        <v>3</v>
      </c>
      <c r="W38" s="1">
        <v>0.97</v>
      </c>
      <c r="Z38" s="1">
        <v>3</v>
      </c>
      <c r="AA38" s="1">
        <v>0.97</v>
      </c>
    </row>
    <row r="39" spans="2:29" ht="4.5" customHeight="1" thickBot="1">
      <c r="B39" s="2111"/>
      <c r="C39" s="2112"/>
      <c r="D39" s="2112"/>
      <c r="E39" s="2115"/>
      <c r="F39" s="2112"/>
      <c r="G39" s="2112"/>
      <c r="H39" s="2112"/>
      <c r="I39" s="2112"/>
      <c r="J39" s="2112"/>
      <c r="K39" s="2112"/>
      <c r="L39" s="2112"/>
      <c r="M39" s="2112"/>
      <c r="N39" s="2112"/>
      <c r="O39" s="2112"/>
      <c r="P39" s="2112"/>
      <c r="Q39" s="2113"/>
      <c r="V39" s="1">
        <v>4</v>
      </c>
      <c r="W39" s="1">
        <v>0.9</v>
      </c>
      <c r="Z39" s="1">
        <v>4</v>
      </c>
      <c r="AA39" s="1">
        <v>0.93</v>
      </c>
    </row>
    <row r="40" spans="2:29" ht="14.25" thickBot="1">
      <c r="B40" s="2111"/>
      <c r="C40" s="2112"/>
      <c r="D40" s="2112"/>
      <c r="E40" s="2115" t="s">
        <v>1215</v>
      </c>
      <c r="F40" s="2112"/>
      <c r="G40" s="2112"/>
      <c r="H40" s="2118" t="s">
        <v>765</v>
      </c>
      <c r="I40" s="2126">
        <f>I35*I38+M35*M38</f>
        <v>0.10443864229765012</v>
      </c>
      <c r="J40" s="2112"/>
      <c r="K40" s="2112"/>
      <c r="L40" s="2112"/>
      <c r="M40" s="2112"/>
      <c r="N40" s="2112"/>
      <c r="O40" s="2112"/>
      <c r="P40" s="2112"/>
      <c r="Q40" s="2113"/>
      <c r="V40" s="1">
        <v>5</v>
      </c>
      <c r="W40" s="1"/>
      <c r="Z40" s="1">
        <v>5</v>
      </c>
      <c r="AA40" s="1"/>
    </row>
    <row r="41" spans="2:29">
      <c r="B41" s="2111"/>
      <c r="C41" s="2112"/>
      <c r="D41" s="2112"/>
      <c r="E41" s="2112"/>
      <c r="F41" s="2112"/>
      <c r="G41" s="2112"/>
      <c r="H41" s="2112"/>
      <c r="I41" s="2112"/>
      <c r="J41" s="2112"/>
      <c r="K41" s="2112"/>
      <c r="L41" s="2112"/>
      <c r="M41" s="2112"/>
      <c r="N41" s="2112"/>
      <c r="O41" s="2112"/>
      <c r="P41" s="2112"/>
      <c r="Q41" s="2113"/>
    </row>
    <row r="42" spans="2:29" hidden="1">
      <c r="B42" s="2111"/>
      <c r="C42" s="2112"/>
      <c r="D42" s="2127"/>
      <c r="E42" s="2115" t="s">
        <v>1216</v>
      </c>
      <c r="F42" s="2112"/>
      <c r="G42" s="2112"/>
      <c r="H42" s="2112"/>
      <c r="I42" s="2120" t="e">
        <f>IF(G35=W43,W48,V48)</f>
        <v>#VALUE!</v>
      </c>
      <c r="J42" s="2112" t="s">
        <v>1217</v>
      </c>
      <c r="K42" s="2112"/>
      <c r="L42" s="2112"/>
      <c r="M42" s="2112"/>
      <c r="N42" s="2112"/>
      <c r="O42" s="2112"/>
      <c r="P42" s="2112"/>
      <c r="Q42" s="2113"/>
      <c r="T42" t="s">
        <v>1218</v>
      </c>
      <c r="V42" s="2128" t="e">
        <f>(1-I29)*100</f>
        <v>#VALUE!</v>
      </c>
      <c r="Z42" t="e">
        <f>IF($I$42&gt;=AA48,Z48,IF($I$42&gt;=AA47,Z47,IF($I$42&gt;=AA46,Z46,IF($I$42&gt;=AA45,Z45,Z44))))</f>
        <v>#VALUE!</v>
      </c>
      <c r="AB42" t="e">
        <f>VLOOKUP($Z$42,Z44:AC48,3)</f>
        <v>#VALUE!</v>
      </c>
      <c r="AC42" t="e">
        <f>VLOOKUP($Z$42,Z44:AC48,4)</f>
        <v>#VALUE!</v>
      </c>
    </row>
    <row r="43" spans="2:29" ht="6" hidden="1" customHeight="1" thickBot="1">
      <c r="B43" s="2111"/>
      <c r="C43" s="2112"/>
      <c r="D43" s="2127"/>
      <c r="E43" s="2112"/>
      <c r="F43" s="2112"/>
      <c r="G43" s="2112"/>
      <c r="H43" s="2112"/>
      <c r="I43" s="2112"/>
      <c r="J43" s="2112"/>
      <c r="K43" s="2112"/>
      <c r="L43" s="2112"/>
      <c r="M43" s="2112"/>
      <c r="N43" s="2112"/>
      <c r="O43" s="2112"/>
      <c r="P43" s="2112"/>
      <c r="Q43" s="2113"/>
      <c r="V43" s="1" t="s">
        <v>1205</v>
      </c>
      <c r="W43" s="1" t="s">
        <v>1193</v>
      </c>
      <c r="Z43" s="1" t="s">
        <v>1204</v>
      </c>
      <c r="AA43" s="1" t="s">
        <v>1219</v>
      </c>
      <c r="AB43" t="s">
        <v>1030</v>
      </c>
      <c r="AC43" t="s">
        <v>1031</v>
      </c>
    </row>
    <row r="44" spans="2:29" ht="14.25" hidden="1" thickBot="1">
      <c r="B44" s="2111"/>
      <c r="C44" s="2112"/>
      <c r="D44" s="2127"/>
      <c r="E44" s="2112"/>
      <c r="F44" s="2112"/>
      <c r="G44" s="2112"/>
      <c r="H44" s="2112"/>
      <c r="I44" s="2124" t="e">
        <f>IF(I42&gt;=35,5,I42*AB42+AC42)</f>
        <v>#VALUE!</v>
      </c>
      <c r="J44" s="2112"/>
      <c r="K44" s="2112"/>
      <c r="L44" s="2112"/>
      <c r="M44" s="2112"/>
      <c r="N44" s="2112"/>
      <c r="O44" s="2112"/>
      <c r="P44" s="2112"/>
      <c r="Q44" s="2113"/>
      <c r="U44" s="1815" t="s">
        <v>1220</v>
      </c>
      <c r="V44" s="1" t="e">
        <f>2*V42</f>
        <v>#VALUE!</v>
      </c>
      <c r="W44" s="2129" t="e">
        <f>2*V42</f>
        <v>#VALUE!</v>
      </c>
      <c r="Z44" s="1">
        <v>1</v>
      </c>
      <c r="AA44" s="1">
        <v>-5</v>
      </c>
      <c r="AB44">
        <f>(Z45-Z44)/(AA45-AA44)</f>
        <v>0.2</v>
      </c>
      <c r="AC44">
        <f>Z45-AB44*AA45</f>
        <v>2</v>
      </c>
    </row>
    <row r="45" spans="2:29" ht="12" hidden="1" customHeight="1">
      <c r="B45" s="2111"/>
      <c r="C45" s="2112"/>
      <c r="D45" s="2112"/>
      <c r="E45" s="2112"/>
      <c r="F45" s="2112"/>
      <c r="G45" s="2112"/>
      <c r="H45" s="2112"/>
      <c r="I45" s="2112"/>
      <c r="J45" s="2112"/>
      <c r="K45" s="2112"/>
      <c r="L45" s="2112"/>
      <c r="M45" s="2112"/>
      <c r="N45" s="2112"/>
      <c r="O45" s="2112"/>
      <c r="P45" s="2112"/>
      <c r="Q45" s="2113"/>
      <c r="U45" s="1815" t="s">
        <v>1221</v>
      </c>
      <c r="V45" s="2129" t="e">
        <f>1.3*V42+1.7</f>
        <v>#VALUE!</v>
      </c>
      <c r="W45" s="2098" t="e">
        <f>2*V42</f>
        <v>#VALUE!</v>
      </c>
      <c r="Z45" s="1">
        <v>2</v>
      </c>
      <c r="AA45" s="1">
        <v>0</v>
      </c>
      <c r="AB45">
        <f>(Z46-Z45)/(AA46-AA45)</f>
        <v>0.2</v>
      </c>
      <c r="AC45">
        <f>Z46-AB45*AA46</f>
        <v>2</v>
      </c>
    </row>
    <row r="46" spans="2:29" ht="14.25" thickBot="1">
      <c r="B46" s="2111"/>
      <c r="C46" s="2116" t="s">
        <v>1222</v>
      </c>
      <c r="D46" s="2115" t="s">
        <v>1223</v>
      </c>
      <c r="E46" s="2112"/>
      <c r="F46" s="2112"/>
      <c r="G46" s="2112"/>
      <c r="H46" s="2112"/>
      <c r="I46" s="2112"/>
      <c r="J46" s="2112"/>
      <c r="K46" s="2112"/>
      <c r="L46" s="2112"/>
      <c r="M46" s="2112"/>
      <c r="N46" s="2112"/>
      <c r="O46" s="2112"/>
      <c r="P46" s="2112"/>
      <c r="Q46" s="2113"/>
      <c r="U46" s="1815" t="s">
        <v>1224</v>
      </c>
      <c r="V46" s="2098" t="e">
        <f>1.3*V42+1.7</f>
        <v>#VALUE!</v>
      </c>
      <c r="W46" s="2129" t="e">
        <f>2.7*V42-5.2</f>
        <v>#VALUE!</v>
      </c>
      <c r="Z46" s="1">
        <v>3</v>
      </c>
      <c r="AA46" s="1">
        <v>5</v>
      </c>
      <c r="AB46">
        <f>(Z47-Z46)/(AA47-AA46)</f>
        <v>0.1</v>
      </c>
      <c r="AC46">
        <f>Z47-AB46*AA47</f>
        <v>2.5</v>
      </c>
    </row>
    <row r="47" spans="2:29" ht="14.25" thickBot="1">
      <c r="B47" s="2111"/>
      <c r="C47" s="2116"/>
      <c r="D47" s="2115"/>
      <c r="E47" s="2881" t="str">
        <f>F8 &amp; "での評価"</f>
        <v>BEI（標準法）での評価</v>
      </c>
      <c r="F47" s="2882"/>
      <c r="G47" s="2883"/>
      <c r="H47" s="2112"/>
      <c r="I47" s="2115" t="s">
        <v>1198</v>
      </c>
      <c r="J47" s="2112"/>
      <c r="K47" s="2112"/>
      <c r="L47" s="2112"/>
      <c r="M47" s="2115" t="s">
        <v>1136</v>
      </c>
      <c r="N47" s="2115" t="s">
        <v>1225</v>
      </c>
      <c r="O47" s="2112"/>
      <c r="P47" s="2112"/>
      <c r="Q47" s="2130"/>
      <c r="U47" s="1815" t="s">
        <v>1226</v>
      </c>
      <c r="V47" s="1" t="e">
        <f>2*V42-5</f>
        <v>#VALUE!</v>
      </c>
      <c r="W47" s="2098" t="e">
        <f>2.7*V42-5.2</f>
        <v>#VALUE!</v>
      </c>
      <c r="Z47" s="1">
        <v>4</v>
      </c>
      <c r="AA47" s="1">
        <v>15</v>
      </c>
      <c r="AB47">
        <f>(Z48-Z47)/(AA48-AA47)</f>
        <v>0.05</v>
      </c>
      <c r="AC47">
        <f>Z48-AB47*AA48</f>
        <v>3.25</v>
      </c>
    </row>
    <row r="48" spans="2:29" ht="14.25" thickBot="1">
      <c r="B48" s="2111"/>
      <c r="C48" s="2112"/>
      <c r="D48" s="2115"/>
      <c r="E48" s="2115"/>
      <c r="F48" s="2115"/>
      <c r="G48" s="2115"/>
      <c r="H48" s="2131" t="s">
        <v>1227</v>
      </c>
      <c r="I48" s="2668" t="str">
        <f>IF(F8="BEI（標準法）","",IF(J8="","",J8))</f>
        <v/>
      </c>
      <c r="J48" s="2112"/>
      <c r="K48" s="2112"/>
      <c r="L48" s="2131" t="s">
        <v>1228</v>
      </c>
      <c r="M48" s="2125" t="str">
        <f>M67</f>
        <v>-</v>
      </c>
      <c r="N48" s="2132">
        <f>IF(N62=0,0,(N64-N63)/(N62-N63))</f>
        <v>0</v>
      </c>
      <c r="O48" s="2112" t="s">
        <v>1229</v>
      </c>
      <c r="P48" s="2112"/>
      <c r="Q48" s="2113"/>
      <c r="V48" t="e">
        <f>IF($V$42&lt;2.5,V44,IF($V$42&lt;7.5,V45,IF($V$42&lt;10,V46,V47)))</f>
        <v>#VALUE!</v>
      </c>
      <c r="W48" t="e">
        <f>IF($V$42&lt;2.5,W44,IF($V$42&lt;7.5,W45,IF($V$42&lt;10,W46,W47)))</f>
        <v>#VALUE!</v>
      </c>
      <c r="Z48" s="1">
        <v>5</v>
      </c>
      <c r="AA48" s="1">
        <v>35</v>
      </c>
    </row>
    <row r="49" spans="2:29" ht="14.25" thickBot="1">
      <c r="B49" s="2111"/>
      <c r="C49" s="2112"/>
      <c r="D49" s="2115"/>
      <c r="E49" s="2112"/>
      <c r="F49" s="2115"/>
      <c r="G49" s="2112"/>
      <c r="H49" s="2131" t="s">
        <v>1230</v>
      </c>
      <c r="I49" s="2668" t="str">
        <f>IF(F8="BEI（標準法）","",IF(L8="","",L8))</f>
        <v/>
      </c>
      <c r="J49" s="2115"/>
      <c r="K49" s="2112"/>
      <c r="L49" s="2115"/>
      <c r="M49" s="2112"/>
      <c r="N49" s="2115"/>
      <c r="O49" s="2112"/>
      <c r="P49" s="2115"/>
      <c r="Q49" s="2113"/>
    </row>
    <row r="50" spans="2:29" ht="14.25" thickBot="1">
      <c r="B50" s="2111"/>
      <c r="C50" s="2112"/>
      <c r="D50" s="2115"/>
      <c r="E50" s="2115"/>
      <c r="F50" s="2112"/>
      <c r="G50" s="2112"/>
      <c r="H50" s="2112"/>
      <c r="I50" s="2124">
        <f>IF($I$48&lt;=W62,V62,IF($I$48&lt;=W61,V61,IF($I$48&lt;=W60,V60,V59)))</f>
        <v>1</v>
      </c>
      <c r="J50" s="2112"/>
      <c r="K50" s="2112"/>
      <c r="L50" s="2112"/>
      <c r="M50" s="2124">
        <f>IF(OR(M48=0,M48="-"),0,IF(M48&lt;=W63,5,IF(M48&gt;W59,1,M48*X65+Y65)))</f>
        <v>0</v>
      </c>
      <c r="N50" s="2124">
        <f>IF(N84=T82,IF(N48=0,0,IF(N48&lt;=AA63,5,IF(N48&gt;AA59,1,N48*AB50+AC50))),N84)</f>
        <v>0</v>
      </c>
      <c r="O50" s="2112"/>
      <c r="P50" s="2115"/>
      <c r="Q50" s="2113"/>
      <c r="S50" s="2638" t="s">
        <v>2038</v>
      </c>
      <c r="V50" s="2133">
        <f>IF($I$67&lt;=W63,V63,IF($I$67&lt;=W62,V62,IF($I$67&lt;=W61,V61,IF($I$67&lt;=W60,V60,V59))))</f>
        <v>1</v>
      </c>
      <c r="X50">
        <f>VLOOKUP($V$50,V59:Y63,3)</f>
        <v>-19.999999999999982</v>
      </c>
      <c r="Y50">
        <f>VLOOKUP($V$50,V59:Y63,4)</f>
        <v>22.999999999999982</v>
      </c>
      <c r="Z50">
        <f>IF($N$48&lt;=AA63,Z63,IF($N$48&lt;=AA62,Z62,IF($N$48&lt;=AA61,Z61,IF($N$48&lt;=AA60,Z60))))</f>
        <v>5</v>
      </c>
      <c r="AB50">
        <f>VLOOKUP($Z$50,Z59:AC63,3)</f>
        <v>0</v>
      </c>
      <c r="AC50">
        <f>VLOOKUP($Z$50,Z59:AC63,4)</f>
        <v>0</v>
      </c>
    </row>
    <row r="51" spans="2:29">
      <c r="B51" s="2111"/>
      <c r="C51" s="2112"/>
      <c r="D51" s="2115"/>
      <c r="E51" s="2112"/>
      <c r="F51" s="2115"/>
      <c r="G51" s="2112"/>
      <c r="H51" s="2115"/>
      <c r="I51" s="2112"/>
      <c r="J51" s="2115"/>
      <c r="K51" s="2112"/>
      <c r="L51" s="2115"/>
      <c r="M51" s="2112"/>
      <c r="N51" s="2115"/>
      <c r="O51" s="2112"/>
      <c r="P51" s="2115"/>
      <c r="Q51" s="2113"/>
      <c r="S51" s="2638" t="s">
        <v>2039</v>
      </c>
    </row>
    <row r="52" spans="2:29">
      <c r="B52" s="2111"/>
      <c r="C52" s="2112"/>
      <c r="D52" s="2115"/>
      <c r="E52" s="2115"/>
      <c r="F52" s="2115"/>
      <c r="G52" s="2112"/>
      <c r="H52" s="2118" t="s">
        <v>1211</v>
      </c>
      <c r="I52" s="1874">
        <f>H117</f>
        <v>15000</v>
      </c>
      <c r="J52" s="2112" t="s">
        <v>1213</v>
      </c>
      <c r="K52" s="2112"/>
      <c r="L52" s="2112"/>
      <c r="M52" s="1874">
        <f>メイン!E70</f>
        <v>20</v>
      </c>
      <c r="N52" s="1874">
        <f>メイン!E69</f>
        <v>300</v>
      </c>
      <c r="O52" s="2112"/>
      <c r="P52" s="2115"/>
      <c r="Q52" s="2113"/>
    </row>
    <row r="53" spans="2:29" ht="14.25" thickBot="1">
      <c r="B53" s="2111"/>
      <c r="C53" s="2112"/>
      <c r="D53" s="2115"/>
      <c r="E53" s="2112"/>
      <c r="F53" s="2115"/>
      <c r="G53" s="2112"/>
      <c r="H53" s="2115"/>
      <c r="I53" s="2112"/>
      <c r="J53" s="2115"/>
      <c r="K53" s="2112"/>
      <c r="L53" s="2115"/>
      <c r="M53" s="2112"/>
      <c r="N53" s="2115"/>
      <c r="O53" s="2112"/>
      <c r="P53" s="2115"/>
      <c r="Q53" s="2113"/>
    </row>
    <row r="54" spans="2:29" ht="14.25" thickBot="1">
      <c r="B54" s="2111"/>
      <c r="C54" s="2112"/>
      <c r="D54" s="2115"/>
      <c r="E54" s="2115" t="s">
        <v>1231</v>
      </c>
      <c r="F54" s="2115"/>
      <c r="G54" s="2112"/>
      <c r="H54" s="2115"/>
      <c r="I54" s="2124">
        <f>IF(AND(I48=0,I67="-"),0,IF(E47=S51,I50,IF(I67&lt;=W63,5,IF(I67&gt;W59,1,I67*X50+Y50))))</f>
        <v>1</v>
      </c>
      <c r="J54" s="2115"/>
      <c r="K54" s="2112"/>
      <c r="L54" s="2115"/>
      <c r="M54" s="2124">
        <f>IF(M52+N52=0,0,M50*M52/M37+N50*N52/M37)</f>
        <v>0</v>
      </c>
      <c r="N54" s="2115"/>
      <c r="O54" s="2112"/>
      <c r="P54" s="2115"/>
      <c r="Q54" s="2113"/>
    </row>
    <row r="55" spans="2:29" ht="14.25" hidden="1" thickBot="1">
      <c r="B55" s="2111"/>
      <c r="C55" s="2112"/>
      <c r="D55" s="2115"/>
      <c r="E55" s="2112" t="s">
        <v>1232</v>
      </c>
      <c r="F55" s="2115"/>
      <c r="G55" s="2112"/>
      <c r="H55" s="2112" t="s">
        <v>1233</v>
      </c>
      <c r="I55" s="2124"/>
      <c r="J55" s="2115"/>
      <c r="K55" s="2112"/>
      <c r="L55" s="2115"/>
      <c r="M55" s="2123"/>
      <c r="N55" s="2115"/>
      <c r="O55" s="2112"/>
      <c r="P55" s="2115"/>
      <c r="Q55" s="2113"/>
    </row>
    <row r="56" spans="2:29" ht="14.25" hidden="1" thickBot="1">
      <c r="B56" s="2111"/>
      <c r="C56" s="2112"/>
      <c r="D56" s="2115"/>
      <c r="E56" s="2112"/>
      <c r="F56" s="2115"/>
      <c r="G56" s="2112"/>
      <c r="H56" s="2112" t="s">
        <v>1234</v>
      </c>
      <c r="I56" s="2124">
        <f>I54</f>
        <v>1</v>
      </c>
      <c r="J56" s="2115"/>
      <c r="K56" s="2112"/>
      <c r="L56" s="2115"/>
      <c r="M56" s="2112"/>
      <c r="N56" s="2115"/>
      <c r="O56" s="2112"/>
      <c r="P56" s="2115"/>
      <c r="Q56" s="2113"/>
    </row>
    <row r="57" spans="2:29" ht="14.25" thickBot="1">
      <c r="B57" s="2111"/>
      <c r="C57" s="2112"/>
      <c r="D57" s="2115"/>
      <c r="E57" s="2112"/>
      <c r="F57" s="2115"/>
      <c r="G57" s="2112"/>
      <c r="H57" s="2115"/>
      <c r="I57" s="2126">
        <f>I54*I52/($I$52+$M$52+$N$52)+M54*(M52+N52)/($I$52+$M$52+$N$52)</f>
        <v>0.97911227154046998</v>
      </c>
      <c r="J57" s="2115"/>
      <c r="K57" s="2112"/>
      <c r="L57" s="2115"/>
      <c r="M57" s="2112"/>
      <c r="N57" s="2115"/>
      <c r="O57" s="2112"/>
      <c r="P57" s="2115"/>
      <c r="Q57" s="2113"/>
    </row>
    <row r="58" spans="2:29" hidden="1">
      <c r="B58" s="2111"/>
      <c r="C58" s="2112"/>
      <c r="D58" s="2115"/>
      <c r="E58" s="2112"/>
      <c r="F58" s="2115"/>
      <c r="G58" s="2112"/>
      <c r="H58" s="2115"/>
      <c r="I58" s="2112"/>
      <c r="J58" s="2115"/>
      <c r="K58" s="2112"/>
      <c r="L58" s="2115"/>
      <c r="M58" s="2112"/>
      <c r="N58" s="2115"/>
      <c r="O58" s="2112"/>
      <c r="P58" s="2115"/>
      <c r="Q58" s="2113"/>
      <c r="V58" s="1" t="s">
        <v>1204</v>
      </c>
      <c r="W58" s="1" t="s">
        <v>764</v>
      </c>
      <c r="X58" t="s">
        <v>1030</v>
      </c>
      <c r="Y58" t="s">
        <v>1031</v>
      </c>
      <c r="Z58" s="1" t="s">
        <v>1204</v>
      </c>
      <c r="AA58" s="1" t="s">
        <v>1135</v>
      </c>
      <c r="AB58" t="s">
        <v>1030</v>
      </c>
      <c r="AC58" t="s">
        <v>1031</v>
      </c>
    </row>
    <row r="59" spans="2:29" hidden="1">
      <c r="B59" s="2111"/>
      <c r="C59" s="2112"/>
      <c r="D59" s="2134"/>
      <c r="E59" s="2115" t="s">
        <v>1235</v>
      </c>
      <c r="F59" s="2115"/>
      <c r="G59" s="2115"/>
      <c r="H59" s="2115"/>
      <c r="I59" s="2135" t="e">
        <f>-100*I48+105</f>
        <v>#VALUE!</v>
      </c>
      <c r="J59" s="2115" t="s">
        <v>1217</v>
      </c>
      <c r="K59" s="2112"/>
      <c r="L59" s="2115"/>
      <c r="M59" s="2135" t="e">
        <f>-100*M48+105</f>
        <v>#VALUE!</v>
      </c>
      <c r="N59" s="2115" t="s">
        <v>1217</v>
      </c>
      <c r="O59" s="2112"/>
      <c r="P59" s="2115"/>
      <c r="Q59" s="2113"/>
      <c r="V59" s="1">
        <v>1</v>
      </c>
      <c r="W59" s="1">
        <v>1.1000000000000001</v>
      </c>
      <c r="X59">
        <f>(V60-V59)/(W60-W59)</f>
        <v>-19.999999999999982</v>
      </c>
      <c r="Y59">
        <f>V60-X59*W60</f>
        <v>22.999999999999982</v>
      </c>
      <c r="Z59" s="1">
        <v>1</v>
      </c>
      <c r="AA59" s="1">
        <v>1.3</v>
      </c>
      <c r="AB59">
        <f>(Z60-Z59)/(AA60-AA59)</f>
        <v>-9.9999999999999911</v>
      </c>
      <c r="AC59">
        <f>Z60-AB59*AA60</f>
        <v>13.999999999999989</v>
      </c>
    </row>
    <row r="60" spans="2:29" ht="14.25" hidden="1" thickBot="1">
      <c r="B60" s="2111"/>
      <c r="C60" s="2112"/>
      <c r="D60" s="2134"/>
      <c r="E60" s="2112"/>
      <c r="F60" s="2115"/>
      <c r="G60" s="2112"/>
      <c r="H60" s="2115"/>
      <c r="I60" s="2124" t="e">
        <f>IF(I48=0,"-",IF(I59&gt;=W73,5,I59*X67+Y67))</f>
        <v>#VALUE!</v>
      </c>
      <c r="J60" s="2115"/>
      <c r="K60" s="2112"/>
      <c r="L60" s="2115"/>
      <c r="M60" s="2124" t="e">
        <f>IF(M48=0,"-",IF(M59&gt;=AA73,5,M59*AB67+AC67))</f>
        <v>#VALUE!</v>
      </c>
      <c r="N60" s="2136"/>
      <c r="O60" s="2112"/>
      <c r="P60" s="2115"/>
      <c r="Q60" s="2113"/>
      <c r="S60">
        <v>1</v>
      </c>
      <c r="V60" s="1">
        <v>2</v>
      </c>
      <c r="W60" s="1">
        <v>1.05</v>
      </c>
      <c r="X60">
        <f>(V61-V60)/(W61-W60)</f>
        <v>-19.999999999999982</v>
      </c>
      <c r="Y60">
        <f>V61-X60*W61</f>
        <v>22.999999999999982</v>
      </c>
      <c r="Z60" s="1">
        <v>2</v>
      </c>
      <c r="AA60" s="1">
        <v>1.2</v>
      </c>
      <c r="AB60">
        <f>(Z61-Z60)/(AA61-AA60)</f>
        <v>-10.000000000000014</v>
      </c>
      <c r="AC60">
        <f>Z61-AB60*AA61</f>
        <v>14.000000000000016</v>
      </c>
    </row>
    <row r="61" spans="2:29" ht="14.25" thickBot="1">
      <c r="B61" s="2111"/>
      <c r="C61" s="2112"/>
      <c r="D61" s="2115"/>
      <c r="E61" s="2112"/>
      <c r="F61" s="2115"/>
      <c r="G61" s="2112"/>
      <c r="H61" s="2115"/>
      <c r="I61" s="2112"/>
      <c r="J61" s="2115"/>
      <c r="K61" s="2112"/>
      <c r="L61" s="2115"/>
      <c r="M61" s="2112"/>
      <c r="N61" s="2115"/>
      <c r="O61" s="2112"/>
      <c r="P61" s="2115"/>
      <c r="Q61" s="2113"/>
      <c r="S61">
        <v>2</v>
      </c>
      <c r="V61" s="1">
        <v>3</v>
      </c>
      <c r="W61" s="1">
        <v>1</v>
      </c>
      <c r="X61">
        <f>(V62-V61)/(W62-W61)</f>
        <v>-10.000000000000002</v>
      </c>
      <c r="Y61">
        <f>V62-X61*W62</f>
        <v>13.000000000000002</v>
      </c>
      <c r="Z61" s="1">
        <v>3</v>
      </c>
      <c r="AA61" s="1">
        <v>1.1000000000000001</v>
      </c>
      <c r="AB61">
        <f>(Z62-Z61)/(AA62-AA61)</f>
        <v>-9.9999999999999911</v>
      </c>
      <c r="AC61">
        <f>Z62-AB61*AA62</f>
        <v>13.999999999999991</v>
      </c>
    </row>
    <row r="62" spans="2:29">
      <c r="B62" s="2111"/>
      <c r="C62" s="2112"/>
      <c r="D62" s="99" t="s">
        <v>1236</v>
      </c>
      <c r="E62" s="2112"/>
      <c r="F62" s="2112"/>
      <c r="G62" s="2112"/>
      <c r="H62" s="2112"/>
      <c r="I62" s="2670">
        <f>IF(F8="BEI（標準法）",IF(H8="",0,H8),0)</f>
        <v>0</v>
      </c>
      <c r="J62" s="2112" t="s">
        <v>1237</v>
      </c>
      <c r="K62" s="2112"/>
      <c r="L62" s="2112"/>
      <c r="M62" s="2670">
        <f>IF(H20="",0,H20)</f>
        <v>0</v>
      </c>
      <c r="N62" s="2670">
        <f>IF(H16="",0,H16)</f>
        <v>0</v>
      </c>
      <c r="O62" s="2112" t="s">
        <v>1237</v>
      </c>
      <c r="P62" s="2112"/>
      <c r="Q62" s="2113"/>
      <c r="S62">
        <v>3</v>
      </c>
      <c r="V62" s="1">
        <v>4</v>
      </c>
      <c r="W62" s="1">
        <v>0.9</v>
      </c>
      <c r="X62">
        <f>(V63-V62)/(W63-W62)</f>
        <v>-4.9999999999999982</v>
      </c>
      <c r="Y62">
        <f>V63-X62*W63</f>
        <v>8.4999999999999982</v>
      </c>
      <c r="Z62" s="1">
        <v>4</v>
      </c>
      <c r="AA62" s="1">
        <v>1</v>
      </c>
      <c r="AB62">
        <f>(Z63-Z62)/(AA63-AA62)</f>
        <v>-10.000000000000002</v>
      </c>
      <c r="AC62">
        <f>Z63-AB62*AA63</f>
        <v>14.000000000000002</v>
      </c>
    </row>
    <row r="63" spans="2:29">
      <c r="B63" s="2111"/>
      <c r="C63" s="2112"/>
      <c r="D63" s="99"/>
      <c r="E63" s="2112" t="s">
        <v>1238</v>
      </c>
      <c r="F63" s="2112"/>
      <c r="G63" s="2112"/>
      <c r="H63" s="2112"/>
      <c r="I63" s="2138"/>
      <c r="J63" s="2112"/>
      <c r="K63" s="2112"/>
      <c r="L63" s="2112"/>
      <c r="M63" s="2138"/>
      <c r="N63" s="2673">
        <f>IF(J16="",0,J16)</f>
        <v>0</v>
      </c>
      <c r="O63" s="2112" t="s">
        <v>1239</v>
      </c>
      <c r="P63" s="2112"/>
      <c r="Q63" s="2113"/>
      <c r="S63">
        <v>4</v>
      </c>
      <c r="V63" s="1">
        <v>5</v>
      </c>
      <c r="W63" s="1">
        <v>0.7</v>
      </c>
      <c r="Z63" s="1">
        <v>5</v>
      </c>
      <c r="AA63" s="1">
        <v>0.9</v>
      </c>
    </row>
    <row r="64" spans="2:29">
      <c r="B64" s="2111"/>
      <c r="C64" s="2112"/>
      <c r="D64" s="99" t="s">
        <v>1240</v>
      </c>
      <c r="E64" s="2112"/>
      <c r="F64" s="2112"/>
      <c r="G64" s="2112"/>
      <c r="H64" s="2112"/>
      <c r="I64" s="2671">
        <f>IF(F8="BEI（標準法）",IF(I8="",0,I8),0)</f>
        <v>0</v>
      </c>
      <c r="J64" s="2112"/>
      <c r="K64" s="2112"/>
      <c r="L64" s="2112"/>
      <c r="M64" s="2671">
        <f>IF(I20="",0,I20)</f>
        <v>0</v>
      </c>
      <c r="N64" s="2671">
        <f>IF(I16="",0,I16)</f>
        <v>0</v>
      </c>
      <c r="O64" s="2112"/>
      <c r="P64" s="2112"/>
      <c r="Q64" s="2113"/>
      <c r="S64">
        <v>5</v>
      </c>
    </row>
    <row r="65" spans="2:29">
      <c r="B65" s="2111"/>
      <c r="C65" s="2112"/>
      <c r="D65" s="99" t="s">
        <v>1241</v>
      </c>
      <c r="E65" s="2112"/>
      <c r="F65" s="2112"/>
      <c r="G65" s="2112"/>
      <c r="H65" s="2112"/>
      <c r="I65" s="2671">
        <f>I64+I66</f>
        <v>0</v>
      </c>
      <c r="J65" s="2112"/>
      <c r="K65" s="2112"/>
      <c r="L65" s="2112"/>
      <c r="M65" s="2671">
        <f>M64+M66</f>
        <v>0</v>
      </c>
      <c r="N65" s="2671">
        <f>N64+N66</f>
        <v>0</v>
      </c>
      <c r="O65" s="2112"/>
      <c r="P65" s="2112"/>
      <c r="Q65" s="2113"/>
      <c r="U65" t="s">
        <v>774</v>
      </c>
      <c r="V65">
        <f>IF($M$48&lt;=W63,V63,IF($M$48&lt;=W62,V62,IF($M$48&lt;=W61,V61,IF($M$48&lt;=W60,V60,V59))))</f>
        <v>1</v>
      </c>
      <c r="X65">
        <f>VLOOKUP($V$65,V59:Y63,3)</f>
        <v>-19.999999999999982</v>
      </c>
      <c r="Y65">
        <f>VLOOKUP($V$65,V59:Y63,4)</f>
        <v>22.999999999999982</v>
      </c>
    </row>
    <row r="66" spans="2:29" ht="14.25" thickBot="1">
      <c r="B66" s="2111"/>
      <c r="C66" s="2112"/>
      <c r="D66" s="99" t="s">
        <v>1242</v>
      </c>
      <c r="E66" s="2112"/>
      <c r="F66" s="2112"/>
      <c r="G66" s="2112"/>
      <c r="H66" s="2112"/>
      <c r="I66" s="2672">
        <f>IF(F8="BEI（標準法）",IF(K8="",0,K8),0)</f>
        <v>0</v>
      </c>
      <c r="J66" s="2112" t="s">
        <v>1237</v>
      </c>
      <c r="K66" s="2112"/>
      <c r="L66" s="2112"/>
      <c r="M66" s="2672">
        <f>IF(K20="",0,K20)</f>
        <v>0</v>
      </c>
      <c r="N66" s="2672">
        <f>IF(K16="",0,K16)</f>
        <v>0</v>
      </c>
      <c r="O66" s="2112" t="s">
        <v>1237</v>
      </c>
      <c r="P66" s="2112"/>
      <c r="Q66" s="2113"/>
    </row>
    <row r="67" spans="2:29">
      <c r="B67" s="2111"/>
      <c r="C67" s="2112"/>
      <c r="D67" s="2112"/>
      <c r="E67" s="2141"/>
      <c r="F67" s="2112"/>
      <c r="G67" s="2112"/>
      <c r="H67" s="1341" t="s">
        <v>1243</v>
      </c>
      <c r="I67" s="2142" t="str">
        <f>IF(I64=0,"-",ROUND(I64/I62,5))</f>
        <v>-</v>
      </c>
      <c r="J67" s="2112"/>
      <c r="K67" s="2112"/>
      <c r="L67" s="2112"/>
      <c r="M67" s="2142" t="str">
        <f>IF(M64=0,"-",ROUND(M64/M62,5))</f>
        <v>-</v>
      </c>
      <c r="N67" s="2112"/>
      <c r="O67" s="2112"/>
      <c r="P67" s="2112"/>
      <c r="Q67" s="2113"/>
      <c r="V67" t="e">
        <f>IF($I$59&gt;=W73,V73,IF($I$59&gt;=W72,V72,IF($I$59&gt;=W71,V71,IF($I$59&gt;=W70,V70,V69))))</f>
        <v>#VALUE!</v>
      </c>
      <c r="X67" t="e">
        <f>VLOOKUP($V$67,V69:Y73,3)</f>
        <v>#VALUE!</v>
      </c>
      <c r="Y67" t="e">
        <f>VLOOKUP($V$67,V69:Y73,4)</f>
        <v>#VALUE!</v>
      </c>
      <c r="Z67" t="e">
        <f>IF($M$59&gt;=AA73,Z73,IF($M$59&gt;=AA72,Z72,IF($M$59&gt;=AA71,Z71,IF($M$59&gt;=AA70,Z70,Z69))))</f>
        <v>#VALUE!</v>
      </c>
      <c r="AB67" t="e">
        <f>VLOOKUP($Z$42,Z69:AC73,3)</f>
        <v>#VALUE!</v>
      </c>
      <c r="AC67" t="e">
        <f>VLOOKUP($Z$42,Z69:AC73,4)</f>
        <v>#VALUE!</v>
      </c>
    </row>
    <row r="68" spans="2:29">
      <c r="B68" s="2111"/>
      <c r="C68" s="2112"/>
      <c r="D68" s="2112"/>
      <c r="E68" s="2141"/>
      <c r="F68" s="2112"/>
      <c r="G68" s="2112"/>
      <c r="H68" s="1341" t="s">
        <v>1244</v>
      </c>
      <c r="I68" s="2142" t="str">
        <f>IF(I65=0,"-",ROUND(I65/I62,5))</f>
        <v>-</v>
      </c>
      <c r="J68" s="2112"/>
      <c r="K68" s="2112"/>
      <c r="L68" s="2112"/>
      <c r="M68" s="2142" t="str">
        <f>IF(M65=0,"-",ROUND(M65/M62,5))</f>
        <v>-</v>
      </c>
      <c r="N68" s="2112"/>
      <c r="O68" s="2112"/>
      <c r="P68" s="2112"/>
      <c r="Q68" s="2113"/>
      <c r="T68" t="s">
        <v>1245</v>
      </c>
      <c r="V68" s="1" t="s">
        <v>1204</v>
      </c>
      <c r="W68" s="1" t="s">
        <v>764</v>
      </c>
      <c r="X68" t="s">
        <v>1030</v>
      </c>
      <c r="Y68" t="s">
        <v>1031</v>
      </c>
      <c r="Z68" s="1" t="s">
        <v>1204</v>
      </c>
      <c r="AA68" s="1" t="s">
        <v>1136</v>
      </c>
      <c r="AB68" t="s">
        <v>1030</v>
      </c>
      <c r="AC68" t="s">
        <v>1031</v>
      </c>
    </row>
    <row r="69" spans="2:29">
      <c r="B69" s="2111"/>
      <c r="C69" s="2112"/>
      <c r="D69" s="2112"/>
      <c r="E69" s="2112" t="s">
        <v>1246</v>
      </c>
      <c r="F69" s="2112"/>
      <c r="G69" s="2112"/>
      <c r="H69" s="2112"/>
      <c r="I69" s="2112"/>
      <c r="J69" s="2112"/>
      <c r="K69" s="2112"/>
      <c r="L69" s="2112"/>
      <c r="M69" s="2112"/>
      <c r="N69" s="2112"/>
      <c r="O69" s="2115"/>
      <c r="P69" s="2112"/>
      <c r="Q69" s="2113"/>
      <c r="V69" s="1">
        <v>1</v>
      </c>
      <c r="W69" s="1">
        <v>-5</v>
      </c>
      <c r="X69">
        <f>(V70-V69)/(W70-W69)</f>
        <v>0.2</v>
      </c>
      <c r="Y69">
        <f>V70-X69*W70</f>
        <v>2</v>
      </c>
      <c r="Z69" s="1">
        <v>1</v>
      </c>
      <c r="AA69" s="1">
        <v>-5</v>
      </c>
      <c r="AB69">
        <f>(Z70-Z69)/(AA70-AA69)</f>
        <v>0.2</v>
      </c>
      <c r="AC69">
        <f>Z70-AB69*AA70</f>
        <v>2</v>
      </c>
    </row>
    <row r="70" spans="2:29">
      <c r="B70" s="2111"/>
      <c r="C70" s="2112"/>
      <c r="D70" s="2112"/>
      <c r="E70" s="2112" t="s">
        <v>1247</v>
      </c>
      <c r="F70" s="2115"/>
      <c r="G70" s="2115"/>
      <c r="H70" s="2115"/>
      <c r="I70" s="2115"/>
      <c r="J70" s="2115"/>
      <c r="K70" s="2115"/>
      <c r="L70" s="2115"/>
      <c r="M70" s="2115"/>
      <c r="N70" s="2115"/>
      <c r="O70" s="2115"/>
      <c r="P70" s="2112"/>
      <c r="Q70" s="2113"/>
      <c r="V70" s="1">
        <v>2</v>
      </c>
      <c r="W70" s="1">
        <v>0</v>
      </c>
      <c r="X70">
        <f>(V71-V70)/(W71-W70)</f>
        <v>0.2</v>
      </c>
      <c r="Y70">
        <f>V71-X70*W71</f>
        <v>2</v>
      </c>
      <c r="Z70" s="1">
        <v>2</v>
      </c>
      <c r="AA70" s="1">
        <v>0</v>
      </c>
      <c r="AB70">
        <f>(Z71-Z70)/(AA71-AA70)</f>
        <v>0.2</v>
      </c>
      <c r="AC70">
        <f>Z71-AB70*AA71</f>
        <v>2</v>
      </c>
    </row>
    <row r="71" spans="2:29">
      <c r="B71" s="2111"/>
      <c r="C71" s="2112"/>
      <c r="D71" s="2112"/>
      <c r="E71" s="2112"/>
      <c r="F71" s="2112"/>
      <c r="G71" s="2112"/>
      <c r="H71" s="2112"/>
      <c r="I71" s="2112"/>
      <c r="J71" s="2112"/>
      <c r="K71" s="2112"/>
      <c r="L71" s="2112"/>
      <c r="M71" s="2115"/>
      <c r="N71" s="2115"/>
      <c r="O71" s="2115"/>
      <c r="P71" s="2112"/>
      <c r="Q71" s="2113"/>
      <c r="V71" s="1">
        <v>3</v>
      </c>
      <c r="W71" s="1">
        <v>5</v>
      </c>
      <c r="X71">
        <f>(V72-V71)/(W72-W71)</f>
        <v>0.1</v>
      </c>
      <c r="Y71">
        <f>V72-X71*W72</f>
        <v>2.5</v>
      </c>
      <c r="Z71" s="1">
        <v>3</v>
      </c>
      <c r="AA71" s="1">
        <v>5</v>
      </c>
      <c r="AB71">
        <f>(Z72-Z71)/(AA72-AA71)</f>
        <v>0.1</v>
      </c>
      <c r="AC71">
        <f>Z72-AB71*AA72</f>
        <v>2.5</v>
      </c>
    </row>
    <row r="72" spans="2:29">
      <c r="B72" s="2111"/>
      <c r="C72" s="2112"/>
      <c r="D72" s="2112"/>
      <c r="E72" s="2115"/>
      <c r="F72" s="2115"/>
      <c r="G72" s="2115"/>
      <c r="H72" s="2115"/>
      <c r="I72" s="2115"/>
      <c r="J72" s="2115"/>
      <c r="K72" s="2115"/>
      <c r="L72" s="2115"/>
      <c r="M72" s="2115"/>
      <c r="N72" s="2115"/>
      <c r="O72" s="2115"/>
      <c r="P72" s="2112"/>
      <c r="Q72" s="2113"/>
      <c r="V72" s="1">
        <v>4</v>
      </c>
      <c r="W72" s="1">
        <v>15</v>
      </c>
      <c r="X72">
        <f>(V73-V72)/(W73-W72)</f>
        <v>0.05</v>
      </c>
      <c r="Y72">
        <f>V73-X72*W73</f>
        <v>3.25</v>
      </c>
      <c r="Z72" s="1">
        <v>4</v>
      </c>
      <c r="AA72" s="1">
        <v>15</v>
      </c>
      <c r="AB72">
        <f>(Z73-Z72)/(AA73-AA72)</f>
        <v>0.05</v>
      </c>
      <c r="AC72">
        <f>Z73-AB72*AA73</f>
        <v>3.25</v>
      </c>
    </row>
    <row r="73" spans="2:29">
      <c r="B73" s="2111"/>
      <c r="C73" s="2112"/>
      <c r="D73" s="2112" t="s">
        <v>1248</v>
      </c>
      <c r="E73" s="2115" t="s">
        <v>1249</v>
      </c>
      <c r="F73" s="2115"/>
      <c r="G73" s="2115"/>
      <c r="H73" s="2115"/>
      <c r="I73" s="2115"/>
      <c r="J73" s="2115"/>
      <c r="K73" s="2115"/>
      <c r="L73" s="2115"/>
      <c r="M73" s="2115"/>
      <c r="N73" s="2115"/>
      <c r="O73" s="2115"/>
      <c r="P73" s="2112"/>
      <c r="Q73" s="2113"/>
      <c r="V73" s="1">
        <v>5</v>
      </c>
      <c r="W73" s="1">
        <v>35</v>
      </c>
      <c r="Z73" s="1">
        <v>5</v>
      </c>
      <c r="AA73" s="1">
        <v>35</v>
      </c>
    </row>
    <row r="74" spans="2:29" ht="14.25" thickBot="1">
      <c r="B74" s="2111"/>
      <c r="C74" s="2112"/>
      <c r="D74" s="2112"/>
      <c r="E74" s="2115"/>
      <c r="F74" s="2115"/>
      <c r="G74" s="2115"/>
      <c r="H74" s="2143" t="s">
        <v>1250</v>
      </c>
      <c r="I74" s="2115" t="s">
        <v>1251</v>
      </c>
      <c r="J74" s="2115" t="s">
        <v>1252</v>
      </c>
      <c r="K74" s="2115" t="s">
        <v>1253</v>
      </c>
      <c r="L74" s="2115" t="s">
        <v>1254</v>
      </c>
      <c r="M74" s="2115" t="s">
        <v>1255</v>
      </c>
      <c r="N74" s="2115" t="s">
        <v>1256</v>
      </c>
      <c r="O74" s="2115"/>
      <c r="P74" s="2112"/>
      <c r="Q74" s="2113"/>
    </row>
    <row r="75" spans="2:29" ht="14.25" thickBot="1">
      <c r="B75" s="2111"/>
      <c r="C75" s="2112"/>
      <c r="D75" s="2112"/>
      <c r="E75" s="2115"/>
      <c r="F75" s="2115"/>
      <c r="G75" s="1883" t="s">
        <v>1257</v>
      </c>
      <c r="H75" s="2144"/>
      <c r="I75" s="1874">
        <f>H75*$N$52</f>
        <v>0</v>
      </c>
      <c r="J75" s="1874">
        <v>0</v>
      </c>
      <c r="K75" s="2137"/>
      <c r="L75" s="1874">
        <v>12181</v>
      </c>
      <c r="M75" s="2145">
        <f>I75*J75+K75*L75</f>
        <v>0</v>
      </c>
      <c r="N75" s="2146">
        <f>SUM(M75:M79)/1000</f>
        <v>0</v>
      </c>
      <c r="O75" s="2112" t="s">
        <v>1237</v>
      </c>
      <c r="P75" s="2112"/>
      <c r="Q75" s="2113"/>
    </row>
    <row r="76" spans="2:29">
      <c r="B76" s="2111"/>
      <c r="C76" s="2112"/>
      <c r="D76" s="2112"/>
      <c r="E76" s="2115"/>
      <c r="F76" s="2115"/>
      <c r="G76" s="1883" t="s">
        <v>1258</v>
      </c>
      <c r="H76" s="2147"/>
      <c r="I76" s="1874">
        <f t="shared" ref="I76:I79" si="0">H76*$N$52</f>
        <v>0</v>
      </c>
      <c r="J76" s="1874">
        <v>87</v>
      </c>
      <c r="K76" s="2139"/>
      <c r="L76" s="1874">
        <v>9571</v>
      </c>
      <c r="M76" s="1874">
        <f>I76*J76+K76*L76</f>
        <v>0</v>
      </c>
      <c r="N76" s="2115"/>
      <c r="O76" s="2115"/>
      <c r="P76" s="2112"/>
      <c r="Q76" s="2113"/>
    </row>
    <row r="77" spans="2:29">
      <c r="B77" s="2111"/>
      <c r="C77" s="2112"/>
      <c r="D77" s="2112"/>
      <c r="E77" s="2115"/>
      <c r="F77" s="2115"/>
      <c r="G77" s="1883" t="s">
        <v>1259</v>
      </c>
      <c r="H77" s="2147"/>
      <c r="I77" s="1874">
        <f t="shared" si="0"/>
        <v>0</v>
      </c>
      <c r="J77" s="1874">
        <v>167</v>
      </c>
      <c r="K77" s="2139"/>
      <c r="L77" s="1874">
        <v>4771</v>
      </c>
      <c r="M77" s="1874">
        <f>I77*J77+K77*L77</f>
        <v>0</v>
      </c>
      <c r="N77" s="2115"/>
      <c r="O77" s="2115"/>
      <c r="P77" s="2112"/>
      <c r="Q77" s="2113"/>
    </row>
    <row r="78" spans="2:29">
      <c r="B78" s="2111"/>
      <c r="C78" s="2112"/>
      <c r="D78" s="2112"/>
      <c r="E78" s="2115"/>
      <c r="F78" s="2115"/>
      <c r="G78" s="1883" t="s">
        <v>1260</v>
      </c>
      <c r="H78" s="2147"/>
      <c r="I78" s="1874">
        <f t="shared" si="0"/>
        <v>0</v>
      </c>
      <c r="J78" s="1874">
        <v>47</v>
      </c>
      <c r="K78" s="2139"/>
      <c r="L78" s="1874">
        <v>15571</v>
      </c>
      <c r="M78" s="1874">
        <f>I78*J78+K78*L78</f>
        <v>0</v>
      </c>
      <c r="N78" s="2115"/>
      <c r="O78" s="2115"/>
      <c r="P78" s="2112"/>
      <c r="Q78" s="2113"/>
    </row>
    <row r="79" spans="2:29" ht="14.25" thickBot="1">
      <c r="B79" s="2111"/>
      <c r="C79" s="2112"/>
      <c r="D79" s="2112"/>
      <c r="E79" s="2115"/>
      <c r="F79" s="2115"/>
      <c r="G79" s="1883" t="s">
        <v>1261</v>
      </c>
      <c r="H79" s="2148"/>
      <c r="I79" s="1874">
        <f t="shared" si="0"/>
        <v>0</v>
      </c>
      <c r="J79" s="1874">
        <v>0</v>
      </c>
      <c r="K79" s="2140"/>
      <c r="L79" s="1874">
        <v>21211</v>
      </c>
      <c r="M79" s="1874">
        <f>I79*J79+K79*L79</f>
        <v>0</v>
      </c>
      <c r="N79" s="2115"/>
      <c r="O79" s="2115"/>
      <c r="P79" s="2112"/>
      <c r="Q79" s="2113"/>
    </row>
    <row r="80" spans="2:29">
      <c r="B80" s="2111"/>
      <c r="C80" s="2112"/>
      <c r="D80" s="2112"/>
      <c r="E80" s="2112"/>
      <c r="F80" s="2112"/>
      <c r="G80" s="2112" t="s">
        <v>474</v>
      </c>
      <c r="H80" s="2149">
        <f>SUM(H75:H79)</f>
        <v>0</v>
      </c>
      <c r="I80" s="2112"/>
      <c r="J80" s="2115"/>
      <c r="K80" s="2112"/>
      <c r="L80" s="2112"/>
      <c r="M80" s="2112"/>
      <c r="N80" s="2112"/>
      <c r="O80" s="2112"/>
      <c r="P80" s="2112"/>
      <c r="Q80" s="2113"/>
    </row>
    <row r="81" spans="2:21">
      <c r="B81" s="2111"/>
      <c r="C81" s="2112"/>
      <c r="D81" s="2112"/>
      <c r="E81" s="2112"/>
      <c r="F81" s="2112"/>
      <c r="G81" s="2112"/>
      <c r="H81" s="2112"/>
      <c r="I81" s="2112"/>
      <c r="J81" s="2115"/>
      <c r="K81" s="2112"/>
      <c r="L81" s="2112"/>
      <c r="M81" s="2112"/>
      <c r="N81" s="2112"/>
      <c r="O81" s="2112"/>
      <c r="P81" s="2112"/>
      <c r="Q81" s="2113"/>
    </row>
    <row r="82" spans="2:21">
      <c r="B82" s="2111"/>
      <c r="C82" s="2112"/>
      <c r="D82" s="2112"/>
      <c r="E82" s="2112"/>
      <c r="F82" s="2112"/>
      <c r="G82" s="2112"/>
      <c r="H82" s="2112"/>
      <c r="I82" s="2112"/>
      <c r="J82" s="2115"/>
      <c r="K82" s="2112"/>
      <c r="L82" s="2112"/>
      <c r="M82" s="2112"/>
      <c r="N82" s="2112"/>
      <c r="O82" s="2112"/>
      <c r="P82" s="2112"/>
      <c r="Q82" s="2113"/>
      <c r="T82" s="2072" t="s">
        <v>1262</v>
      </c>
    </row>
    <row r="83" spans="2:21" ht="14.25" thickBot="1">
      <c r="B83" s="2111"/>
      <c r="C83" s="2112"/>
      <c r="D83" s="2141" t="s">
        <v>1721</v>
      </c>
      <c r="E83" s="2112"/>
      <c r="F83" s="2112"/>
      <c r="G83" s="2112"/>
      <c r="H83" s="2112"/>
      <c r="I83" s="2112"/>
      <c r="J83" s="2115"/>
      <c r="K83" s="2112"/>
      <c r="L83" s="2112"/>
      <c r="M83" s="2112"/>
      <c r="N83" s="2112"/>
      <c r="O83" s="2112"/>
      <c r="P83" s="2112"/>
      <c r="Q83" s="2113"/>
      <c r="T83">
        <v>1</v>
      </c>
    </row>
    <row r="84" spans="2:21" ht="13.5" customHeight="1" thickBot="1">
      <c r="B84" s="2111"/>
      <c r="C84" s="2112"/>
      <c r="D84" s="2112"/>
      <c r="E84" s="2884" t="s">
        <v>1263</v>
      </c>
      <c r="F84" s="2884"/>
      <c r="G84" s="2884"/>
      <c r="H84" s="2884"/>
      <c r="I84" s="2884"/>
      <c r="J84" s="2884"/>
      <c r="K84" s="2884"/>
      <c r="L84" s="2112"/>
      <c r="M84" s="2112" t="s">
        <v>1264</v>
      </c>
      <c r="N84" s="2885" t="s">
        <v>1262</v>
      </c>
      <c r="O84" s="2886"/>
      <c r="P84" s="2887"/>
      <c r="Q84" s="2113"/>
      <c r="T84">
        <v>4</v>
      </c>
    </row>
    <row r="85" spans="2:21">
      <c r="B85" s="2111"/>
      <c r="C85" s="2112"/>
      <c r="D85" s="2112"/>
      <c r="E85" s="2884"/>
      <c r="F85" s="2884"/>
      <c r="G85" s="2884"/>
      <c r="H85" s="2884"/>
      <c r="I85" s="2884"/>
      <c r="J85" s="2884"/>
      <c r="K85" s="2884"/>
      <c r="L85" s="2112"/>
      <c r="M85" s="2112"/>
      <c r="N85" s="2112"/>
      <c r="O85" s="2112"/>
      <c r="P85" s="2112"/>
      <c r="Q85" s="2113"/>
    </row>
    <row r="86" spans="2:21">
      <c r="B86" s="2111"/>
      <c r="C86" s="2112"/>
      <c r="D86" s="2112"/>
      <c r="E86" s="2884"/>
      <c r="F86" s="2884"/>
      <c r="G86" s="2884"/>
      <c r="H86" s="2884"/>
      <c r="I86" s="2884"/>
      <c r="J86" s="2884"/>
      <c r="K86" s="2884"/>
      <c r="L86" s="2112"/>
      <c r="M86" s="2112"/>
      <c r="N86" s="2112"/>
      <c r="O86" s="2112"/>
      <c r="P86" s="2112"/>
      <c r="Q86" s="2113"/>
    </row>
    <row r="87" spans="2:21" ht="7.5" customHeight="1" thickBot="1">
      <c r="B87" s="2111"/>
      <c r="C87" s="2112"/>
      <c r="D87" s="2112"/>
      <c r="E87" s="2112"/>
      <c r="F87" s="2112"/>
      <c r="G87" s="2112"/>
      <c r="H87" s="2112"/>
      <c r="I87" s="2112"/>
      <c r="J87" s="2115"/>
      <c r="K87" s="2112"/>
      <c r="L87" s="2112"/>
      <c r="M87" s="2112"/>
      <c r="N87" s="2112"/>
      <c r="O87" s="2112"/>
      <c r="P87" s="2112"/>
      <c r="Q87" s="2113"/>
    </row>
    <row r="88" spans="2:21" ht="14.25" thickBot="1">
      <c r="B88" s="2111"/>
      <c r="C88" s="2112"/>
      <c r="D88" s="2112"/>
      <c r="E88" s="2112" t="s">
        <v>1265</v>
      </c>
      <c r="F88" s="2119" t="s">
        <v>1266</v>
      </c>
      <c r="G88" s="2112"/>
      <c r="H88" s="2112"/>
      <c r="I88" s="2112"/>
      <c r="J88" s="2115" t="s">
        <v>1267</v>
      </c>
      <c r="K88" s="2119" t="s">
        <v>1266</v>
      </c>
      <c r="L88" s="2112"/>
      <c r="M88" s="2112"/>
      <c r="N88" s="2112"/>
      <c r="O88" s="2112"/>
      <c r="P88" s="2112"/>
      <c r="Q88" s="2113"/>
      <c r="T88" t="s">
        <v>1152</v>
      </c>
      <c r="U88" t="s">
        <v>1153</v>
      </c>
    </row>
    <row r="89" spans="2:21">
      <c r="B89" s="2111"/>
      <c r="C89" s="2112"/>
      <c r="D89" s="2112"/>
      <c r="E89" s="2112"/>
      <c r="F89" s="2112" t="s">
        <v>1268</v>
      </c>
      <c r="G89" s="2112"/>
      <c r="H89" s="2112"/>
      <c r="I89" s="2112"/>
      <c r="J89" s="2115"/>
      <c r="K89" s="2112" t="s">
        <v>1269</v>
      </c>
      <c r="L89" s="2112"/>
      <c r="M89" s="2112"/>
      <c r="N89" s="2112"/>
      <c r="O89" s="2112"/>
      <c r="P89" s="2112"/>
      <c r="Q89" s="2113"/>
      <c r="T89" t="s">
        <v>1163</v>
      </c>
      <c r="U89" t="s">
        <v>1159</v>
      </c>
    </row>
    <row r="90" spans="2:21">
      <c r="B90" s="2111"/>
      <c r="C90" s="2112"/>
      <c r="D90" s="2112"/>
      <c r="E90" s="2112"/>
      <c r="F90" s="2112" t="s">
        <v>1270</v>
      </c>
      <c r="G90" s="2112"/>
      <c r="H90" s="2112"/>
      <c r="I90" s="2112"/>
      <c r="J90" s="2115"/>
      <c r="K90" s="2112" t="s">
        <v>1271</v>
      </c>
      <c r="L90" s="2112"/>
      <c r="M90" s="2112"/>
      <c r="N90" s="2112"/>
      <c r="O90" s="2112"/>
      <c r="P90" s="2112"/>
      <c r="Q90" s="2113"/>
      <c r="T90" t="s">
        <v>1170</v>
      </c>
      <c r="U90" t="s">
        <v>1272</v>
      </c>
    </row>
    <row r="91" spans="2:21">
      <c r="B91" s="2111"/>
      <c r="C91" s="2112"/>
      <c r="D91" s="2112"/>
      <c r="E91" s="2112"/>
      <c r="F91" s="2112" t="s">
        <v>1273</v>
      </c>
      <c r="G91" s="2112"/>
      <c r="H91" s="2112"/>
      <c r="I91" s="2112"/>
      <c r="J91" s="2115"/>
      <c r="K91" s="2112" t="s">
        <v>1274</v>
      </c>
      <c r="L91" s="2112"/>
      <c r="M91" s="2112"/>
      <c r="N91" s="2112"/>
      <c r="O91" s="2112"/>
      <c r="P91" s="2112"/>
      <c r="Q91" s="2113"/>
      <c r="T91" t="s">
        <v>1272</v>
      </c>
    </row>
    <row r="92" spans="2:21" ht="14.25" thickBot="1">
      <c r="B92" s="2150"/>
      <c r="C92" s="2151"/>
      <c r="D92" s="2151"/>
      <c r="E92" s="2151"/>
      <c r="F92" s="2151" t="s">
        <v>1274</v>
      </c>
      <c r="G92" s="2151"/>
      <c r="H92" s="2151"/>
      <c r="I92" s="2151"/>
      <c r="J92" s="2152"/>
      <c r="K92" s="2151"/>
      <c r="L92" s="2151"/>
      <c r="M92" s="2151"/>
      <c r="N92" s="2151"/>
      <c r="O92" s="2151"/>
      <c r="P92" s="2151"/>
      <c r="Q92" s="2153"/>
    </row>
    <row r="93" spans="2:21" ht="14.25" thickBot="1">
      <c r="B93" s="516"/>
      <c r="C93" s="516"/>
      <c r="D93" s="516"/>
      <c r="E93" s="516"/>
      <c r="F93" s="516"/>
      <c r="G93" s="516"/>
      <c r="H93" s="516"/>
      <c r="I93" s="516"/>
      <c r="J93" s="516"/>
      <c r="K93" s="516"/>
      <c r="L93" s="516"/>
      <c r="M93" s="516"/>
      <c r="N93" s="516"/>
      <c r="O93" s="516"/>
      <c r="P93" s="516"/>
      <c r="Q93" s="516"/>
    </row>
    <row r="94" spans="2:21" ht="27" customHeight="1">
      <c r="B94" s="2154"/>
      <c r="C94" s="2155" t="s">
        <v>1275</v>
      </c>
      <c r="D94" s="2156"/>
      <c r="E94" s="2156"/>
      <c r="F94" s="2156"/>
      <c r="G94" s="2156"/>
      <c r="H94" s="2156"/>
      <c r="I94" s="2156"/>
      <c r="J94" s="2156"/>
      <c r="K94" s="2156"/>
      <c r="L94" s="2156"/>
      <c r="M94" s="2156"/>
      <c r="N94" s="2157"/>
      <c r="O94" s="2158"/>
      <c r="P94" s="2158"/>
      <c r="Q94" s="2159"/>
    </row>
    <row r="95" spans="2:21">
      <c r="B95" s="2160"/>
      <c r="C95" s="1348"/>
      <c r="D95" s="1348" t="s">
        <v>1276</v>
      </c>
      <c r="E95" s="2112"/>
      <c r="F95" s="2112"/>
      <c r="G95" s="2115"/>
      <c r="H95" s="2112"/>
      <c r="I95" s="2112"/>
      <c r="J95" s="2112"/>
      <c r="K95" s="2112"/>
      <c r="L95" s="2112"/>
      <c r="M95" s="2112"/>
      <c r="N95" s="2112" t="s">
        <v>65</v>
      </c>
      <c r="O95" s="2112"/>
      <c r="P95" s="2112"/>
      <c r="Q95" s="2161" t="s">
        <v>138</v>
      </c>
    </row>
    <row r="96" spans="2:21">
      <c r="B96" s="2160"/>
      <c r="C96" s="1348"/>
      <c r="D96" s="1348"/>
      <c r="E96" s="2112"/>
      <c r="F96" s="2118" t="s">
        <v>1277</v>
      </c>
      <c r="G96" s="2112"/>
      <c r="H96" s="2112"/>
      <c r="I96" s="2112"/>
      <c r="J96" s="2112" t="s">
        <v>1278</v>
      </c>
      <c r="K96" s="2112"/>
      <c r="L96" s="2162" t="s">
        <v>1279</v>
      </c>
      <c r="M96" s="2112"/>
      <c r="N96" s="1345" t="s">
        <v>1237</v>
      </c>
      <c r="O96" s="1354"/>
      <c r="P96" s="1354"/>
      <c r="Q96" s="1347" t="s">
        <v>1237</v>
      </c>
    </row>
    <row r="97" spans="2:20">
      <c r="B97" s="2160"/>
      <c r="C97" s="1348"/>
      <c r="D97" s="1348"/>
      <c r="E97" s="2115" t="s">
        <v>1280</v>
      </c>
      <c r="F97" s="2163" t="str">
        <f>IF(E47=S50,I68,I49)</f>
        <v>-</v>
      </c>
      <c r="G97" s="151"/>
      <c r="H97" s="2112"/>
      <c r="I97" s="2112"/>
      <c r="J97" s="2164">
        <f>(H121*N121+H123*N123+N124*H124)/1000</f>
        <v>0</v>
      </c>
      <c r="K97" s="2165" t="s">
        <v>1237</v>
      </c>
      <c r="L97" s="2166">
        <f>N127</f>
        <v>1</v>
      </c>
      <c r="M97" s="2165"/>
      <c r="N97" s="2167" t="e">
        <f>(J117*F97-J97)*L97</f>
        <v>#VALUE!</v>
      </c>
      <c r="O97" s="1354"/>
      <c r="P97" s="1889"/>
      <c r="Q97" s="2168">
        <f>J117</f>
        <v>33070</v>
      </c>
      <c r="T97" s="2169">
        <f>T117/Q97</f>
        <v>0.75678863017840947</v>
      </c>
    </row>
    <row r="98" spans="2:20">
      <c r="B98" s="2111"/>
      <c r="C98" s="2112"/>
      <c r="D98" s="2112"/>
      <c r="E98" s="2112"/>
      <c r="F98" s="2112"/>
      <c r="G98" s="2112"/>
      <c r="H98" s="2112"/>
      <c r="I98" s="2112"/>
      <c r="J98" s="2112"/>
      <c r="K98" s="2112"/>
      <c r="L98" s="2112"/>
      <c r="M98" s="2112"/>
      <c r="N98" s="2112"/>
      <c r="O98" s="2112"/>
      <c r="P98" s="2112"/>
      <c r="Q98" s="2113"/>
    </row>
    <row r="99" spans="2:20">
      <c r="B99" s="2111"/>
      <c r="C99" s="2112"/>
      <c r="D99" s="2112"/>
      <c r="E99" s="2112"/>
      <c r="F99" s="2112"/>
      <c r="G99" s="2162"/>
      <c r="H99" s="2162" t="s">
        <v>1281</v>
      </c>
      <c r="I99" s="2112"/>
      <c r="J99" s="2162" t="s">
        <v>1282</v>
      </c>
      <c r="K99" s="2162"/>
      <c r="L99" s="2162" t="s">
        <v>1283</v>
      </c>
      <c r="M99" s="2112"/>
      <c r="N99" s="2112"/>
      <c r="O99" s="2112"/>
      <c r="P99" s="2112"/>
      <c r="Q99" s="2113"/>
    </row>
    <row r="100" spans="2:20">
      <c r="B100" s="2111"/>
      <c r="C100" s="2112"/>
      <c r="D100" s="2112"/>
      <c r="E100" s="2112"/>
      <c r="F100" s="2112"/>
      <c r="G100" s="2118"/>
      <c r="H100" s="2118" t="s">
        <v>1213</v>
      </c>
      <c r="I100" s="2112"/>
      <c r="J100" s="2162" t="s">
        <v>1284</v>
      </c>
      <c r="K100" s="2162"/>
      <c r="L100" s="2162" t="s">
        <v>193</v>
      </c>
      <c r="M100" s="2112"/>
      <c r="N100" s="2112"/>
      <c r="O100" s="2112"/>
      <c r="P100" s="2112"/>
      <c r="Q100" s="2113"/>
      <c r="S100" t="s">
        <v>1285</v>
      </c>
    </row>
    <row r="101" spans="2:20">
      <c r="B101" s="2111"/>
      <c r="C101" s="2112"/>
      <c r="D101" s="2112"/>
      <c r="E101" s="2170" t="s">
        <v>157</v>
      </c>
      <c r="F101" s="2171" t="s">
        <v>456</v>
      </c>
      <c r="G101" s="2172"/>
      <c r="H101" s="525">
        <f>メイン!P76</f>
        <v>11000</v>
      </c>
      <c r="I101" s="1356"/>
      <c r="J101" s="525">
        <f>CO2データ!V151</f>
        <v>1930</v>
      </c>
      <c r="K101" s="1356"/>
      <c r="L101" s="2173" t="e">
        <f>CO2データ!R151</f>
        <v>#VALUE!</v>
      </c>
      <c r="M101" s="2112"/>
      <c r="N101" s="2112"/>
      <c r="O101" s="2112"/>
      <c r="P101" s="2112"/>
      <c r="Q101" s="2113"/>
      <c r="S101" s="1886">
        <f>CO2データ!N151</f>
        <v>0.9</v>
      </c>
    </row>
    <row r="102" spans="2:20">
      <c r="B102" s="2111"/>
      <c r="C102" s="2112"/>
      <c r="D102" s="2112"/>
      <c r="E102" s="2174"/>
      <c r="F102" s="2171" t="s">
        <v>1122</v>
      </c>
      <c r="G102" s="2172"/>
      <c r="H102" s="525">
        <f>メイン!P77</f>
        <v>0</v>
      </c>
      <c r="I102" s="1356"/>
      <c r="J102" s="525">
        <f>CO2データ!V152</f>
        <v>0</v>
      </c>
      <c r="K102" s="1356"/>
      <c r="L102" s="2173" t="e">
        <f>CO2データ!R152</f>
        <v>#VALUE!</v>
      </c>
      <c r="M102" s="2112"/>
      <c r="N102" s="2112"/>
      <c r="O102" s="2112"/>
      <c r="P102" s="2112"/>
      <c r="Q102" s="2113"/>
      <c r="S102" s="1886">
        <f>CO2データ!N152</f>
        <v>0.83</v>
      </c>
    </row>
    <row r="103" spans="2:20">
      <c r="B103" s="2111"/>
      <c r="C103" s="2112"/>
      <c r="D103" s="2112"/>
      <c r="E103" s="2175" t="s">
        <v>1123</v>
      </c>
      <c r="F103" s="2171" t="s">
        <v>1124</v>
      </c>
      <c r="G103" s="2172"/>
      <c r="H103" s="525">
        <f>メイン!P78</f>
        <v>0</v>
      </c>
      <c r="I103" s="1356"/>
      <c r="J103" s="525">
        <f>CO2データ!V153</f>
        <v>0</v>
      </c>
      <c r="K103" s="1356"/>
      <c r="L103" s="2173" t="e">
        <f>CO2データ!R153</f>
        <v>#VALUE!</v>
      </c>
      <c r="M103" s="2112"/>
      <c r="N103" s="2112"/>
      <c r="O103" s="2112"/>
      <c r="P103" s="2112"/>
      <c r="Q103" s="2113"/>
      <c r="S103" s="1886">
        <f>CO2データ!N153</f>
        <v>0.71</v>
      </c>
    </row>
    <row r="104" spans="2:20">
      <c r="B104" s="2111"/>
      <c r="C104" s="2112"/>
      <c r="D104" s="2112"/>
      <c r="E104" s="2175"/>
      <c r="F104" s="2176" t="s">
        <v>1125</v>
      </c>
      <c r="G104" s="2177" t="s">
        <v>981</v>
      </c>
      <c r="H104" s="525">
        <f>メイン!P79</f>
        <v>0</v>
      </c>
      <c r="I104" s="1356"/>
      <c r="J104" s="525">
        <f>CO2データ!V154</f>
        <v>0</v>
      </c>
      <c r="K104" s="1356"/>
      <c r="L104" s="2173" t="e">
        <f>CO2データ!R154</f>
        <v>#VALUE!</v>
      </c>
      <c r="M104" s="2112"/>
      <c r="N104" s="2112"/>
      <c r="O104" s="2112"/>
      <c r="P104" s="2112"/>
      <c r="Q104" s="2113"/>
      <c r="S104" s="1886">
        <f>CO2データ!N154</f>
        <v>0.62299911901772109</v>
      </c>
    </row>
    <row r="105" spans="2:20">
      <c r="B105" s="2111"/>
      <c r="C105" s="2112"/>
      <c r="D105" s="2112"/>
      <c r="E105" s="2175"/>
      <c r="F105" s="2178"/>
      <c r="G105" s="2177" t="s">
        <v>510</v>
      </c>
      <c r="H105" s="525">
        <f>メイン!P80</f>
        <v>0</v>
      </c>
      <c r="I105" s="1356"/>
      <c r="J105" s="525">
        <f>CO2データ!V155</f>
        <v>0</v>
      </c>
      <c r="K105" s="1356"/>
      <c r="L105" s="2173" t="e">
        <f>CO2データ!R155</f>
        <v>#VALUE!</v>
      </c>
      <c r="M105" s="2112"/>
      <c r="N105" s="2112"/>
      <c r="O105" s="2112"/>
      <c r="P105" s="2112"/>
      <c r="Q105" s="2113"/>
      <c r="S105" s="1886">
        <f>CO2データ!N155</f>
        <v>0.75998792472086629</v>
      </c>
    </row>
    <row r="106" spans="2:20">
      <c r="B106" s="2111"/>
      <c r="C106" s="2112"/>
      <c r="D106" s="2112"/>
      <c r="E106" s="2175"/>
      <c r="F106" s="2171" t="s">
        <v>1126</v>
      </c>
      <c r="G106" s="2172"/>
      <c r="H106" s="525">
        <f>メイン!P81</f>
        <v>0</v>
      </c>
      <c r="I106" s="1356"/>
      <c r="J106" s="525">
        <f>CO2データ!V156</f>
        <v>0</v>
      </c>
      <c r="K106" s="1356"/>
      <c r="L106" s="2173" t="e">
        <f>CO2データ!R156</f>
        <v>#VALUE!</v>
      </c>
      <c r="M106" s="2112"/>
      <c r="N106" s="2112"/>
      <c r="O106" s="2112"/>
      <c r="P106" s="2112"/>
      <c r="Q106" s="2113"/>
      <c r="S106" s="1886">
        <f>CO2データ!N156</f>
        <v>0.74</v>
      </c>
    </row>
    <row r="107" spans="2:20">
      <c r="B107" s="2111"/>
      <c r="C107" s="2112"/>
      <c r="D107" s="2112"/>
      <c r="E107" s="2174"/>
      <c r="F107" s="2171" t="s">
        <v>1127</v>
      </c>
      <c r="G107" s="2172"/>
      <c r="H107" s="525">
        <f>メイン!P82</f>
        <v>0</v>
      </c>
      <c r="I107" s="1356"/>
      <c r="J107" s="525">
        <f>CO2データ!V157</f>
        <v>0</v>
      </c>
      <c r="K107" s="1356"/>
      <c r="L107" s="2173" t="e">
        <f>CO2データ!R157</f>
        <v>#VALUE!</v>
      </c>
      <c r="M107" s="2112"/>
      <c r="N107" s="2112"/>
      <c r="O107" s="2112"/>
      <c r="P107" s="2112"/>
      <c r="Q107" s="2113"/>
      <c r="S107" s="1886">
        <f>CO2データ!N157</f>
        <v>0.79</v>
      </c>
    </row>
    <row r="108" spans="2:20">
      <c r="B108" s="2111"/>
      <c r="C108" s="2112"/>
      <c r="D108" s="2112"/>
      <c r="E108" s="2170" t="s">
        <v>1128</v>
      </c>
      <c r="F108" s="2171" t="s">
        <v>856</v>
      </c>
      <c r="G108" s="2172"/>
      <c r="H108" s="525">
        <f>メイン!P83</f>
        <v>0</v>
      </c>
      <c r="I108" s="1356"/>
      <c r="J108" s="525">
        <f>CO2データ!V158</f>
        <v>0</v>
      </c>
      <c r="K108" s="1356"/>
      <c r="L108" s="2173" t="e">
        <f>CO2データ!R158</f>
        <v>#VALUE!</v>
      </c>
      <c r="M108" s="2112"/>
      <c r="N108" s="2112"/>
      <c r="O108" s="2112"/>
      <c r="P108" s="2112"/>
      <c r="Q108" s="2113"/>
      <c r="S108" s="1886">
        <f>CO2データ!N158</f>
        <v>0.93</v>
      </c>
    </row>
    <row r="109" spans="2:20">
      <c r="B109" s="2111"/>
      <c r="C109" s="2112"/>
      <c r="D109" s="2112"/>
      <c r="E109" s="2174"/>
      <c r="F109" s="2171" t="s">
        <v>1129</v>
      </c>
      <c r="G109" s="2172"/>
      <c r="H109" s="525">
        <f>メイン!P84</f>
        <v>0</v>
      </c>
      <c r="I109" s="1356"/>
      <c r="J109" s="525">
        <f>CO2データ!V159</f>
        <v>0</v>
      </c>
      <c r="K109" s="1356"/>
      <c r="L109" s="2173" t="e">
        <f>CO2データ!R159</f>
        <v>#VALUE!</v>
      </c>
      <c r="M109" s="2112"/>
      <c r="N109" s="2112"/>
      <c r="O109" s="2112"/>
      <c r="P109" s="2112"/>
      <c r="Q109" s="2113"/>
      <c r="S109" s="1886">
        <f>CO2データ!N159</f>
        <v>0.92</v>
      </c>
    </row>
    <row r="110" spans="2:20">
      <c r="B110" s="2111"/>
      <c r="C110" s="2112"/>
      <c r="D110" s="2112"/>
      <c r="E110" s="2171" t="s">
        <v>462</v>
      </c>
      <c r="F110" s="2179"/>
      <c r="G110" s="2172"/>
      <c r="H110" s="525">
        <f>メイン!P85</f>
        <v>4000</v>
      </c>
      <c r="I110" s="1356"/>
      <c r="J110" s="525">
        <f>CO2データ!V160</f>
        <v>2960</v>
      </c>
      <c r="K110" s="1356"/>
      <c r="L110" s="2173" t="e">
        <f>CO2データ!R160</f>
        <v>#VALUE!</v>
      </c>
      <c r="M110" s="2112"/>
      <c r="N110" s="2112"/>
      <c r="O110" s="2112"/>
      <c r="P110" s="2112"/>
      <c r="Q110" s="2113"/>
      <c r="S110" s="1886">
        <f>CO2データ!N160</f>
        <v>0.5</v>
      </c>
    </row>
    <row r="111" spans="2:20">
      <c r="B111" s="2111"/>
      <c r="C111" s="2112"/>
      <c r="D111" s="2112"/>
      <c r="E111" s="2170" t="s">
        <v>1130</v>
      </c>
      <c r="F111" s="2171" t="s">
        <v>1131</v>
      </c>
      <c r="G111" s="2172"/>
      <c r="H111" s="525">
        <f>メイン!P86</f>
        <v>0</v>
      </c>
      <c r="I111" s="1356"/>
      <c r="J111" s="525">
        <f>CO2データ!V161</f>
        <v>0</v>
      </c>
      <c r="K111" s="1356"/>
      <c r="L111" s="2173" t="e">
        <f>CO2データ!R161</f>
        <v>#VALUE!</v>
      </c>
      <c r="M111" s="2112"/>
      <c r="N111" s="2112"/>
      <c r="O111" s="2112"/>
      <c r="P111" s="2112"/>
      <c r="Q111" s="2113"/>
      <c r="S111" s="1886">
        <f>CO2データ!N161</f>
        <v>0.76</v>
      </c>
    </row>
    <row r="112" spans="2:20">
      <c r="B112" s="2111"/>
      <c r="C112" s="2112"/>
      <c r="D112" s="2112"/>
      <c r="E112" s="2175"/>
      <c r="F112" s="2171" t="s">
        <v>1132</v>
      </c>
      <c r="G112" s="2172"/>
      <c r="H112" s="525">
        <f>メイン!P87</f>
        <v>0</v>
      </c>
      <c r="I112" s="1356"/>
      <c r="J112" s="525">
        <f>CO2データ!V162</f>
        <v>0</v>
      </c>
      <c r="K112" s="1356"/>
      <c r="L112" s="2173" t="e">
        <f>CO2データ!R162</f>
        <v>#VALUE!</v>
      </c>
      <c r="M112" s="2112"/>
      <c r="N112" s="2112"/>
      <c r="O112" s="2112"/>
      <c r="P112" s="2112"/>
      <c r="Q112" s="2113"/>
      <c r="S112" s="1886">
        <f>CO2データ!N162</f>
        <v>0.81</v>
      </c>
    </row>
    <row r="113" spans="2:27">
      <c r="B113" s="2111"/>
      <c r="C113" s="2112"/>
      <c r="D113" s="2112"/>
      <c r="E113" s="2175"/>
      <c r="F113" s="2176" t="s">
        <v>1133</v>
      </c>
      <c r="G113" s="2180"/>
      <c r="H113" s="525">
        <f>メイン!P88</f>
        <v>0</v>
      </c>
      <c r="I113" s="1356"/>
      <c r="J113" s="525">
        <f>CO2データ!V163</f>
        <v>0</v>
      </c>
      <c r="K113" s="1356"/>
      <c r="L113" s="2173" t="e">
        <f>CO2データ!R163</f>
        <v>#VALUE!</v>
      </c>
      <c r="M113" s="2112"/>
      <c r="N113" s="2112"/>
      <c r="O113" s="2112"/>
      <c r="P113" s="2112"/>
      <c r="Q113" s="2113"/>
      <c r="S113" s="1886">
        <f>CO2データ!N163</f>
        <v>0.92</v>
      </c>
    </row>
    <row r="114" spans="2:27">
      <c r="B114" s="2111"/>
      <c r="C114" s="2112"/>
      <c r="D114" s="2112"/>
      <c r="E114" s="2171" t="s">
        <v>472</v>
      </c>
      <c r="F114" s="2179"/>
      <c r="G114" s="2172"/>
      <c r="H114" s="525">
        <f>メイン!P89</f>
        <v>0</v>
      </c>
      <c r="I114" s="1356"/>
      <c r="J114" s="525">
        <f>CO2データ!V164</f>
        <v>0</v>
      </c>
      <c r="K114" s="1356"/>
      <c r="L114" s="2173" t="e">
        <f>CO2データ!R164</f>
        <v>#VALUE!</v>
      </c>
      <c r="M114" s="2112"/>
      <c r="N114" s="2112"/>
      <c r="O114" s="2112"/>
      <c r="P114" s="2112"/>
      <c r="Q114" s="2113"/>
      <c r="S114" s="1886">
        <f>CO2データ!N164</f>
        <v>1</v>
      </c>
    </row>
    <row r="115" spans="2:27">
      <c r="B115" s="2111"/>
      <c r="C115" s="2112"/>
      <c r="D115" s="2112"/>
      <c r="E115" s="2171" t="s">
        <v>466</v>
      </c>
      <c r="F115" s="2179"/>
      <c r="G115" s="2172"/>
      <c r="H115" s="525">
        <f>メイン!P90</f>
        <v>0</v>
      </c>
      <c r="I115" s="1356"/>
      <c r="J115" s="525">
        <f>CO2データ!V165</f>
        <v>0</v>
      </c>
      <c r="K115" s="1356"/>
      <c r="L115" s="2173" t="e">
        <f>CO2データ!R165</f>
        <v>#VALUE!</v>
      </c>
      <c r="M115" s="2112"/>
      <c r="N115" s="2112"/>
      <c r="O115" s="2112"/>
      <c r="P115" s="2112"/>
      <c r="Q115" s="2113"/>
      <c r="S115" s="1886">
        <f>CO2データ!N165</f>
        <v>0.65</v>
      </c>
    </row>
    <row r="116" spans="2:27" ht="14.25" thickBot="1">
      <c r="B116" s="2111"/>
      <c r="C116" s="2112"/>
      <c r="D116" s="2112"/>
      <c r="E116" s="2171" t="s">
        <v>1134</v>
      </c>
      <c r="F116" s="2179"/>
      <c r="G116" s="2172"/>
      <c r="H116" s="525">
        <f>メイン!P91</f>
        <v>0</v>
      </c>
      <c r="I116" s="1356"/>
      <c r="J116" s="525">
        <f>CO2データ!V166</f>
        <v>0</v>
      </c>
      <c r="K116" s="1356"/>
      <c r="L116" s="2173" t="e">
        <f>CO2データ!R166</f>
        <v>#VALUE!</v>
      </c>
      <c r="M116" s="2112"/>
      <c r="N116" s="2112"/>
      <c r="O116" s="2112"/>
      <c r="P116" s="2112"/>
      <c r="Q116" s="2113"/>
      <c r="S116" s="1886">
        <f>CO2データ!N166</f>
        <v>0.77</v>
      </c>
    </row>
    <row r="117" spans="2:27" ht="14.25" thickBot="1">
      <c r="B117" s="2111"/>
      <c r="C117" s="2112"/>
      <c r="D117" s="2112"/>
      <c r="E117" s="2181" t="s">
        <v>1286</v>
      </c>
      <c r="F117" s="2181" t="s">
        <v>474</v>
      </c>
      <c r="G117" s="2181"/>
      <c r="H117" s="2182">
        <f>SUM(H101:H116)</f>
        <v>15000</v>
      </c>
      <c r="I117" s="1356"/>
      <c r="J117" s="2182">
        <f>SUMPRODUCT(H101:H116,J101:J116)/1000</f>
        <v>33070</v>
      </c>
      <c r="K117" s="1356" t="s">
        <v>1287</v>
      </c>
      <c r="L117" s="2183" t="e">
        <f>SUMPRODUCT(H101:H116,L101:L116)/H117</f>
        <v>#VALUE!</v>
      </c>
      <c r="M117" s="2112"/>
      <c r="N117" s="2112"/>
      <c r="O117" s="2112"/>
      <c r="P117" s="2112"/>
      <c r="Q117" s="2113"/>
      <c r="S117" s="1886"/>
      <c r="T117" s="2184">
        <f>SUMPRODUCT(H101:H116,J101:J116,S101:S116)/1000</f>
        <v>25027</v>
      </c>
    </row>
    <row r="118" spans="2:27">
      <c r="B118" s="2111"/>
      <c r="C118" s="2112"/>
      <c r="D118" s="2112"/>
      <c r="E118" s="1356"/>
      <c r="F118" s="1356"/>
      <c r="G118" s="1356"/>
      <c r="H118" s="1356"/>
      <c r="I118" s="1356"/>
      <c r="J118" s="1356"/>
      <c r="K118" s="1356"/>
      <c r="L118" s="1356"/>
      <c r="M118" s="2112"/>
      <c r="N118" s="2112"/>
      <c r="O118" s="2112"/>
      <c r="P118" s="2112"/>
      <c r="Q118" s="2113"/>
    </row>
    <row r="119" spans="2:27">
      <c r="B119" s="2111"/>
      <c r="C119" s="2112"/>
      <c r="D119" s="2112"/>
      <c r="E119" s="1357" t="s">
        <v>1288</v>
      </c>
      <c r="F119" s="151"/>
      <c r="G119" s="2112"/>
      <c r="H119" s="2162" t="s">
        <v>1281</v>
      </c>
      <c r="I119" s="2112"/>
      <c r="J119" s="2112"/>
      <c r="K119" s="2112"/>
      <c r="L119" s="2112"/>
      <c r="M119" s="2112"/>
      <c r="N119" s="2112"/>
      <c r="O119" s="2112"/>
      <c r="P119" s="2112"/>
      <c r="Q119" s="2113"/>
      <c r="V119" s="1"/>
      <c r="W119" s="1"/>
      <c r="Z119" s="1"/>
      <c r="AA119" s="1"/>
    </row>
    <row r="120" spans="2:27" ht="14.25" hidden="1" thickBot="1">
      <c r="B120" s="2111"/>
      <c r="C120" s="2112"/>
      <c r="D120" s="2112"/>
      <c r="E120" s="1357"/>
      <c r="F120" s="151"/>
      <c r="G120" s="2112"/>
      <c r="H120" s="2112"/>
      <c r="I120" s="2112"/>
      <c r="J120" s="2112"/>
      <c r="K120" s="2112"/>
      <c r="L120" s="2112"/>
      <c r="M120" s="2112"/>
      <c r="N120" s="2112"/>
      <c r="O120" s="2112"/>
      <c r="P120" s="2112"/>
      <c r="Q120" s="2113"/>
      <c r="S120" t="s">
        <v>1289</v>
      </c>
      <c r="T120" s="2185">
        <v>1</v>
      </c>
      <c r="V120" s="1884"/>
      <c r="W120" s="1884"/>
      <c r="Z120" s="1884"/>
      <c r="AA120" s="1884"/>
    </row>
    <row r="121" spans="2:27" ht="14.25" hidden="1" thickBot="1">
      <c r="B121" s="2111"/>
      <c r="C121" s="2112"/>
      <c r="D121" s="2112"/>
      <c r="E121" s="1357"/>
      <c r="F121" s="1357" t="s">
        <v>1290</v>
      </c>
      <c r="G121" s="151"/>
      <c r="H121" s="1874">
        <f>IF(T120=1,0,H117-H104-H105)</f>
        <v>0</v>
      </c>
      <c r="I121" s="2112"/>
      <c r="J121" s="2112"/>
      <c r="K121" s="2112"/>
      <c r="L121" s="2112"/>
      <c r="M121" s="2112"/>
      <c r="N121" s="2186"/>
      <c r="O121" s="2112" t="s">
        <v>1291</v>
      </c>
      <c r="P121" s="2112"/>
      <c r="Q121" s="2113"/>
      <c r="S121" s="1886"/>
      <c r="V121" s="1884"/>
      <c r="W121" s="1884"/>
      <c r="Z121" s="1884"/>
      <c r="AA121" s="1884"/>
    </row>
    <row r="122" spans="2:27">
      <c r="B122" s="2187"/>
      <c r="C122" s="1348"/>
      <c r="D122" s="1348"/>
      <c r="E122" s="1357"/>
      <c r="F122" s="1357" t="s">
        <v>1292</v>
      </c>
      <c r="G122" s="151"/>
      <c r="H122" s="2118" t="s">
        <v>1213</v>
      </c>
      <c r="I122" s="2118"/>
      <c r="J122" s="1351" t="s">
        <v>143</v>
      </c>
      <c r="K122" s="1351" t="s">
        <v>144</v>
      </c>
      <c r="L122" s="1351" t="s">
        <v>145</v>
      </c>
      <c r="M122" s="1352" t="s">
        <v>146</v>
      </c>
      <c r="N122" s="1352" t="s">
        <v>1035</v>
      </c>
      <c r="O122" s="2188"/>
      <c r="P122" s="1889"/>
      <c r="Q122" s="2189"/>
    </row>
    <row r="123" spans="2:27" ht="14.25" thickBot="1">
      <c r="B123" s="2187"/>
      <c r="C123" s="1348"/>
      <c r="D123" s="1348"/>
      <c r="E123" s="1357"/>
      <c r="F123" s="1357"/>
      <c r="G123" s="2118" t="s">
        <v>1293</v>
      </c>
      <c r="H123" s="2190">
        <f>H104+H105+M37</f>
        <v>320</v>
      </c>
      <c r="I123" s="2118"/>
      <c r="J123" s="2191">
        <v>0</v>
      </c>
      <c r="K123" s="2191">
        <v>1</v>
      </c>
      <c r="L123" s="2280">
        <v>15</v>
      </c>
      <c r="M123" s="2192">
        <f>スコア入力!N120</f>
        <v>3</v>
      </c>
      <c r="N123" s="2193">
        <f>IF(M123&gt;=5,$L123,IF(M123&gt;=4,$K123,$J123))</f>
        <v>0</v>
      </c>
      <c r="O123" s="2112"/>
      <c r="P123" s="1889"/>
      <c r="Q123" s="2189"/>
    </row>
    <row r="124" spans="2:27" ht="14.25" thickBot="1">
      <c r="B124" s="2187"/>
      <c r="C124" s="1348"/>
      <c r="D124" s="1348"/>
      <c r="E124" s="1357"/>
      <c r="F124" s="1357"/>
      <c r="G124" s="151" t="s">
        <v>1294</v>
      </c>
      <c r="H124" s="1874">
        <f>IF(T120=1,H117-H104-H105,0)</f>
        <v>15000</v>
      </c>
      <c r="I124" s="2118"/>
      <c r="J124" s="2191">
        <v>0</v>
      </c>
      <c r="K124" s="2191">
        <v>1</v>
      </c>
      <c r="L124" s="2281">
        <v>15</v>
      </c>
      <c r="M124" s="2192">
        <f>スコア入力!N121</f>
        <v>3</v>
      </c>
      <c r="N124" s="2193">
        <f>IF(M124&gt;=5,$L124,IF(M124&gt;=4,$K124,$J124))</f>
        <v>0</v>
      </c>
      <c r="O124" s="2112" t="s">
        <v>782</v>
      </c>
      <c r="P124" s="1889"/>
      <c r="Q124" s="2189"/>
    </row>
    <row r="125" spans="2:27">
      <c r="B125" s="2187"/>
      <c r="C125" s="1348"/>
      <c r="D125" s="1348"/>
      <c r="E125" s="2194"/>
      <c r="F125" s="2194"/>
      <c r="G125" s="2195"/>
      <c r="H125" s="151"/>
      <c r="I125" s="151"/>
      <c r="J125" s="151"/>
      <c r="K125" s="151"/>
      <c r="L125" s="151"/>
      <c r="M125" s="151"/>
      <c r="N125" s="151"/>
      <c r="O125" s="2188"/>
      <c r="P125" s="1889"/>
      <c r="Q125" s="2189"/>
    </row>
    <row r="126" spans="2:27">
      <c r="B126" s="2160"/>
      <c r="C126" s="1348"/>
      <c r="D126" s="1348"/>
      <c r="E126" s="1357" t="s">
        <v>1295</v>
      </c>
      <c r="F126" s="2194"/>
      <c r="G126" s="2112"/>
      <c r="H126" s="2196"/>
      <c r="I126" s="2112"/>
      <c r="J126" s="1351" t="s">
        <v>143</v>
      </c>
      <c r="K126" s="1351" t="s">
        <v>144</v>
      </c>
      <c r="L126" s="1351" t="s">
        <v>145</v>
      </c>
      <c r="M126" s="1352" t="s">
        <v>146</v>
      </c>
      <c r="N126" s="1352" t="s">
        <v>1296</v>
      </c>
      <c r="O126" s="1354"/>
      <c r="P126" s="1889"/>
      <c r="Q126" s="2189"/>
    </row>
    <row r="127" spans="2:27">
      <c r="B127" s="2160"/>
      <c r="C127" s="1348"/>
      <c r="D127" s="1348"/>
      <c r="E127" s="1357"/>
      <c r="F127" s="1357" t="s">
        <v>1297</v>
      </c>
      <c r="G127" s="2112"/>
      <c r="H127" s="2112"/>
      <c r="I127" s="2112"/>
      <c r="J127" s="2197">
        <v>1</v>
      </c>
      <c r="K127" s="2198">
        <v>0.97499999999999998</v>
      </c>
      <c r="L127" s="2197">
        <v>0.95</v>
      </c>
      <c r="M127" s="2192">
        <f>スコア表示!L134</f>
        <v>3</v>
      </c>
      <c r="N127" s="2199">
        <f>IF(M127&gt;=5,$L127,IF(M127&gt;=4,$K127,$J127))</f>
        <v>1</v>
      </c>
      <c r="O127" s="1354"/>
      <c r="P127" s="1889"/>
      <c r="Q127" s="2189"/>
    </row>
    <row r="128" spans="2:27">
      <c r="B128" s="2160"/>
      <c r="C128" s="1348"/>
      <c r="D128" s="2112"/>
      <c r="E128" s="2112"/>
      <c r="F128" s="2112"/>
      <c r="G128" s="2112"/>
      <c r="H128" s="2112"/>
      <c r="I128" s="2112"/>
      <c r="J128" s="2112"/>
      <c r="K128" s="2112"/>
      <c r="L128" s="2112"/>
      <c r="M128" s="2112"/>
      <c r="N128" s="1345"/>
      <c r="O128" s="1354"/>
      <c r="P128" s="1354"/>
      <c r="Q128" s="1347"/>
    </row>
    <row r="129" spans="2:19">
      <c r="B129" s="2160"/>
      <c r="C129" s="1348"/>
      <c r="D129" s="2112"/>
      <c r="E129" s="2115" t="s">
        <v>1298</v>
      </c>
      <c r="F129" s="2112"/>
      <c r="G129" s="2200"/>
      <c r="H129" s="2112"/>
      <c r="I129" s="2112"/>
      <c r="J129" s="2112"/>
      <c r="K129" s="2112"/>
      <c r="L129" s="2112"/>
      <c r="M129" s="2112"/>
      <c r="N129" s="2112" t="s">
        <v>65</v>
      </c>
      <c r="O129" s="2112"/>
      <c r="P129" s="2112"/>
      <c r="Q129" s="2161" t="s">
        <v>138</v>
      </c>
    </row>
    <row r="130" spans="2:19">
      <c r="B130" s="2160"/>
      <c r="C130" s="1348"/>
      <c r="D130" s="2112"/>
      <c r="E130" s="2112"/>
      <c r="F130" s="2112"/>
      <c r="G130" s="2200"/>
      <c r="H130" s="2112"/>
      <c r="I130" s="2112"/>
      <c r="J130" s="2112"/>
      <c r="K130" s="2112"/>
      <c r="L130" s="2112"/>
      <c r="M130" s="2112"/>
      <c r="N130" s="1345" t="s">
        <v>1237</v>
      </c>
      <c r="O130" s="1354"/>
      <c r="P130" s="1354"/>
      <c r="Q130" s="1347" t="s">
        <v>1237</v>
      </c>
    </row>
    <row r="131" spans="2:19">
      <c r="B131" s="2160"/>
      <c r="C131" s="1348"/>
      <c r="D131" s="2112"/>
      <c r="E131" s="1356"/>
      <c r="F131" s="2112" t="s">
        <v>1135</v>
      </c>
      <c r="G131" s="2200"/>
      <c r="H131" s="2112"/>
      <c r="I131" s="2112"/>
      <c r="J131" s="2118" t="s">
        <v>1299</v>
      </c>
      <c r="K131" s="2118" t="s">
        <v>65</v>
      </c>
      <c r="L131" s="2118" t="s">
        <v>138</v>
      </c>
      <c r="M131" s="2118"/>
      <c r="N131" s="2167" t="str">
        <f>IF(N52=0,0,IF(N84=T82,IF(N65=0,"-",N65),J133*K133/1000))</f>
        <v>-</v>
      </c>
      <c r="O131" s="2112"/>
      <c r="P131" s="2112"/>
      <c r="Q131" s="2168">
        <f>IF(N52=0,0,IF(N84=T82,(N62-N63)*1.1+N63,J133*L133/1000))</f>
        <v>0</v>
      </c>
      <c r="S131" s="1886"/>
    </row>
    <row r="132" spans="2:19">
      <c r="B132" s="2160"/>
      <c r="C132" s="1348"/>
      <c r="D132" s="2112"/>
      <c r="E132" s="1356"/>
      <c r="F132" s="2112"/>
      <c r="G132" s="2200"/>
      <c r="H132" s="2112"/>
      <c r="I132" s="2112"/>
      <c r="J132" s="2118" t="s">
        <v>1213</v>
      </c>
      <c r="K132" s="2201" t="s">
        <v>782</v>
      </c>
      <c r="L132" s="2201" t="s">
        <v>782</v>
      </c>
      <c r="M132" s="2118"/>
      <c r="N132" s="2202"/>
      <c r="O132" s="2112"/>
      <c r="P132" s="2112"/>
      <c r="Q132" s="2203"/>
    </row>
    <row r="133" spans="2:19">
      <c r="B133" s="2160"/>
      <c r="C133" s="1348"/>
      <c r="D133" s="2112"/>
      <c r="E133" s="1356"/>
      <c r="F133" s="2112"/>
      <c r="G133" s="151" t="s">
        <v>1300</v>
      </c>
      <c r="H133" s="2112"/>
      <c r="I133" s="2118"/>
      <c r="J133" s="2167">
        <f>N52</f>
        <v>300</v>
      </c>
      <c r="K133" s="2167">
        <f>CO2データ!P196</f>
        <v>1343</v>
      </c>
      <c r="L133" s="2167">
        <f>CO2データ!P197</f>
        <v>1163</v>
      </c>
      <c r="M133" s="2118"/>
      <c r="N133" s="1345"/>
      <c r="O133" s="1354"/>
      <c r="P133" s="1354"/>
      <c r="Q133" s="1347"/>
    </row>
    <row r="134" spans="2:19" ht="6.75" customHeight="1">
      <c r="B134" s="2160"/>
      <c r="C134" s="1348"/>
      <c r="D134" s="2112"/>
      <c r="E134" s="1356"/>
      <c r="F134" s="2112"/>
      <c r="G134" s="151"/>
      <c r="H134" s="2112"/>
      <c r="I134" s="2118"/>
      <c r="J134" s="2202"/>
      <c r="K134" s="2202"/>
      <c r="L134" s="2202"/>
      <c r="M134" s="2118"/>
      <c r="N134" s="1345"/>
      <c r="O134" s="1354"/>
      <c r="P134" s="1354"/>
      <c r="Q134" s="1347"/>
    </row>
    <row r="135" spans="2:19">
      <c r="B135" s="2160"/>
      <c r="C135" s="1348"/>
      <c r="D135" s="2112"/>
      <c r="E135" s="2112"/>
      <c r="F135" s="2112" t="s">
        <v>774</v>
      </c>
      <c r="G135" s="2200"/>
      <c r="H135" s="2112"/>
      <c r="I135" s="2112"/>
      <c r="J135" s="2112"/>
      <c r="K135" s="2112"/>
      <c r="L135" s="2162"/>
      <c r="M135" s="2112"/>
      <c r="N135" s="2167" t="str">
        <f>IF(M52=0,0,IF(M65=0,"-",M65))</f>
        <v>-</v>
      </c>
      <c r="O135" s="1354"/>
      <c r="P135" s="1889"/>
      <c r="Q135" s="2168">
        <f>IF(M52=0,0,M62)</f>
        <v>0</v>
      </c>
      <c r="S135" s="1886"/>
    </row>
    <row r="136" spans="2:19" ht="14.25" thickBot="1">
      <c r="B136" s="2150"/>
      <c r="C136" s="2151"/>
      <c r="D136" s="2151"/>
      <c r="E136" s="2151"/>
      <c r="F136" s="2151"/>
      <c r="G136" s="2151"/>
      <c r="H136" s="2151"/>
      <c r="I136" s="2151"/>
      <c r="J136" s="2151"/>
      <c r="K136" s="2151"/>
      <c r="L136" s="2151"/>
      <c r="M136" s="2151"/>
      <c r="N136" s="2151"/>
      <c r="O136" s="2151"/>
      <c r="P136" s="2151"/>
      <c r="Q136" s="2153"/>
    </row>
    <row r="137" spans="2:19">
      <c r="H137" s="1887"/>
    </row>
    <row r="138" spans="2:19"/>
    <row r="139" spans="2:19"/>
    <row r="140" spans="2:19"/>
    <row r="141" spans="2:19"/>
    <row r="142" spans="2:19"/>
    <row r="143" spans="2:19"/>
  </sheetData>
  <sheetProtection password="82B4" sheet="1" objects="1" scenarios="1"/>
  <mergeCells count="23">
    <mergeCell ref="E29:G29"/>
    <mergeCell ref="E47:G47"/>
    <mergeCell ref="E84:K86"/>
    <mergeCell ref="N84:P84"/>
    <mergeCell ref="C4:E4"/>
    <mergeCell ref="F4:G4"/>
    <mergeCell ref="C5:E5"/>
    <mergeCell ref="F5:G5"/>
    <mergeCell ref="C7:E7"/>
    <mergeCell ref="F7:G7"/>
    <mergeCell ref="L7:M7"/>
    <mergeCell ref="C8:E8"/>
    <mergeCell ref="F8:G8"/>
    <mergeCell ref="L8:M8"/>
    <mergeCell ref="C11:G11"/>
    <mergeCell ref="H17:N17"/>
    <mergeCell ref="C19:G19"/>
    <mergeCell ref="C20:G20"/>
    <mergeCell ref="H11:I11"/>
    <mergeCell ref="C12:G12"/>
    <mergeCell ref="H12:I12"/>
    <mergeCell ref="C15:G15"/>
    <mergeCell ref="C16:G16"/>
  </mergeCells>
  <phoneticPr fontId="20"/>
  <conditionalFormatting sqref="N121">
    <cfRule type="expression" dxfId="75" priority="16" stopIfTrue="1">
      <formula>$J$75&gt;0</formula>
    </cfRule>
  </conditionalFormatting>
  <conditionalFormatting sqref="I48:I49">
    <cfRule type="expression" dxfId="74" priority="4" stopIfTrue="1">
      <formula>$E$47=$S$50</formula>
    </cfRule>
  </conditionalFormatting>
  <conditionalFormatting sqref="I62:I65">
    <cfRule type="expression" dxfId="73" priority="3" stopIfTrue="1">
      <formula>OR($I$52=0,$E$47=$S$51)</formula>
    </cfRule>
  </conditionalFormatting>
  <conditionalFormatting sqref="M62:M66">
    <cfRule type="expression" dxfId="72" priority="2">
      <formula>$M$37=0</formula>
    </cfRule>
  </conditionalFormatting>
  <conditionalFormatting sqref="N62:N66">
    <cfRule type="expression" dxfId="71" priority="1">
      <formula>$M$37=0</formula>
    </cfRule>
  </conditionalFormatting>
  <conditionalFormatting sqref="H5:I5">
    <cfRule type="expression" dxfId="70" priority="10">
      <formula>$F$5="BPIm（モデル建物法）"</formula>
    </cfRule>
    <cfRule type="expression" dxfId="69" priority="12">
      <formula>$F$5="BPI（標準法）"</formula>
    </cfRule>
  </conditionalFormatting>
  <conditionalFormatting sqref="J5">
    <cfRule type="expression" dxfId="68" priority="9">
      <formula>$F$5="BPIm（モデル建物法）"</formula>
    </cfRule>
    <cfRule type="expression" dxfId="67" priority="11">
      <formula>$F$5="BPI（標準法）"</formula>
    </cfRule>
  </conditionalFormatting>
  <conditionalFormatting sqref="H8:I8">
    <cfRule type="expression" dxfId="66" priority="6">
      <formula>$F$8="BEIm（モデル建物法）"</formula>
    </cfRule>
    <cfRule type="expression" dxfId="65" priority="8">
      <formula>$F$8="BEI（標準法）"</formula>
    </cfRule>
  </conditionalFormatting>
  <conditionalFormatting sqref="J8 L8">
    <cfRule type="expression" dxfId="64" priority="5">
      <formula>$F$8="BEIm（モデル建物法）"</formula>
    </cfRule>
    <cfRule type="expression" dxfId="63" priority="7">
      <formula>$F$8="BEI（標準法）"</formula>
    </cfRule>
  </conditionalFormatting>
  <dataValidations count="8">
    <dataValidation allowBlank="1" showInputMessage="1" sqref="N121"/>
    <dataValidation type="list" allowBlank="1" showInputMessage="1" sqref="N84">
      <formula1>$T$82:$T$84</formula1>
    </dataValidation>
    <dataValidation type="list" allowBlank="1" showInputMessage="1" showErrorMessage="1" sqref="F88">
      <formula1>$T$88:$T$91</formula1>
    </dataValidation>
    <dataValidation type="list" allowBlank="1" showInputMessage="1" showErrorMessage="1" sqref="K88">
      <formula1>$U$88:$U$90</formula1>
    </dataValidation>
    <dataValidation type="list" allowBlank="1" showInputMessage="1" showErrorMessage="1" sqref="N60">
      <formula1>$S$60:$S$64</formula1>
    </dataValidation>
    <dataValidation type="list" allowBlank="1" showInputMessage="1" showErrorMessage="1" sqref="F5:G5">
      <formula1>"BPI（標準法）,BPIm（モデル建物法）"</formula1>
    </dataValidation>
    <dataValidation type="list" allowBlank="1" showInputMessage="1" showErrorMessage="1" sqref="H12:I12">
      <formula1>"対象外,等級1,等級2,等級3,等級4"</formula1>
    </dataValidation>
    <dataValidation type="list" allowBlank="1" showInputMessage="1" showErrorMessage="1" sqref="F8:G8">
      <formula1>"BEI（標準法）,BEIm（モデル建物法）"</formula1>
    </dataValidation>
  </dataValidations>
  <pageMargins left="0.78740157480314965" right="0.78740157480314965" top="0.98425196850393704" bottom="0.98425196850393704" header="0.51181102362204722" footer="0.51181102362204722"/>
  <pageSetup paperSize="9" scale="67" fitToHeight="0" orientation="portrait" r:id="rId1"/>
  <headerFooter alignWithMargins="0">
    <oddHeader>&amp;L&amp;F&amp;R&amp;A</oddHeader>
    <oddFooter>&amp;C&amp;P/&amp;N</oddFooter>
  </headerFooter>
  <rowBreaks count="2" manualBreakCount="2">
    <brk id="24" max="16383" man="1"/>
    <brk id="93" max="16383" man="1"/>
  </rowBreaks>
  <legacyDrawing r:id="rId2"/>
</worksheet>
</file>

<file path=xl/worksheets/sheet11.xml><?xml version="1.0" encoding="utf-8"?>
<worksheet xmlns="http://schemas.openxmlformats.org/spreadsheetml/2006/main" xmlns:r="http://schemas.openxmlformats.org/officeDocument/2006/relationships">
  <sheetPr codeName="Sheet14">
    <pageSetUpPr fitToPage="1"/>
  </sheetPr>
  <dimension ref="A1:AC142"/>
  <sheetViews>
    <sheetView showGridLines="0" zoomScaleNormal="100" zoomScaleSheetLayoutView="100" workbookViewId="0">
      <selection activeCell="L124" sqref="L124"/>
    </sheetView>
  </sheetViews>
  <sheetFormatPr defaultColWidth="0" defaultRowHeight="13.5" zeroHeight="1"/>
  <cols>
    <col min="1" max="2" width="1.375" customWidth="1"/>
    <col min="3" max="3" width="2.125" customWidth="1"/>
    <col min="4" max="4" width="2.5" customWidth="1"/>
    <col min="5" max="8" width="9.5" customWidth="1"/>
    <col min="9" max="9" width="11.375" customWidth="1"/>
    <col min="10" max="13" width="9.5" customWidth="1"/>
    <col min="14" max="14" width="10.75" customWidth="1"/>
    <col min="15" max="15" width="3.25" customWidth="1"/>
    <col min="16" max="16" width="9.5" customWidth="1"/>
    <col min="17" max="17" width="10.75" customWidth="1"/>
    <col min="18" max="18" width="1" customWidth="1"/>
    <col min="19" max="19" width="26.875" hidden="1" customWidth="1"/>
    <col min="20" max="20" width="23.5" hidden="1" customWidth="1"/>
    <col min="21" max="21" width="23.25" hidden="1" customWidth="1"/>
    <col min="22" max="23" width="9.125" hidden="1" customWidth="1"/>
    <col min="24" max="24" width="13.875" hidden="1" customWidth="1"/>
    <col min="25" max="25" width="12.75" hidden="1" customWidth="1"/>
    <col min="26" max="26" width="6.75" hidden="1" customWidth="1"/>
    <col min="27" max="27" width="10.375" hidden="1" customWidth="1"/>
    <col min="28" max="28" width="13.875" hidden="1" customWidth="1"/>
    <col min="29" max="29" width="12.75" hidden="1" customWidth="1"/>
    <col min="30" max="16384" width="9" hidden="1"/>
  </cols>
  <sheetData>
    <row r="1" spans="2:17" s="2674" customFormat="1" ht="14.25" thickBot="1"/>
    <row r="2" spans="2:17" s="2674" customFormat="1" ht="14.25">
      <c r="B2" s="2640"/>
      <c r="C2" s="2641" t="s">
        <v>2026</v>
      </c>
      <c r="D2" s="2642"/>
      <c r="E2" s="2642"/>
      <c r="F2" s="2642"/>
      <c r="G2" s="2642"/>
      <c r="H2" s="2642"/>
      <c r="I2" s="2642"/>
      <c r="J2" s="2642"/>
      <c r="K2" s="2642"/>
      <c r="L2" s="2642"/>
      <c r="M2" s="2642"/>
      <c r="N2" s="2642"/>
      <c r="O2" s="2642"/>
      <c r="P2" s="2642"/>
      <c r="Q2" s="2643"/>
    </row>
    <row r="3" spans="2:17" s="2646" customFormat="1" ht="12">
      <c r="B3" s="2647"/>
      <c r="C3" s="2645" t="s">
        <v>2027</v>
      </c>
      <c r="D3" s="2648"/>
      <c r="E3" s="2648"/>
      <c r="F3" s="2648"/>
      <c r="G3" s="2649"/>
      <c r="H3" s="2649"/>
      <c r="I3" s="2649"/>
      <c r="J3" s="2649"/>
      <c r="K3" s="2649"/>
      <c r="L3" s="2649"/>
      <c r="M3" s="2649"/>
      <c r="N3" s="2649"/>
      <c r="O3" s="2649"/>
      <c r="P3" s="2649"/>
      <c r="Q3" s="2650"/>
    </row>
    <row r="4" spans="2:17" s="2646" customFormat="1" ht="30" customHeight="1">
      <c r="B4" s="2651"/>
      <c r="C4" s="2872"/>
      <c r="D4" s="2877"/>
      <c r="E4" s="2873"/>
      <c r="F4" s="2872" t="s">
        <v>2028</v>
      </c>
      <c r="G4" s="2873"/>
      <c r="H4" s="2676" t="s">
        <v>2043</v>
      </c>
      <c r="I4" s="2676" t="s">
        <v>2044</v>
      </c>
      <c r="J4" s="2675" t="s">
        <v>2052</v>
      </c>
      <c r="K4" s="2674"/>
      <c r="L4" s="2674"/>
      <c r="M4" s="2674"/>
      <c r="N4" s="2649"/>
      <c r="O4" s="2649"/>
      <c r="P4" s="2649"/>
      <c r="Q4" s="2650"/>
    </row>
    <row r="5" spans="2:17" s="2646" customFormat="1" ht="20.100000000000001" customHeight="1">
      <c r="B5" s="2651"/>
      <c r="C5" s="2872" t="s">
        <v>2030</v>
      </c>
      <c r="D5" s="2877"/>
      <c r="E5" s="2873"/>
      <c r="F5" s="2990" t="s">
        <v>2040</v>
      </c>
      <c r="G5" s="2991"/>
      <c r="H5" s="2992"/>
      <c r="I5" s="2992"/>
      <c r="J5" s="2993"/>
      <c r="K5" s="2674"/>
      <c r="L5" s="2674"/>
      <c r="M5" s="2674"/>
      <c r="N5" s="2649"/>
      <c r="O5" s="2649"/>
      <c r="P5" s="2649"/>
      <c r="Q5" s="2650"/>
    </row>
    <row r="6" spans="2:17" s="2646" customFormat="1" ht="12">
      <c r="B6" s="2647"/>
      <c r="C6" s="2648"/>
      <c r="D6" s="2648"/>
      <c r="E6" s="2648"/>
      <c r="F6" s="2648"/>
      <c r="G6" s="2649"/>
      <c r="H6" s="2649"/>
      <c r="I6" s="2649"/>
      <c r="J6" s="2649"/>
      <c r="K6" s="2649"/>
      <c r="L6" s="2649"/>
      <c r="M6" s="2649"/>
      <c r="N6" s="2649"/>
      <c r="O6" s="2649"/>
      <c r="P6" s="2649"/>
      <c r="Q6" s="2650"/>
    </row>
    <row r="7" spans="2:17" s="2646" customFormat="1" ht="60" customHeight="1">
      <c r="B7" s="2651"/>
      <c r="C7" s="2872"/>
      <c r="D7" s="2877"/>
      <c r="E7" s="2873"/>
      <c r="F7" s="2872" t="s">
        <v>2028</v>
      </c>
      <c r="G7" s="2873"/>
      <c r="H7" s="2676" t="s">
        <v>2045</v>
      </c>
      <c r="I7" s="2676" t="s">
        <v>2044</v>
      </c>
      <c r="J7" s="2675" t="s">
        <v>2046</v>
      </c>
      <c r="K7" s="2664" t="s">
        <v>2048</v>
      </c>
      <c r="L7" s="2890" t="s">
        <v>2049</v>
      </c>
      <c r="M7" s="2890"/>
      <c r="N7" s="2654"/>
      <c r="O7" s="2649"/>
      <c r="Q7" s="2650"/>
    </row>
    <row r="8" spans="2:17" s="2646" customFormat="1" ht="20.100000000000001" customHeight="1">
      <c r="B8" s="2651"/>
      <c r="C8" s="2891" t="s">
        <v>2031</v>
      </c>
      <c r="D8" s="2892"/>
      <c r="E8" s="2893"/>
      <c r="F8" s="2990" t="s">
        <v>2041</v>
      </c>
      <c r="G8" s="2991"/>
      <c r="H8" s="2992"/>
      <c r="I8" s="2992"/>
      <c r="J8" s="2994"/>
      <c r="K8" s="2995"/>
      <c r="L8" s="2996"/>
      <c r="M8" s="2996"/>
      <c r="N8" s="2654"/>
      <c r="O8" s="2649"/>
      <c r="Q8" s="2650"/>
    </row>
    <row r="9" spans="2:17" s="2646" customFormat="1" ht="12">
      <c r="B9" s="2647"/>
      <c r="C9" s="2648"/>
      <c r="D9" s="2648"/>
      <c r="E9" s="2648"/>
      <c r="F9" s="2648"/>
      <c r="G9" s="2649"/>
      <c r="H9" s="2649"/>
      <c r="I9" s="2649"/>
      <c r="J9" s="2649"/>
      <c r="K9" s="2649"/>
      <c r="L9" s="2649"/>
      <c r="M9" s="2649"/>
      <c r="N9" s="2649"/>
      <c r="O9" s="2649"/>
      <c r="P9" s="2649"/>
      <c r="Q9" s="2650"/>
    </row>
    <row r="10" spans="2:17" s="2646" customFormat="1" ht="12">
      <c r="B10" s="2651"/>
      <c r="C10" s="2649" t="s">
        <v>2032</v>
      </c>
      <c r="D10" s="2648"/>
      <c r="E10" s="2648"/>
      <c r="F10" s="2648"/>
      <c r="G10" s="2648"/>
      <c r="H10" s="2648"/>
      <c r="I10" s="2649"/>
      <c r="J10" s="2649"/>
      <c r="K10" s="2649"/>
      <c r="L10" s="2649"/>
      <c r="M10" s="2649"/>
      <c r="N10" s="2649"/>
      <c r="O10" s="2649"/>
      <c r="P10" s="2649"/>
      <c r="Q10" s="2650"/>
    </row>
    <row r="11" spans="2:17" s="2646" customFormat="1" ht="30" customHeight="1">
      <c r="B11" s="2651"/>
      <c r="C11" s="2874"/>
      <c r="D11" s="2874"/>
      <c r="E11" s="2874"/>
      <c r="F11" s="2874"/>
      <c r="G11" s="2874"/>
      <c r="H11" s="2872" t="s">
        <v>2033</v>
      </c>
      <c r="I11" s="2873"/>
      <c r="J11" s="2674"/>
      <c r="K11" s="2674"/>
      <c r="L11" s="2674"/>
      <c r="M11" s="2674"/>
      <c r="N11" s="2649"/>
      <c r="O11" s="2649"/>
      <c r="P11" s="2649"/>
      <c r="Q11" s="2650"/>
    </row>
    <row r="12" spans="2:17" s="2646" customFormat="1" ht="20.100000000000001" customHeight="1">
      <c r="B12" s="2651"/>
      <c r="C12" s="2874" t="s">
        <v>2030</v>
      </c>
      <c r="D12" s="2874"/>
      <c r="E12" s="2874"/>
      <c r="F12" s="2874"/>
      <c r="G12" s="2874"/>
      <c r="H12" s="2997" t="s">
        <v>2034</v>
      </c>
      <c r="I12" s="2998"/>
      <c r="J12" s="2674"/>
      <c r="K12" s="2674"/>
      <c r="L12" s="2674"/>
      <c r="M12" s="2674"/>
      <c r="N12" s="2649"/>
      <c r="O12" s="2649"/>
      <c r="P12" s="2649"/>
      <c r="Q12" s="2650"/>
    </row>
    <row r="13" spans="2:17" s="2646" customFormat="1" ht="12">
      <c r="B13" s="2651"/>
      <c r="C13" s="2655"/>
      <c r="D13" s="2656"/>
      <c r="E13" s="2645"/>
      <c r="F13" s="2655"/>
      <c r="G13" s="2648"/>
      <c r="H13" s="2648"/>
      <c r="I13" s="2649"/>
      <c r="J13" s="2649"/>
      <c r="K13" s="2649"/>
      <c r="L13" s="2649"/>
      <c r="M13" s="2649"/>
      <c r="N13" s="2649"/>
      <c r="O13" s="2649"/>
      <c r="P13" s="2649"/>
      <c r="Q13" s="2650"/>
    </row>
    <row r="14" spans="2:17" s="2646" customFormat="1" ht="12">
      <c r="B14" s="2651"/>
      <c r="C14" s="2655" t="s">
        <v>2035</v>
      </c>
      <c r="D14" s="2656"/>
      <c r="E14" s="2645"/>
      <c r="F14" s="2655" t="s">
        <v>2042</v>
      </c>
      <c r="G14" s="2648"/>
      <c r="H14" s="2648"/>
      <c r="I14" s="2649"/>
      <c r="J14" s="2649"/>
      <c r="K14" s="2649"/>
      <c r="L14" s="2649"/>
      <c r="M14" s="2649"/>
      <c r="N14" s="2649"/>
      <c r="O14" s="2649"/>
      <c r="P14" s="2649"/>
      <c r="Q14" s="2650"/>
    </row>
    <row r="15" spans="2:17" s="2646" customFormat="1" ht="60" customHeight="1">
      <c r="B15" s="2651"/>
      <c r="C15" s="2872"/>
      <c r="D15" s="2877"/>
      <c r="E15" s="2877"/>
      <c r="F15" s="2877"/>
      <c r="G15" s="2873"/>
      <c r="H15" s="2676" t="s">
        <v>2045</v>
      </c>
      <c r="I15" s="2676" t="s">
        <v>2044</v>
      </c>
      <c r="J15" s="2664" t="s">
        <v>2051</v>
      </c>
      <c r="K15" s="2664" t="s">
        <v>2048</v>
      </c>
      <c r="L15" s="2654"/>
      <c r="M15" s="2649"/>
      <c r="N15" s="2649"/>
      <c r="Q15" s="2650"/>
    </row>
    <row r="16" spans="2:17" s="2646" customFormat="1" ht="20.100000000000001" customHeight="1">
      <c r="B16" s="2657"/>
      <c r="C16" s="2872" t="s">
        <v>2031</v>
      </c>
      <c r="D16" s="2877"/>
      <c r="E16" s="2877"/>
      <c r="F16" s="2877"/>
      <c r="G16" s="2873"/>
      <c r="H16" s="2995"/>
      <c r="I16" s="2995"/>
      <c r="J16" s="2995"/>
      <c r="K16" s="2995"/>
      <c r="L16" s="2654"/>
      <c r="M16" s="2649"/>
      <c r="N16" s="2649"/>
      <c r="Q16" s="2650"/>
    </row>
    <row r="17" spans="1:29" s="2663" customFormat="1" ht="30" customHeight="1">
      <c r="A17" s="2658"/>
      <c r="B17" s="2659"/>
      <c r="C17" s="2660"/>
      <c r="D17" s="2660"/>
      <c r="E17" s="2660"/>
      <c r="F17" s="2660"/>
      <c r="G17" s="2660"/>
      <c r="H17" s="2894" t="s">
        <v>2036</v>
      </c>
      <c r="I17" s="2894"/>
      <c r="J17" s="2894"/>
      <c r="K17" s="2894"/>
      <c r="L17" s="2895"/>
      <c r="M17" s="2895"/>
      <c r="N17" s="2895"/>
      <c r="O17" s="2661"/>
      <c r="P17" s="2661"/>
      <c r="Q17" s="2662"/>
    </row>
    <row r="18" spans="1:29" s="2646" customFormat="1" ht="12">
      <c r="B18" s="2651"/>
      <c r="C18" s="2655" t="s">
        <v>2037</v>
      </c>
      <c r="D18" s="2655"/>
      <c r="E18" s="2648"/>
      <c r="F18" s="2648"/>
      <c r="G18" s="2648"/>
      <c r="H18" s="2648"/>
      <c r="I18" s="2648"/>
      <c r="J18" s="2649"/>
      <c r="K18" s="2649"/>
      <c r="L18" s="2649"/>
      <c r="M18" s="2649"/>
      <c r="N18" s="2649"/>
      <c r="O18" s="2649"/>
      <c r="P18" s="2649"/>
      <c r="Q18" s="2650"/>
    </row>
    <row r="19" spans="1:29" s="2646" customFormat="1" ht="60" customHeight="1">
      <c r="B19" s="2651"/>
      <c r="C19" s="2870"/>
      <c r="D19" s="2870"/>
      <c r="E19" s="2870"/>
      <c r="F19" s="2870"/>
      <c r="G19" s="2870"/>
      <c r="H19" s="2676" t="s">
        <v>2045</v>
      </c>
      <c r="I19" s="2676" t="s">
        <v>2044</v>
      </c>
      <c r="J19" s="2675"/>
      <c r="K19" s="2664" t="s">
        <v>2048</v>
      </c>
      <c r="L19" s="2649"/>
      <c r="M19" s="2649"/>
      <c r="N19" s="2649"/>
      <c r="O19" s="2649"/>
      <c r="P19" s="2649"/>
      <c r="Q19" s="2650"/>
    </row>
    <row r="20" spans="1:29" s="2646" customFormat="1" ht="20.100000000000001" customHeight="1">
      <c r="B20" s="2651"/>
      <c r="C20" s="2871" t="s">
        <v>2031</v>
      </c>
      <c r="D20" s="2871"/>
      <c r="E20" s="2871"/>
      <c r="F20" s="2871"/>
      <c r="G20" s="2871"/>
      <c r="H20" s="2999"/>
      <c r="I20" s="2999"/>
      <c r="J20" s="2680"/>
      <c r="K20" s="2999"/>
      <c r="L20" s="2649"/>
      <c r="M20" s="2649"/>
      <c r="N20" s="2649"/>
      <c r="O20" s="2649"/>
      <c r="P20" s="2649"/>
      <c r="Q20" s="2650"/>
    </row>
    <row r="21" spans="1:29" s="2674" customFormat="1" hidden="1">
      <c r="B21" s="2644"/>
      <c r="C21" s="1884"/>
      <c r="D21" s="1884"/>
      <c r="E21" s="1884"/>
      <c r="F21" s="1884"/>
      <c r="G21" s="1884"/>
      <c r="H21" s="1884"/>
      <c r="I21" s="1884"/>
      <c r="J21" s="1884"/>
      <c r="K21" s="1884"/>
      <c r="L21" s="1884"/>
      <c r="M21" s="1884"/>
      <c r="N21" s="1884"/>
      <c r="O21" s="1884"/>
      <c r="P21" s="1884"/>
      <c r="Q21" s="1142"/>
    </row>
    <row r="22" spans="1:29" s="2674" customFormat="1" ht="14.25" thickBot="1">
      <c r="B22" s="2665"/>
      <c r="C22" s="2666"/>
      <c r="D22" s="2666"/>
      <c r="E22" s="2666"/>
      <c r="F22" s="2666"/>
      <c r="G22" s="2666"/>
      <c r="H22" s="2666"/>
      <c r="I22" s="2666"/>
      <c r="J22" s="2666"/>
      <c r="K22" s="2666"/>
      <c r="L22" s="2666"/>
      <c r="M22" s="2666"/>
      <c r="N22" s="2666"/>
      <c r="O22" s="2666"/>
      <c r="P22" s="2666"/>
      <c r="Q22" s="2667"/>
    </row>
    <row r="23" spans="1:29" s="2674" customFormat="1"/>
    <row r="24" spans="1:29" ht="9.75" customHeight="1" thickBot="1"/>
    <row r="25" spans="1:29" ht="25.5" customHeight="1">
      <c r="B25" s="2101"/>
      <c r="C25" s="2102" t="s">
        <v>1196</v>
      </c>
      <c r="D25" s="2103"/>
      <c r="E25" s="2103"/>
      <c r="F25" s="2104"/>
      <c r="G25" s="2104"/>
      <c r="H25" s="2105"/>
      <c r="I25" s="2103"/>
      <c r="J25" s="2106"/>
      <c r="K25" s="2106"/>
      <c r="L25" s="2106"/>
      <c r="M25" s="2107" t="s">
        <v>742</v>
      </c>
      <c r="N25" s="2108" t="str">
        <f>メイン!H11</f>
        <v>新ビル</v>
      </c>
      <c r="O25" s="2108"/>
      <c r="P25" s="2109"/>
      <c r="Q25" s="2110"/>
    </row>
    <row r="26" spans="1:29">
      <c r="B26" s="2111"/>
      <c r="C26" s="2112"/>
      <c r="D26" s="2112"/>
      <c r="E26" s="2112"/>
      <c r="F26" s="2112"/>
      <c r="G26" s="2112"/>
      <c r="H26" s="2112"/>
      <c r="I26" s="2112"/>
      <c r="J26" s="2112"/>
      <c r="K26" s="2112"/>
      <c r="L26" s="2112"/>
      <c r="M26" s="2112"/>
      <c r="N26" s="2112"/>
      <c r="O26" s="2112"/>
      <c r="P26" s="2112"/>
      <c r="Q26" s="2113"/>
      <c r="S26" s="2690" t="s">
        <v>2054</v>
      </c>
      <c r="U26" s="2114" t="s">
        <v>1592</v>
      </c>
      <c r="V26" s="2072">
        <f>IF($I$29&lt;=W32,V33,IF($I$29&lt;=W31,V32,IF($I$29&lt;=W30,V31,IF($I$29&lt;=W29,V30,1))))</f>
        <v>1</v>
      </c>
      <c r="X26">
        <f>VLOOKUP($V$26,V29:Y33,3)</f>
        <v>0</v>
      </c>
      <c r="Y26">
        <f>VLOOKUP($V$26,V29:Y33,4)</f>
        <v>1</v>
      </c>
      <c r="Z26" s="2072">
        <f>IF($I$29&lt;=AA32,Z33,IF($I$29&lt;=AA31,Z32,IF($I$29&lt;=AA30,Z31,IF($I$29&lt;=AA29,Z30,1))))</f>
        <v>1</v>
      </c>
      <c r="AB26">
        <f>VLOOKUP($Z$26,Z29:AC33,3)</f>
        <v>0</v>
      </c>
      <c r="AC26">
        <f>VLOOKUP($Z$26,Z29:AC33,4)</f>
        <v>1</v>
      </c>
    </row>
    <row r="27" spans="1:29">
      <c r="B27" s="2111"/>
      <c r="C27" s="2112"/>
      <c r="D27" s="2112"/>
      <c r="E27" s="2112"/>
      <c r="F27" s="2112"/>
      <c r="G27" s="2112"/>
      <c r="H27" s="2112"/>
      <c r="I27" s="2115" t="s">
        <v>1198</v>
      </c>
      <c r="J27" s="2112"/>
      <c r="K27" s="2112"/>
      <c r="L27" s="2112"/>
      <c r="M27" s="2115" t="s">
        <v>1199</v>
      </c>
      <c r="N27" s="2112"/>
      <c r="O27" s="2112"/>
      <c r="P27" s="2112"/>
      <c r="Q27" s="2113"/>
      <c r="S27" s="2690" t="s">
        <v>2055</v>
      </c>
      <c r="U27" s="2114" t="s">
        <v>1593</v>
      </c>
      <c r="V27" s="2072">
        <f>IF($I$29&lt;=W39,V39,IF($I$29&lt;=W38,V38,IF($I$29&lt;=W37,V37,1)))</f>
        <v>1</v>
      </c>
      <c r="Z27" s="2072">
        <f>IF($I$29&lt;=AA39,Z39,IF($I$29&lt;=AA38,Z38,IF($I$29&lt;=AA37,Z37,IF($I$29&lt;=AA36,Z36,1))))</f>
        <v>1</v>
      </c>
    </row>
    <row r="28" spans="1:29" ht="14.25" thickBot="1">
      <c r="B28" s="2111"/>
      <c r="C28" s="2116" t="s">
        <v>1594</v>
      </c>
      <c r="D28" s="2115" t="s">
        <v>1202</v>
      </c>
      <c r="E28" s="2112"/>
      <c r="F28" s="2112"/>
      <c r="G28" s="2112"/>
      <c r="H28" s="2112"/>
      <c r="I28" s="2112"/>
      <c r="J28" s="2112"/>
      <c r="K28" s="2112"/>
      <c r="L28" s="2112"/>
      <c r="M28" s="2112"/>
      <c r="N28" s="2112"/>
      <c r="O28" s="2112"/>
      <c r="P28" s="2112"/>
      <c r="Q28" s="2113"/>
      <c r="T28" t="s">
        <v>770</v>
      </c>
      <c r="U28" t="s">
        <v>1595</v>
      </c>
      <c r="V28" s="1" t="s">
        <v>1596</v>
      </c>
      <c r="W28" s="1" t="s">
        <v>1205</v>
      </c>
      <c r="X28" t="s">
        <v>1030</v>
      </c>
      <c r="Y28" t="s">
        <v>1031</v>
      </c>
      <c r="Z28" s="1" t="s">
        <v>1596</v>
      </c>
      <c r="AA28" s="1" t="s">
        <v>1715</v>
      </c>
      <c r="AB28" t="s">
        <v>1030</v>
      </c>
      <c r="AC28" t="s">
        <v>1031</v>
      </c>
    </row>
    <row r="29" spans="1:29" ht="14.25" thickBot="1">
      <c r="B29" s="2111"/>
      <c r="C29" s="2112"/>
      <c r="D29" s="2115"/>
      <c r="E29" s="2878" t="str">
        <f>F5 &amp; "での評価"</f>
        <v>BPI（標準法）での評価</v>
      </c>
      <c r="F29" s="2879"/>
      <c r="G29" s="2880"/>
      <c r="H29" s="2117" t="str">
        <f>IF(E29=S26,U26,U27)</f>
        <v>BPI=</v>
      </c>
      <c r="I29" s="2668" t="str">
        <f>IF(F5="BPI（標準法）",IF(OR(H5="",I5=""),"",I5/H5),IF(J5="","",J5))</f>
        <v/>
      </c>
      <c r="J29" s="2112"/>
      <c r="K29" s="2112"/>
      <c r="L29" s="2118" t="s">
        <v>1206</v>
      </c>
      <c r="M29" s="2669" t="str">
        <f>IF(H12="","",H12)</f>
        <v>等級4</v>
      </c>
      <c r="N29" s="2112"/>
      <c r="O29" s="2112"/>
      <c r="P29" s="2112"/>
      <c r="Q29" s="2113"/>
      <c r="T29" t="s">
        <v>188</v>
      </c>
      <c r="V29" s="1">
        <v>1</v>
      </c>
      <c r="W29" s="1">
        <v>1.03</v>
      </c>
      <c r="X29" s="2072">
        <v>0</v>
      </c>
      <c r="Y29" s="2072">
        <v>1</v>
      </c>
      <c r="Z29" s="1">
        <v>1</v>
      </c>
      <c r="AA29" s="1">
        <v>1.03</v>
      </c>
      <c r="AB29" s="2072">
        <v>0</v>
      </c>
      <c r="AC29" s="2072">
        <v>1</v>
      </c>
    </row>
    <row r="30" spans="1:29" ht="5.25" customHeight="1">
      <c r="B30" s="2111"/>
      <c r="C30" s="2112"/>
      <c r="D30" s="2112"/>
      <c r="E30" s="2112"/>
      <c r="F30" s="2112"/>
      <c r="G30" s="2112"/>
      <c r="H30" s="2112"/>
      <c r="I30" s="2112"/>
      <c r="J30" s="2112"/>
      <c r="K30" s="2112"/>
      <c r="L30" s="2112"/>
      <c r="M30" s="2112"/>
      <c r="N30" s="2112"/>
      <c r="O30" s="2112"/>
      <c r="P30" s="2112"/>
      <c r="Q30" s="2113"/>
      <c r="T30" t="s">
        <v>189</v>
      </c>
      <c r="V30" s="1">
        <v>2</v>
      </c>
      <c r="W30" s="1">
        <v>1</v>
      </c>
      <c r="X30">
        <f>(V30-V29)/(W30-W29)</f>
        <v>-33.333333333333307</v>
      </c>
      <c r="Y30">
        <f>V30-X30*W30</f>
        <v>35.333333333333307</v>
      </c>
      <c r="Z30" s="1">
        <v>2</v>
      </c>
      <c r="AA30" s="1">
        <v>1</v>
      </c>
      <c r="AB30">
        <f>(Z30-Z29)/(AA30-AA29)</f>
        <v>-33.333333333333307</v>
      </c>
      <c r="AC30">
        <f>Z30-AB30*AA30</f>
        <v>35.333333333333307</v>
      </c>
    </row>
    <row r="31" spans="1:29">
      <c r="B31" s="2111"/>
      <c r="C31" s="2112"/>
      <c r="D31" s="2112"/>
      <c r="E31" s="2112"/>
      <c r="F31" s="2112"/>
      <c r="G31" s="2112"/>
      <c r="H31" s="2112"/>
      <c r="I31" s="2120" t="str">
        <f>W28</f>
        <v>1～7地域</v>
      </c>
      <c r="J31" s="2120" t="str">
        <f>AA28</f>
        <v>８地域</v>
      </c>
      <c r="K31" s="2112"/>
      <c r="L31" s="2112"/>
      <c r="M31" s="2112"/>
      <c r="N31" s="2112"/>
      <c r="O31" s="2112"/>
      <c r="P31" s="2112"/>
      <c r="Q31" s="2113"/>
      <c r="T31" t="s">
        <v>190</v>
      </c>
      <c r="V31" s="1">
        <v>3</v>
      </c>
      <c r="W31" s="1">
        <v>0.97</v>
      </c>
      <c r="X31">
        <f>(V31-V30)/(W31-W30)</f>
        <v>-33.333333333333307</v>
      </c>
      <c r="Y31">
        <f>V31-X31*W31</f>
        <v>35.333333333333307</v>
      </c>
      <c r="Z31" s="1">
        <v>3</v>
      </c>
      <c r="AA31" s="1">
        <v>0.97</v>
      </c>
      <c r="AB31">
        <f>(Z31-Z30)/(AA31-AA30)</f>
        <v>-33.333333333333307</v>
      </c>
      <c r="AC31">
        <f>Z31-AB31*AA31</f>
        <v>35.333333333333307</v>
      </c>
    </row>
    <row r="32" spans="1:29">
      <c r="B32" s="2111"/>
      <c r="C32" s="2112"/>
      <c r="D32" s="2112"/>
      <c r="E32" s="2112"/>
      <c r="F32" s="2112" t="s">
        <v>1596</v>
      </c>
      <c r="G32" s="2112"/>
      <c r="H32" s="2118" t="s">
        <v>1207</v>
      </c>
      <c r="I32" s="2121" t="e">
        <f>IF(I29&lt;=0.8,5,I29*X26+Y26)</f>
        <v>#VALUE!</v>
      </c>
      <c r="J32" s="2121" t="e">
        <f>IF(I29&lt;=0.85,5,I29*AB26+AC26)</f>
        <v>#VALUE!</v>
      </c>
      <c r="K32" s="2112"/>
      <c r="L32" s="2112"/>
      <c r="M32" s="2112"/>
      <c r="N32" s="2112"/>
      <c r="O32" s="2112"/>
      <c r="P32" s="2112"/>
      <c r="Q32" s="2113"/>
      <c r="T32" t="s">
        <v>191</v>
      </c>
      <c r="V32" s="1">
        <v>4</v>
      </c>
      <c r="W32" s="1">
        <v>0.9</v>
      </c>
      <c r="X32">
        <f>(V32-V31)/(W32-W31)</f>
        <v>-14.285714285714295</v>
      </c>
      <c r="Y32">
        <f>V32-X32*W32</f>
        <v>16.857142857142868</v>
      </c>
      <c r="Z32" s="1">
        <v>4</v>
      </c>
      <c r="AA32" s="1">
        <v>0.93</v>
      </c>
      <c r="AB32">
        <f>(Z32-Z31)/(AA32-AA31)</f>
        <v>-25.000000000000046</v>
      </c>
      <c r="AC32">
        <f>Z32-AB32*AA32</f>
        <v>27.250000000000043</v>
      </c>
    </row>
    <row r="33" spans="2:29">
      <c r="B33" s="2111"/>
      <c r="C33" s="2112"/>
      <c r="D33" s="2112"/>
      <c r="E33" s="2112"/>
      <c r="F33" s="2112"/>
      <c r="G33" s="2112"/>
      <c r="H33" s="2118" t="s">
        <v>1208</v>
      </c>
      <c r="I33" s="2121">
        <f>V27</f>
        <v>1</v>
      </c>
      <c r="J33" s="2121">
        <f>Z27</f>
        <v>1</v>
      </c>
      <c r="K33" s="2112"/>
      <c r="L33" s="2112"/>
      <c r="M33" s="2112"/>
      <c r="N33" s="2112"/>
      <c r="O33" s="2112"/>
      <c r="P33" s="2112"/>
      <c r="Q33" s="2113"/>
      <c r="T33" t="s">
        <v>769</v>
      </c>
      <c r="V33" s="1">
        <v>5</v>
      </c>
      <c r="W33" s="1">
        <v>0.8</v>
      </c>
      <c r="X33">
        <f>(V33-V32)/(W33-W32)</f>
        <v>-10.000000000000002</v>
      </c>
      <c r="Y33">
        <f>V33-X33*W33</f>
        <v>13.000000000000002</v>
      </c>
      <c r="Z33" s="1">
        <v>5</v>
      </c>
      <c r="AA33" s="1">
        <v>0.85</v>
      </c>
      <c r="AB33">
        <f>(Z33-Z32)/(AA33-AA32)</f>
        <v>-12.499999999999989</v>
      </c>
      <c r="AC33">
        <f>Z33-AB33*AA33</f>
        <v>15.624999999999991</v>
      </c>
    </row>
    <row r="34" spans="2:29" ht="5.25" customHeight="1" thickBot="1">
      <c r="B34" s="2111"/>
      <c r="C34" s="2112"/>
      <c r="D34" s="2112"/>
      <c r="E34" s="2112"/>
      <c r="F34" s="2112"/>
      <c r="G34" s="2112"/>
      <c r="H34" s="2118"/>
      <c r="I34" s="2122"/>
      <c r="J34" s="2122"/>
      <c r="K34" s="2112"/>
      <c r="L34" s="2112"/>
      <c r="M34" s="2123"/>
      <c r="N34" s="2112"/>
      <c r="O34" s="2112"/>
      <c r="P34" s="2112"/>
      <c r="Q34" s="2113"/>
    </row>
    <row r="35" spans="2:29" ht="14.25" thickBot="1">
      <c r="B35" s="2111"/>
      <c r="C35" s="2112"/>
      <c r="D35" s="2112"/>
      <c r="E35" s="2115"/>
      <c r="F35" s="2112" t="s">
        <v>1209</v>
      </c>
      <c r="G35" s="2120" t="str">
        <f>メイン!H13</f>
        <v>６地域</v>
      </c>
      <c r="H35" s="2112"/>
      <c r="I35" s="2124">
        <f>IF(I29="",0,IF(E29=S26,IF(G35=AA28,J32,I32),IF(G35=AA28,J33,I33)))</f>
        <v>0</v>
      </c>
      <c r="J35" s="2112"/>
      <c r="K35" s="2112"/>
      <c r="L35" s="2112"/>
      <c r="M35" s="2124">
        <f>IF(M29="",$T33,IF(M29=T32,5,IF(M29=T31,3,IF(M29=T30,2,1))))</f>
        <v>5</v>
      </c>
      <c r="N35" s="2112"/>
      <c r="O35" s="2112"/>
      <c r="P35" s="2112"/>
      <c r="Q35" s="2113"/>
      <c r="U35" t="s">
        <v>1597</v>
      </c>
      <c r="V35" s="1" t="s">
        <v>1596</v>
      </c>
      <c r="W35" s="1" t="s">
        <v>1205</v>
      </c>
      <c r="Z35" s="1" t="s">
        <v>1596</v>
      </c>
      <c r="AA35" s="1" t="s">
        <v>1715</v>
      </c>
    </row>
    <row r="36" spans="2:29" ht="6.75" customHeight="1">
      <c r="B36" s="2111"/>
      <c r="C36" s="2112"/>
      <c r="D36" s="2112"/>
      <c r="E36" s="2115"/>
      <c r="F36" s="2112"/>
      <c r="G36" s="2112"/>
      <c r="H36" s="2112"/>
      <c r="I36" s="2112"/>
      <c r="J36" s="2112"/>
      <c r="K36" s="2112"/>
      <c r="L36" s="2112"/>
      <c r="M36" s="2112"/>
      <c r="N36" s="2112"/>
      <c r="O36" s="2112"/>
      <c r="P36" s="2112"/>
      <c r="Q36" s="2113"/>
      <c r="V36" s="1">
        <v>1</v>
      </c>
      <c r="W36" s="1"/>
      <c r="Z36" s="1">
        <v>1</v>
      </c>
      <c r="AA36" s="1"/>
    </row>
    <row r="37" spans="2:29">
      <c r="B37" s="2111"/>
      <c r="C37" s="2112"/>
      <c r="D37" s="2112"/>
      <c r="E37" s="2115"/>
      <c r="F37" s="2112"/>
      <c r="G37" s="2112"/>
      <c r="H37" s="2118" t="s">
        <v>1211</v>
      </c>
      <c r="I37" s="1874">
        <f>H117-H114</f>
        <v>11000</v>
      </c>
      <c r="J37" s="2112" t="s">
        <v>1212</v>
      </c>
      <c r="K37" s="2112"/>
      <c r="L37" s="2112"/>
      <c r="M37" s="1874">
        <f>M52+N52</f>
        <v>320</v>
      </c>
      <c r="N37" s="2112" t="s">
        <v>1598</v>
      </c>
      <c r="O37" s="2112"/>
      <c r="P37" s="2112"/>
      <c r="Q37" s="2113"/>
      <c r="V37" s="1">
        <v>2</v>
      </c>
      <c r="W37" s="1">
        <v>1</v>
      </c>
      <c r="Z37" s="1">
        <v>2</v>
      </c>
      <c r="AA37" s="1">
        <v>1</v>
      </c>
    </row>
    <row r="38" spans="2:29">
      <c r="B38" s="2111"/>
      <c r="C38" s="2112"/>
      <c r="D38" s="2112"/>
      <c r="E38" s="2115"/>
      <c r="F38" s="2112"/>
      <c r="G38" s="2112"/>
      <c r="H38" s="2118" t="s">
        <v>1214</v>
      </c>
      <c r="I38" s="2125">
        <f>IF(I37+M37=0,0,I37/(I37+M37))</f>
        <v>0.9717314487632509</v>
      </c>
      <c r="J38" s="2112"/>
      <c r="K38" s="2112"/>
      <c r="L38" s="2118"/>
      <c r="M38" s="2125">
        <f>IF(I37+M37=0,0,M37/(I37+M37))</f>
        <v>2.8268551236749116E-2</v>
      </c>
      <c r="N38" s="2112"/>
      <c r="O38" s="2112"/>
      <c r="P38" s="2112"/>
      <c r="Q38" s="2113"/>
      <c r="V38" s="1">
        <v>3</v>
      </c>
      <c r="W38" s="1">
        <v>0.97</v>
      </c>
      <c r="Z38" s="1">
        <v>3</v>
      </c>
      <c r="AA38" s="1">
        <v>0.97</v>
      </c>
    </row>
    <row r="39" spans="2:29" ht="4.5" customHeight="1" thickBot="1">
      <c r="B39" s="2111"/>
      <c r="C39" s="2112"/>
      <c r="D39" s="2112"/>
      <c r="E39" s="2115"/>
      <c r="F39" s="2112"/>
      <c r="G39" s="2112"/>
      <c r="H39" s="2112"/>
      <c r="I39" s="2112"/>
      <c r="J39" s="2112"/>
      <c r="K39" s="2112"/>
      <c r="L39" s="2112"/>
      <c r="M39" s="2112"/>
      <c r="N39" s="2112"/>
      <c r="O39" s="2112"/>
      <c r="P39" s="2112"/>
      <c r="Q39" s="2113"/>
      <c r="V39" s="1">
        <v>4</v>
      </c>
      <c r="W39" s="1">
        <v>0.9</v>
      </c>
      <c r="Z39" s="1">
        <v>4</v>
      </c>
      <c r="AA39" s="1">
        <v>0.93</v>
      </c>
    </row>
    <row r="40" spans="2:29" ht="14.25" thickBot="1">
      <c r="B40" s="2111"/>
      <c r="C40" s="2112"/>
      <c r="D40" s="2112"/>
      <c r="E40" s="2115" t="s">
        <v>1215</v>
      </c>
      <c r="F40" s="2112"/>
      <c r="G40" s="2112"/>
      <c r="H40" s="2118" t="s">
        <v>765</v>
      </c>
      <c r="I40" s="2126">
        <f>I35*I38+M35*M38</f>
        <v>0.14134275618374559</v>
      </c>
      <c r="J40" s="2112"/>
      <c r="K40" s="2112"/>
      <c r="L40" s="2112"/>
      <c r="M40" s="2112"/>
      <c r="N40" s="2112"/>
      <c r="O40" s="2112"/>
      <c r="P40" s="2112"/>
      <c r="Q40" s="2113"/>
      <c r="V40" s="1">
        <v>5</v>
      </c>
      <c r="W40" s="1"/>
      <c r="Z40" s="1">
        <v>5</v>
      </c>
      <c r="AA40" s="1"/>
    </row>
    <row r="41" spans="2:29">
      <c r="B41" s="2111"/>
      <c r="C41" s="2112"/>
      <c r="D41" s="2112"/>
      <c r="E41" s="2112"/>
      <c r="F41" s="2112"/>
      <c r="G41" s="2112"/>
      <c r="H41" s="2112"/>
      <c r="I41" s="2112"/>
      <c r="J41" s="2112"/>
      <c r="K41" s="2112"/>
      <c r="L41" s="2112"/>
      <c r="M41" s="2112"/>
      <c r="N41" s="2112"/>
      <c r="O41" s="2112"/>
      <c r="P41" s="2112"/>
      <c r="Q41" s="2113"/>
    </row>
    <row r="42" spans="2:29" hidden="1">
      <c r="B42" s="2111"/>
      <c r="C42" s="2112"/>
      <c r="D42" s="2127"/>
      <c r="E42" s="2115" t="s">
        <v>1216</v>
      </c>
      <c r="F42" s="2112"/>
      <c r="G42" s="2112"/>
      <c r="H42" s="2112"/>
      <c r="I42" s="2120" t="e">
        <f>IF(G35=W43,W48,V48)</f>
        <v>#VALUE!</v>
      </c>
      <c r="J42" s="2112" t="s">
        <v>1599</v>
      </c>
      <c r="K42" s="2112"/>
      <c r="L42" s="2112"/>
      <c r="M42" s="2112"/>
      <c r="N42" s="2112"/>
      <c r="O42" s="2112"/>
      <c r="P42" s="2112"/>
      <c r="Q42" s="2113"/>
      <c r="T42" t="s">
        <v>1218</v>
      </c>
      <c r="V42" s="2128" t="e">
        <f>(1-I29)*100</f>
        <v>#VALUE!</v>
      </c>
      <c r="Z42" t="e">
        <f>IF($I$42&gt;=AA48,Z48,IF($I$42&gt;=AA47,Z47,IF($I$42&gt;=AA46,Z46,IF($I$42&gt;=AA45,Z45,Z44))))</f>
        <v>#VALUE!</v>
      </c>
      <c r="AB42" t="e">
        <f>VLOOKUP($Z$42,Z44:AC48,3)</f>
        <v>#VALUE!</v>
      </c>
      <c r="AC42" t="e">
        <f>VLOOKUP($Z$42,Z44:AC48,4)</f>
        <v>#VALUE!</v>
      </c>
    </row>
    <row r="43" spans="2:29" ht="6" hidden="1" customHeight="1" thickBot="1">
      <c r="B43" s="2111"/>
      <c r="C43" s="2112"/>
      <c r="D43" s="2127"/>
      <c r="E43" s="2112"/>
      <c r="F43" s="2112"/>
      <c r="G43" s="2112"/>
      <c r="H43" s="2112"/>
      <c r="I43" s="2112"/>
      <c r="J43" s="2112"/>
      <c r="K43" s="2112"/>
      <c r="L43" s="2112"/>
      <c r="M43" s="2112"/>
      <c r="N43" s="2112"/>
      <c r="O43" s="2112"/>
      <c r="P43" s="2112"/>
      <c r="Q43" s="2113"/>
      <c r="V43" s="1" t="s">
        <v>1205</v>
      </c>
      <c r="W43" s="1" t="s">
        <v>1193</v>
      </c>
      <c r="Z43" s="1" t="s">
        <v>1600</v>
      </c>
      <c r="AA43" s="1" t="s">
        <v>1219</v>
      </c>
      <c r="AB43" t="s">
        <v>1030</v>
      </c>
      <c r="AC43" t="s">
        <v>1031</v>
      </c>
    </row>
    <row r="44" spans="2:29" ht="14.25" hidden="1" thickBot="1">
      <c r="B44" s="2111"/>
      <c r="C44" s="2112"/>
      <c r="D44" s="2127"/>
      <c r="E44" s="2112"/>
      <c r="F44" s="2112"/>
      <c r="G44" s="2112"/>
      <c r="H44" s="2112"/>
      <c r="I44" s="2124" t="e">
        <f>IF(I42&gt;=35,5,I42*AB42+AC42)</f>
        <v>#VALUE!</v>
      </c>
      <c r="J44" s="2112"/>
      <c r="K44" s="2112"/>
      <c r="L44" s="2112"/>
      <c r="M44" s="2112"/>
      <c r="N44" s="2112"/>
      <c r="O44" s="2112"/>
      <c r="P44" s="2112"/>
      <c r="Q44" s="2113"/>
      <c r="U44" s="1815" t="s">
        <v>1220</v>
      </c>
      <c r="V44" s="1" t="e">
        <f>2*V42</f>
        <v>#VALUE!</v>
      </c>
      <c r="W44" s="2129" t="e">
        <f>2*V42</f>
        <v>#VALUE!</v>
      </c>
      <c r="Z44" s="1">
        <v>1</v>
      </c>
      <c r="AA44" s="1">
        <v>-5</v>
      </c>
      <c r="AB44">
        <f>(Z45-Z44)/(AA45-AA44)</f>
        <v>0.2</v>
      </c>
      <c r="AC44">
        <f>Z45-AB44*AA45</f>
        <v>2</v>
      </c>
    </row>
    <row r="45" spans="2:29" ht="12" hidden="1" customHeight="1">
      <c r="B45" s="2111"/>
      <c r="C45" s="2112"/>
      <c r="D45" s="2112"/>
      <c r="E45" s="2112"/>
      <c r="F45" s="2112"/>
      <c r="G45" s="2112"/>
      <c r="H45" s="2112"/>
      <c r="I45" s="2112"/>
      <c r="J45" s="2112"/>
      <c r="K45" s="2112"/>
      <c r="L45" s="2112"/>
      <c r="M45" s="2112"/>
      <c r="N45" s="2112"/>
      <c r="O45" s="2112"/>
      <c r="P45" s="2112"/>
      <c r="Q45" s="2113"/>
      <c r="U45" s="1815" t="s">
        <v>1221</v>
      </c>
      <c r="V45" s="2129" t="e">
        <f>1.3*V42+1.7</f>
        <v>#VALUE!</v>
      </c>
      <c r="W45" s="2098" t="e">
        <f>2*V42</f>
        <v>#VALUE!</v>
      </c>
      <c r="Z45" s="1">
        <v>2</v>
      </c>
      <c r="AA45" s="1">
        <v>0</v>
      </c>
      <c r="AB45">
        <f>(Z46-Z45)/(AA46-AA45)</f>
        <v>0.2</v>
      </c>
      <c r="AC45">
        <f>Z46-AB45*AA46</f>
        <v>2</v>
      </c>
    </row>
    <row r="46" spans="2:29" ht="14.25" thickBot="1">
      <c r="B46" s="2111"/>
      <c r="C46" s="2116" t="s">
        <v>1601</v>
      </c>
      <c r="D46" s="2115" t="s">
        <v>1223</v>
      </c>
      <c r="E46" s="2112"/>
      <c r="F46" s="2112"/>
      <c r="G46" s="2112"/>
      <c r="H46" s="2112"/>
      <c r="I46" s="2112"/>
      <c r="J46" s="2112"/>
      <c r="K46" s="2112"/>
      <c r="L46" s="2112"/>
      <c r="M46" s="2112"/>
      <c r="N46" s="2112"/>
      <c r="O46" s="2112"/>
      <c r="P46" s="2112"/>
      <c r="Q46" s="2113"/>
      <c r="U46" s="1815" t="s">
        <v>1224</v>
      </c>
      <c r="V46" s="2098" t="e">
        <f>1.3*V42+1.7</f>
        <v>#VALUE!</v>
      </c>
      <c r="W46" s="2129" t="e">
        <f>2.7*V42-5.2</f>
        <v>#VALUE!</v>
      </c>
      <c r="Z46" s="1">
        <v>3</v>
      </c>
      <c r="AA46" s="1">
        <v>5</v>
      </c>
      <c r="AB46">
        <f>(Z47-Z46)/(AA47-AA46)</f>
        <v>0.1</v>
      </c>
      <c r="AC46">
        <f>Z47-AB46*AA47</f>
        <v>2.5</v>
      </c>
    </row>
    <row r="47" spans="2:29" ht="14.25" thickBot="1">
      <c r="B47" s="2111"/>
      <c r="C47" s="2116"/>
      <c r="D47" s="2115"/>
      <c r="E47" s="2881" t="str">
        <f>F8 &amp; "での評価"</f>
        <v>BEI（標準法）での評価</v>
      </c>
      <c r="F47" s="2882"/>
      <c r="G47" s="2883"/>
      <c r="H47" s="2112"/>
      <c r="I47" s="2115" t="s">
        <v>1198</v>
      </c>
      <c r="J47" s="2112"/>
      <c r="K47" s="2112"/>
      <c r="L47" s="2112"/>
      <c r="M47" s="2115" t="s">
        <v>1136</v>
      </c>
      <c r="N47" s="2115" t="s">
        <v>1225</v>
      </c>
      <c r="O47" s="2112"/>
      <c r="P47" s="2112"/>
      <c r="Q47" s="2130"/>
      <c r="U47" s="1815" t="s">
        <v>1226</v>
      </c>
      <c r="V47" s="1" t="e">
        <f>2*V42-5</f>
        <v>#VALUE!</v>
      </c>
      <c r="W47" s="2098" t="e">
        <f>2.7*V42-5.2</f>
        <v>#VALUE!</v>
      </c>
      <c r="Z47" s="1">
        <v>4</v>
      </c>
      <c r="AA47" s="1">
        <v>15</v>
      </c>
      <c r="AB47">
        <f>(Z48-Z47)/(AA48-AA47)</f>
        <v>0.05</v>
      </c>
      <c r="AC47">
        <f>Z48-AB47*AA48</f>
        <v>3.25</v>
      </c>
    </row>
    <row r="48" spans="2:29" ht="14.25" thickBot="1">
      <c r="B48" s="2111"/>
      <c r="C48" s="2112"/>
      <c r="D48" s="2115"/>
      <c r="E48" s="2115"/>
      <c r="F48" s="2115"/>
      <c r="G48" s="2115"/>
      <c r="H48" s="2131" t="s">
        <v>1602</v>
      </c>
      <c r="I48" s="2668" t="str">
        <f>IF(F8="BEI（標準法）","",IF(J8="","",J8))</f>
        <v/>
      </c>
      <c r="J48" s="2112"/>
      <c r="K48" s="2112"/>
      <c r="L48" s="2131" t="s">
        <v>1228</v>
      </c>
      <c r="M48" s="2125" t="str">
        <f>M67</f>
        <v>-</v>
      </c>
      <c r="N48" s="2132">
        <f>IF(N62=0,0,(N64-N63)/(N62-N63))</f>
        <v>0</v>
      </c>
      <c r="O48" s="2112" t="s">
        <v>1229</v>
      </c>
      <c r="P48" s="2112"/>
      <c r="Q48" s="2113"/>
      <c r="V48" t="e">
        <f>IF($V$42&lt;2.5,V44,IF($V$42&lt;7.5,V45,IF($V$42&lt;10,V46,V47)))</f>
        <v>#VALUE!</v>
      </c>
      <c r="W48" t="e">
        <f>IF($V$42&lt;2.5,W44,IF($V$42&lt;7.5,W45,IF($V$42&lt;10,W46,W47)))</f>
        <v>#VALUE!</v>
      </c>
      <c r="Z48" s="1">
        <v>5</v>
      </c>
      <c r="AA48" s="1">
        <v>35</v>
      </c>
    </row>
    <row r="49" spans="2:29" ht="14.25" thickBot="1">
      <c r="B49" s="2111"/>
      <c r="C49" s="2112"/>
      <c r="D49" s="2115"/>
      <c r="E49" s="2112"/>
      <c r="F49" s="2115"/>
      <c r="G49" s="2112"/>
      <c r="H49" s="2131" t="s">
        <v>1230</v>
      </c>
      <c r="I49" s="2668" t="str">
        <f>IF(F8="BEI（標準法）","",IF(L8="","",L8))</f>
        <v/>
      </c>
      <c r="J49" s="2112"/>
      <c r="K49" s="2112"/>
      <c r="L49" s="2115"/>
      <c r="M49" s="2112"/>
      <c r="N49" s="2115"/>
      <c r="O49" s="2112"/>
      <c r="P49" s="2115"/>
      <c r="Q49" s="2113"/>
    </row>
    <row r="50" spans="2:29" ht="14.25" thickBot="1">
      <c r="B50" s="2111"/>
      <c r="C50" s="2112"/>
      <c r="D50" s="2115"/>
      <c r="E50" s="2115"/>
      <c r="F50" s="2112"/>
      <c r="G50" s="2112"/>
      <c r="H50" s="2112"/>
      <c r="I50" s="2124">
        <f>IF($I$48&lt;=W62,V62,IF($I$48&lt;=W61,V61,IF($I$48&lt;=W60,V60,V59)))</f>
        <v>1</v>
      </c>
      <c r="J50" s="2112"/>
      <c r="K50" s="2112"/>
      <c r="L50" s="2112"/>
      <c r="M50" s="2124">
        <f>IF(OR(M48=0,M48="-"),0,IF(M48&lt;=W63,5,IF(M48&gt;W59,1,M48*X65+Y65)))</f>
        <v>0</v>
      </c>
      <c r="N50" s="2124">
        <f>IF(N84=T82,IF(N48=0,0,IF(N48&lt;=AA63,5,IF(N48&gt;AA59,1,N48*AB50+AC50))),N84)</f>
        <v>0</v>
      </c>
      <c r="O50" s="2112"/>
      <c r="P50" s="2115"/>
      <c r="Q50" s="2113"/>
      <c r="S50" s="2674" t="s">
        <v>2038</v>
      </c>
      <c r="V50" s="2133">
        <f>IF($I$67&lt;=W63,V63,IF($I$67&lt;=W62,V62,IF($I$67&lt;=W61,V61,IF($I$67&lt;=W60,V60,V59))))</f>
        <v>1</v>
      </c>
      <c r="X50">
        <f>VLOOKUP($V$50,V59:Y63,3)</f>
        <v>-19.999999999999982</v>
      </c>
      <c r="Y50">
        <f>VLOOKUP($V$50,V59:Y63,4)</f>
        <v>22.999999999999982</v>
      </c>
      <c r="Z50">
        <f>IF($N$48&lt;=AA63,Z63,IF($N$48&lt;=AA62,Z62,IF($N$48&lt;=AA61,Z61,IF($N$48&lt;=AA60,Z60))))</f>
        <v>5</v>
      </c>
      <c r="AB50">
        <f>VLOOKUP($Z$50,Z59:AC63,3)</f>
        <v>0</v>
      </c>
      <c r="AC50">
        <f>VLOOKUP($Z$50,Z59:AC63,4)</f>
        <v>0</v>
      </c>
    </row>
    <row r="51" spans="2:29" ht="11.25" customHeight="1">
      <c r="B51" s="2111"/>
      <c r="C51" s="2112"/>
      <c r="D51" s="2115"/>
      <c r="E51" s="2115"/>
      <c r="F51" s="2115"/>
      <c r="G51" s="2112"/>
      <c r="H51" s="2115"/>
      <c r="I51" s="2112"/>
      <c r="J51" s="2112"/>
      <c r="K51" s="2112"/>
      <c r="L51" s="2115"/>
      <c r="M51" s="2112"/>
      <c r="N51" s="2115"/>
      <c r="O51" s="2112"/>
      <c r="P51" s="2115"/>
      <c r="Q51" s="2113"/>
      <c r="S51" s="2674" t="s">
        <v>2039</v>
      </c>
    </row>
    <row r="52" spans="2:29">
      <c r="B52" s="2111"/>
      <c r="C52" s="2112"/>
      <c r="D52" s="2115"/>
      <c r="E52" s="2115"/>
      <c r="F52" s="2115"/>
      <c r="G52" s="2112"/>
      <c r="H52" s="2118" t="s">
        <v>1211</v>
      </c>
      <c r="I52" s="1874">
        <f>H117</f>
        <v>15000</v>
      </c>
      <c r="J52" s="2112"/>
      <c r="K52" s="2112"/>
      <c r="L52" s="2112"/>
      <c r="M52" s="1874">
        <f>メイン!J70</f>
        <v>20</v>
      </c>
      <c r="N52" s="1874">
        <f>メイン!J69</f>
        <v>300</v>
      </c>
      <c r="O52" s="2112"/>
      <c r="P52" s="2115"/>
      <c r="Q52" s="2113"/>
    </row>
    <row r="53" spans="2:29" ht="9.75" customHeight="1" thickBot="1">
      <c r="B53" s="2111"/>
      <c r="C53" s="2112"/>
      <c r="D53" s="2115"/>
      <c r="E53" s="2112"/>
      <c r="F53" s="2115"/>
      <c r="G53" s="2112"/>
      <c r="H53" s="2115"/>
      <c r="I53" s="2112"/>
      <c r="J53" s="2112"/>
      <c r="K53" s="2112"/>
      <c r="L53" s="2115"/>
      <c r="M53" s="2112"/>
      <c r="N53" s="2115"/>
      <c r="O53" s="2112"/>
      <c r="P53" s="2115"/>
      <c r="Q53" s="2113"/>
    </row>
    <row r="54" spans="2:29" ht="14.25" thickBot="1">
      <c r="B54" s="2111"/>
      <c r="C54" s="2112"/>
      <c r="D54" s="2115"/>
      <c r="E54" s="2112" t="s">
        <v>1603</v>
      </c>
      <c r="F54" s="2115"/>
      <c r="G54" s="2112"/>
      <c r="H54" s="2115"/>
      <c r="I54" s="2124">
        <f>IF(AND(I48=0,I67="-"),0,IF(E47=S51,I50,IF(I67&lt;=W63,5,IF(I67&gt;W59,1,I67*X50+Y50))))</f>
        <v>1</v>
      </c>
      <c r="J54" s="2112"/>
      <c r="K54" s="2112"/>
      <c r="L54" s="2115"/>
      <c r="M54" s="2124">
        <f>IF(M52+N52=0,0,M50*M52/M37+N50*N52/M37)</f>
        <v>0</v>
      </c>
      <c r="N54" s="2115"/>
      <c r="O54" s="2112"/>
      <c r="P54" s="2115"/>
      <c r="Q54" s="2113"/>
    </row>
    <row r="55" spans="2:29" ht="14.25" thickBot="1">
      <c r="B55" s="2111"/>
      <c r="C55" s="2112"/>
      <c r="D55" s="2115"/>
      <c r="E55" s="2112" t="s">
        <v>1604</v>
      </c>
      <c r="F55" s="2115"/>
      <c r="G55" s="2112"/>
      <c r="H55" s="2112" t="s">
        <v>1233</v>
      </c>
      <c r="I55" s="2124">
        <f>IF(I54&lt;2,1,I54-1)</f>
        <v>1</v>
      </c>
      <c r="J55" s="2112"/>
      <c r="K55" s="2112"/>
      <c r="L55" s="2115"/>
      <c r="M55" s="2123"/>
      <c r="N55" s="2115"/>
      <c r="O55" s="2112"/>
      <c r="P55" s="2115"/>
      <c r="Q55" s="2113"/>
    </row>
    <row r="56" spans="2:29" ht="14.25" thickBot="1">
      <c r="B56" s="2111"/>
      <c r="C56" s="2112"/>
      <c r="D56" s="2115"/>
      <c r="E56" s="2112"/>
      <c r="F56" s="2115"/>
      <c r="G56" s="2112"/>
      <c r="H56" s="2112" t="s">
        <v>1234</v>
      </c>
      <c r="I56" s="2124">
        <f>IF(境界値!I14&gt;=0.8,省エネ_対象外!I54,IF(0.5*ROUNDDOWN(I55/0.5,0)+境界値!I51&lt;1,1,0.5*ROUNDDOWN(I55/0.5,0)+境界値!I51))</f>
        <v>2</v>
      </c>
      <c r="J56" s="2115"/>
      <c r="K56" s="2112"/>
      <c r="L56" s="2115"/>
      <c r="M56" s="2112"/>
      <c r="N56" s="2115"/>
      <c r="O56" s="2112"/>
      <c r="P56" s="2115"/>
      <c r="Q56" s="2113"/>
    </row>
    <row r="57" spans="2:29" ht="14.25" thickBot="1">
      <c r="B57" s="2111"/>
      <c r="C57" s="2112"/>
      <c r="D57" s="2115"/>
      <c r="E57" s="2115" t="s">
        <v>1231</v>
      </c>
      <c r="F57" s="2115"/>
      <c r="G57" s="2112"/>
      <c r="H57" s="2115"/>
      <c r="I57" s="2126">
        <f>I56*I52/($I$52+$M$52+$N$52)+M54*(M52+N52)/($I$52+$M$52+$N$52)</f>
        <v>1.95822454308094</v>
      </c>
      <c r="J57" s="2115"/>
      <c r="K57" s="2112"/>
      <c r="L57" s="2115"/>
      <c r="M57" s="2112"/>
      <c r="N57" s="2115"/>
      <c r="O57" s="2112"/>
      <c r="P57" s="2115"/>
      <c r="Q57" s="2113"/>
    </row>
    <row r="58" spans="2:29">
      <c r="B58" s="2111"/>
      <c r="C58" s="2112"/>
      <c r="D58" s="2115"/>
      <c r="E58" s="2115"/>
      <c r="F58" s="2115"/>
      <c r="G58" s="2115"/>
      <c r="H58" s="2115"/>
      <c r="I58" s="2115"/>
      <c r="J58" s="2115"/>
      <c r="K58" s="2115"/>
      <c r="L58" s="2115"/>
      <c r="M58" s="2115"/>
      <c r="N58" s="2115"/>
      <c r="O58" s="2115"/>
      <c r="P58" s="2115"/>
      <c r="Q58" s="2113"/>
      <c r="V58" s="1" t="s">
        <v>1596</v>
      </c>
      <c r="W58" s="1" t="s">
        <v>764</v>
      </c>
      <c r="X58" t="s">
        <v>1030</v>
      </c>
      <c r="Y58" t="s">
        <v>1031</v>
      </c>
      <c r="Z58" s="1" t="s">
        <v>1596</v>
      </c>
      <c r="AA58" s="1" t="s">
        <v>1135</v>
      </c>
      <c r="AB58" t="s">
        <v>1030</v>
      </c>
      <c r="AC58" t="s">
        <v>1031</v>
      </c>
    </row>
    <row r="59" spans="2:29" ht="14.25" hidden="1" thickBot="1">
      <c r="B59" s="2111"/>
      <c r="C59" s="2112"/>
      <c r="D59" s="2134"/>
      <c r="E59" s="2115" t="s">
        <v>1235</v>
      </c>
      <c r="F59" s="2115"/>
      <c r="G59" s="2115"/>
      <c r="H59" s="2115"/>
      <c r="I59" s="2135" t="e">
        <f>-100*I48+105</f>
        <v>#VALUE!</v>
      </c>
      <c r="J59" s="2115" t="s">
        <v>1605</v>
      </c>
      <c r="K59" s="2112"/>
      <c r="L59" s="2115"/>
      <c r="M59" s="2135" t="e">
        <f>-100*M48+105</f>
        <v>#VALUE!</v>
      </c>
      <c r="N59" s="2115" t="s">
        <v>1605</v>
      </c>
      <c r="O59" s="2112"/>
      <c r="P59" s="2115"/>
      <c r="Q59" s="2113"/>
      <c r="V59" s="1">
        <v>1</v>
      </c>
      <c r="W59" s="1">
        <v>1.1000000000000001</v>
      </c>
      <c r="X59">
        <f>(V60-V59)/(W60-W59)</f>
        <v>-19.999999999999982</v>
      </c>
      <c r="Y59">
        <f>V60-X59*W60</f>
        <v>22.999999999999982</v>
      </c>
      <c r="Z59" s="1">
        <v>1</v>
      </c>
      <c r="AA59" s="1">
        <v>1.3</v>
      </c>
      <c r="AB59">
        <f>(Z60-Z59)/(AA60-AA59)</f>
        <v>-9.9999999999999911</v>
      </c>
      <c r="AC59">
        <f>Z60-AB59*AA60</f>
        <v>13.999999999999989</v>
      </c>
    </row>
    <row r="60" spans="2:29" ht="14.25" hidden="1" thickBot="1">
      <c r="B60" s="2111"/>
      <c r="C60" s="2112"/>
      <c r="D60" s="2134"/>
      <c r="E60" s="2112"/>
      <c r="F60" s="2115"/>
      <c r="G60" s="2112"/>
      <c r="H60" s="2115"/>
      <c r="I60" s="2124" t="e">
        <f>IF(I48=0,"-",IF(I59&gt;=W73,5,I59*X67+Y67))</f>
        <v>#VALUE!</v>
      </c>
      <c r="J60" s="2115"/>
      <c r="K60" s="2112"/>
      <c r="L60" s="2115"/>
      <c r="M60" s="2124" t="e">
        <f>IF(M48=0,"-",IF(M59&gt;=AA73,5,M59*AB67+AC67))</f>
        <v>#VALUE!</v>
      </c>
      <c r="N60" s="2136"/>
      <c r="O60" s="2112"/>
      <c r="P60" s="2115"/>
      <c r="Q60" s="2113"/>
      <c r="S60">
        <v>1</v>
      </c>
      <c r="V60" s="1">
        <v>2</v>
      </c>
      <c r="W60" s="1">
        <v>1.05</v>
      </c>
      <c r="X60">
        <f>(V61-V60)/(W61-W60)</f>
        <v>-19.999999999999982</v>
      </c>
      <c r="Y60">
        <f>V61-X60*W61</f>
        <v>22.999999999999982</v>
      </c>
      <c r="Z60" s="1">
        <v>2</v>
      </c>
      <c r="AA60" s="1">
        <v>1.2</v>
      </c>
      <c r="AB60">
        <f>(Z61-Z60)/(AA61-AA60)</f>
        <v>-10.000000000000014</v>
      </c>
      <c r="AC60">
        <f>Z61-AB60*AA61</f>
        <v>14.000000000000016</v>
      </c>
    </row>
    <row r="61" spans="2:29" ht="14.25" thickBot="1">
      <c r="B61" s="2111"/>
      <c r="C61" s="2112"/>
      <c r="D61" s="2115"/>
      <c r="E61" s="2112"/>
      <c r="F61" s="2115"/>
      <c r="G61" s="2112"/>
      <c r="H61" s="2115"/>
      <c r="I61" s="2112"/>
      <c r="J61" s="2115"/>
      <c r="K61" s="2112"/>
      <c r="L61" s="2115"/>
      <c r="M61" s="2112"/>
      <c r="N61" s="2115"/>
      <c r="O61" s="2112"/>
      <c r="P61" s="2115"/>
      <c r="Q61" s="2113"/>
      <c r="S61">
        <v>2</v>
      </c>
      <c r="V61" s="1">
        <v>3</v>
      </c>
      <c r="W61" s="1">
        <v>1</v>
      </c>
      <c r="X61">
        <f>(V62-V61)/(W62-W61)</f>
        <v>-10.000000000000002</v>
      </c>
      <c r="Y61">
        <f>V62-X61*W62</f>
        <v>13.000000000000002</v>
      </c>
      <c r="Z61" s="1">
        <v>3</v>
      </c>
      <c r="AA61" s="1">
        <v>1.1000000000000001</v>
      </c>
      <c r="AB61">
        <f>(Z62-Z61)/(AA62-AA61)</f>
        <v>-9.9999999999999911</v>
      </c>
      <c r="AC61">
        <f>Z62-AB61*AA62</f>
        <v>13.999999999999991</v>
      </c>
    </row>
    <row r="62" spans="2:29">
      <c r="B62" s="2111"/>
      <c r="C62" s="2112"/>
      <c r="D62" s="99" t="s">
        <v>1236</v>
      </c>
      <c r="E62" s="2112"/>
      <c r="F62" s="2112"/>
      <c r="G62" s="2112"/>
      <c r="H62" s="2112"/>
      <c r="I62" s="2670">
        <f>IF(F8="BEI（標準法）",IF(H8="",0,H8),0)</f>
        <v>0</v>
      </c>
      <c r="J62" s="2112" t="s">
        <v>1237</v>
      </c>
      <c r="K62" s="2112"/>
      <c r="L62" s="2112"/>
      <c r="M62" s="2670">
        <f>IF(H20="",0,H20)</f>
        <v>0</v>
      </c>
      <c r="N62" s="2670">
        <f>IF(H16="",0,H16)</f>
        <v>0</v>
      </c>
      <c r="O62" s="2112" t="s">
        <v>1237</v>
      </c>
      <c r="P62" s="2112"/>
      <c r="Q62" s="2113"/>
      <c r="S62">
        <v>3</v>
      </c>
      <c r="V62" s="1">
        <v>4</v>
      </c>
      <c r="W62" s="1">
        <v>0.9</v>
      </c>
      <c r="X62">
        <f>(V63-V62)/(W63-W62)</f>
        <v>-4.9999999999999982</v>
      </c>
      <c r="Y62">
        <f>V63-X62*W63</f>
        <v>8.4999999999999982</v>
      </c>
      <c r="Z62" s="1">
        <v>4</v>
      </c>
      <c r="AA62" s="1">
        <v>1</v>
      </c>
      <c r="AB62">
        <f>(Z63-Z62)/(AA63-AA62)</f>
        <v>-10.000000000000002</v>
      </c>
      <c r="AC62">
        <f>Z63-AB62*AA63</f>
        <v>14.000000000000002</v>
      </c>
    </row>
    <row r="63" spans="2:29">
      <c r="B63" s="2111"/>
      <c r="C63" s="2112"/>
      <c r="D63" s="99"/>
      <c r="E63" s="2112" t="s">
        <v>1238</v>
      </c>
      <c r="F63" s="2112"/>
      <c r="G63" s="2112"/>
      <c r="H63" s="2112"/>
      <c r="I63" s="2138"/>
      <c r="J63" s="2112"/>
      <c r="K63" s="2112"/>
      <c r="L63" s="2112"/>
      <c r="M63" s="2138"/>
      <c r="N63" s="2673">
        <f>IF(J16="",0,J16)</f>
        <v>0</v>
      </c>
      <c r="O63" s="2112" t="s">
        <v>1239</v>
      </c>
      <c r="P63" s="2112"/>
      <c r="Q63" s="2113"/>
      <c r="S63">
        <v>4</v>
      </c>
      <c r="V63" s="1">
        <v>5</v>
      </c>
      <c r="W63" s="1">
        <v>0.7</v>
      </c>
      <c r="Z63" s="1">
        <v>5</v>
      </c>
      <c r="AA63" s="1">
        <v>0.9</v>
      </c>
    </row>
    <row r="64" spans="2:29">
      <c r="B64" s="2111"/>
      <c r="C64" s="2112"/>
      <c r="D64" s="99" t="s">
        <v>1240</v>
      </c>
      <c r="E64" s="2112"/>
      <c r="F64" s="2112"/>
      <c r="G64" s="2112"/>
      <c r="H64" s="2112"/>
      <c r="I64" s="2671">
        <f>IF(F8="BEI（標準法）",IF(I8="",0,I8),0)</f>
        <v>0</v>
      </c>
      <c r="J64" s="2112"/>
      <c r="K64" s="2112"/>
      <c r="L64" s="2112"/>
      <c r="M64" s="2671">
        <f>IF(I20="",0,I20)</f>
        <v>0</v>
      </c>
      <c r="N64" s="2671">
        <f>IF(I16="",0,I16)</f>
        <v>0</v>
      </c>
      <c r="O64" s="2112"/>
      <c r="P64" s="2112"/>
      <c r="Q64" s="2113"/>
      <c r="S64">
        <v>5</v>
      </c>
    </row>
    <row r="65" spans="2:29">
      <c r="B65" s="2111"/>
      <c r="C65" s="2112"/>
      <c r="D65" s="99" t="s">
        <v>1241</v>
      </c>
      <c r="E65" s="2112"/>
      <c r="F65" s="2112"/>
      <c r="G65" s="2112"/>
      <c r="H65" s="2112"/>
      <c r="I65" s="2671">
        <f>I64+I66</f>
        <v>0</v>
      </c>
      <c r="J65" s="2112"/>
      <c r="K65" s="2112"/>
      <c r="L65" s="2112"/>
      <c r="M65" s="2671">
        <f>M64+M66</f>
        <v>0</v>
      </c>
      <c r="N65" s="2671">
        <f>N64+N66</f>
        <v>0</v>
      </c>
      <c r="O65" s="2112"/>
      <c r="P65" s="2112"/>
      <c r="Q65" s="2113"/>
      <c r="U65" t="s">
        <v>774</v>
      </c>
      <c r="V65">
        <f>IF($M$48&lt;=W63,V63,IF($M$48&lt;=W62,V62,IF($M$48&lt;=W61,V61,IF($M$48&lt;=W60,V60,V59))))</f>
        <v>1</v>
      </c>
      <c r="X65">
        <f>VLOOKUP($V$65,V59:Y63,3)</f>
        <v>-19.999999999999982</v>
      </c>
      <c r="Y65">
        <f>VLOOKUP($V$65,V59:Y63,4)</f>
        <v>22.999999999999982</v>
      </c>
    </row>
    <row r="66" spans="2:29" ht="14.25" thickBot="1">
      <c r="B66" s="2111"/>
      <c r="C66" s="2112"/>
      <c r="D66" s="99" t="s">
        <v>1242</v>
      </c>
      <c r="E66" s="2112"/>
      <c r="F66" s="2112"/>
      <c r="G66" s="2112"/>
      <c r="H66" s="2112"/>
      <c r="I66" s="2672">
        <f>IF(F8="BEI（標準法）",IF(K8="",0,K8),0)</f>
        <v>0</v>
      </c>
      <c r="J66" s="2112" t="s">
        <v>1237</v>
      </c>
      <c r="K66" s="2112"/>
      <c r="L66" s="2112"/>
      <c r="M66" s="2672">
        <f>IF(K20="",0,K20)</f>
        <v>0</v>
      </c>
      <c r="N66" s="2672">
        <f>IF(K16="",0,K16)</f>
        <v>0</v>
      </c>
      <c r="O66" s="2112" t="s">
        <v>1237</v>
      </c>
      <c r="P66" s="2112"/>
      <c r="Q66" s="2113"/>
    </row>
    <row r="67" spans="2:29">
      <c r="B67" s="2111"/>
      <c r="C67" s="2112"/>
      <c r="D67" s="2112"/>
      <c r="E67" s="2141"/>
      <c r="F67" s="2112"/>
      <c r="G67" s="2112"/>
      <c r="H67" s="1341" t="s">
        <v>1606</v>
      </c>
      <c r="I67" s="2142" t="str">
        <f>IF(I64=0,"-",ROUND(I64/I62,5))</f>
        <v>-</v>
      </c>
      <c r="J67" s="2112"/>
      <c r="K67" s="2112"/>
      <c r="L67" s="2112"/>
      <c r="M67" s="2142" t="str">
        <f>IF(M64=0,"-",ROUND(M64/M62,5))</f>
        <v>-</v>
      </c>
      <c r="N67" s="2112"/>
      <c r="O67" s="2112"/>
      <c r="P67" s="2112"/>
      <c r="Q67" s="2113"/>
      <c r="V67" t="e">
        <f>IF($I$59&gt;=W73,V73,IF($I$59&gt;=W72,V72,IF($I$59&gt;=W71,V71,IF($I$59&gt;=W70,V70,V69))))</f>
        <v>#VALUE!</v>
      </c>
      <c r="X67" t="e">
        <f>VLOOKUP($V$67,V69:Y73,3)</f>
        <v>#VALUE!</v>
      </c>
      <c r="Y67" t="e">
        <f>VLOOKUP($V$67,V69:Y73,4)</f>
        <v>#VALUE!</v>
      </c>
      <c r="Z67" t="e">
        <f>IF($M$59&gt;=AA73,Z73,IF($M$59&gt;=AA72,Z72,IF($M$59&gt;=AA71,Z71,IF($M$59&gt;=AA70,Z70,Z69))))</f>
        <v>#VALUE!</v>
      </c>
      <c r="AB67" t="e">
        <f>VLOOKUP($Z$42,Z69:AC73,3)</f>
        <v>#VALUE!</v>
      </c>
      <c r="AC67" t="e">
        <f>VLOOKUP($Z$42,Z69:AC73,4)</f>
        <v>#VALUE!</v>
      </c>
    </row>
    <row r="68" spans="2:29">
      <c r="B68" s="2111"/>
      <c r="C68" s="2112"/>
      <c r="D68" s="2112"/>
      <c r="E68" s="2141"/>
      <c r="F68" s="2112"/>
      <c r="G68" s="2112"/>
      <c r="H68" s="1341" t="s">
        <v>1607</v>
      </c>
      <c r="I68" s="2142" t="str">
        <f>IF(I65=0,"-",ROUND(I65/I62,5))</f>
        <v>-</v>
      </c>
      <c r="J68" s="2112"/>
      <c r="K68" s="2112"/>
      <c r="L68" s="2112"/>
      <c r="M68" s="2142" t="str">
        <f>IF(M65=0,"-",ROUND(M65/M62,5))</f>
        <v>-</v>
      </c>
      <c r="N68" s="2112"/>
      <c r="O68" s="2112"/>
      <c r="P68" s="2112"/>
      <c r="Q68" s="2113"/>
      <c r="T68" t="s">
        <v>1608</v>
      </c>
      <c r="V68" s="1" t="s">
        <v>1596</v>
      </c>
      <c r="W68" s="1" t="s">
        <v>764</v>
      </c>
      <c r="X68" t="s">
        <v>1030</v>
      </c>
      <c r="Y68" t="s">
        <v>1031</v>
      </c>
      <c r="Z68" s="1" t="s">
        <v>1596</v>
      </c>
      <c r="AA68" s="1" t="s">
        <v>1136</v>
      </c>
      <c r="AB68" t="s">
        <v>1030</v>
      </c>
      <c r="AC68" t="s">
        <v>1031</v>
      </c>
    </row>
    <row r="69" spans="2:29">
      <c r="B69" s="2111"/>
      <c r="C69" s="2112"/>
      <c r="D69" s="2112"/>
      <c r="E69" s="2112" t="s">
        <v>1246</v>
      </c>
      <c r="F69" s="2112"/>
      <c r="G69" s="2112"/>
      <c r="H69" s="2112"/>
      <c r="I69" s="2112"/>
      <c r="J69" s="2112"/>
      <c r="K69" s="2112"/>
      <c r="L69" s="2112"/>
      <c r="M69" s="2112"/>
      <c r="N69" s="2112"/>
      <c r="O69" s="2115"/>
      <c r="P69" s="2112"/>
      <c r="Q69" s="2113"/>
      <c r="V69" s="1">
        <v>1</v>
      </c>
      <c r="W69" s="1">
        <v>-5</v>
      </c>
      <c r="X69">
        <f>(V70-V69)/(W70-W69)</f>
        <v>0.2</v>
      </c>
      <c r="Y69">
        <f>V70-X69*W70</f>
        <v>2</v>
      </c>
      <c r="Z69" s="1">
        <v>1</v>
      </c>
      <c r="AA69" s="1">
        <v>-5</v>
      </c>
      <c r="AB69">
        <f>(Z70-Z69)/(AA70-AA69)</f>
        <v>0.2</v>
      </c>
      <c r="AC69">
        <f>Z70-AB69*AA70</f>
        <v>2</v>
      </c>
    </row>
    <row r="70" spans="2:29">
      <c r="B70" s="2111"/>
      <c r="C70" s="2112"/>
      <c r="D70" s="2112"/>
      <c r="E70" s="2112" t="s">
        <v>1247</v>
      </c>
      <c r="F70" s="2115"/>
      <c r="G70" s="2115"/>
      <c r="H70" s="2115"/>
      <c r="I70" s="2115"/>
      <c r="J70" s="2115"/>
      <c r="K70" s="2115"/>
      <c r="L70" s="2115"/>
      <c r="M70" s="2115"/>
      <c r="N70" s="2115"/>
      <c r="O70" s="2115"/>
      <c r="P70" s="2112"/>
      <c r="Q70" s="2113"/>
      <c r="V70" s="1">
        <v>2</v>
      </c>
      <c r="W70" s="1">
        <v>0</v>
      </c>
      <c r="X70">
        <f>(V71-V70)/(W71-W70)</f>
        <v>0.2</v>
      </c>
      <c r="Y70">
        <f>V71-X70*W71</f>
        <v>2</v>
      </c>
      <c r="Z70" s="1">
        <v>2</v>
      </c>
      <c r="AA70" s="1">
        <v>0</v>
      </c>
      <c r="AB70">
        <f>(Z71-Z70)/(AA71-AA70)</f>
        <v>0.2</v>
      </c>
      <c r="AC70">
        <f>Z71-AB70*AA71</f>
        <v>2</v>
      </c>
    </row>
    <row r="71" spans="2:29">
      <c r="B71" s="2111"/>
      <c r="C71" s="2112"/>
      <c r="D71" s="2112"/>
      <c r="E71" s="2112"/>
      <c r="F71" s="2112"/>
      <c r="G71" s="2112"/>
      <c r="H71" s="2112"/>
      <c r="I71" s="2112"/>
      <c r="J71" s="2112"/>
      <c r="K71" s="2112"/>
      <c r="L71" s="2112"/>
      <c r="M71" s="2115"/>
      <c r="N71" s="2115"/>
      <c r="O71" s="2115"/>
      <c r="P71" s="2112"/>
      <c r="Q71" s="2113"/>
      <c r="V71" s="1">
        <v>3</v>
      </c>
      <c r="W71" s="1">
        <v>5</v>
      </c>
      <c r="X71">
        <f>(V72-V71)/(W72-W71)</f>
        <v>0.1</v>
      </c>
      <c r="Y71">
        <f>V72-X71*W72</f>
        <v>2.5</v>
      </c>
      <c r="Z71" s="1">
        <v>3</v>
      </c>
      <c r="AA71" s="1">
        <v>5</v>
      </c>
      <c r="AB71">
        <f>(Z72-Z71)/(AA72-AA71)</f>
        <v>0.1</v>
      </c>
      <c r="AC71">
        <f>Z72-AB71*AA72</f>
        <v>2.5</v>
      </c>
    </row>
    <row r="72" spans="2:29">
      <c r="B72" s="2111"/>
      <c r="C72" s="2112"/>
      <c r="D72" s="2112"/>
      <c r="E72" s="2115"/>
      <c r="F72" s="2115"/>
      <c r="G72" s="2115"/>
      <c r="H72" s="2115"/>
      <c r="I72" s="2115"/>
      <c r="J72" s="2115"/>
      <c r="K72" s="2115"/>
      <c r="L72" s="2115"/>
      <c r="M72" s="2115"/>
      <c r="N72" s="2115"/>
      <c r="O72" s="2115"/>
      <c r="P72" s="2112"/>
      <c r="Q72" s="2113"/>
      <c r="V72" s="1">
        <v>4</v>
      </c>
      <c r="W72" s="1">
        <v>15</v>
      </c>
      <c r="X72">
        <f>(V73-V72)/(W73-W72)</f>
        <v>0.05</v>
      </c>
      <c r="Y72">
        <f>V73-X72*W73</f>
        <v>3.25</v>
      </c>
      <c r="Z72" s="1">
        <v>4</v>
      </c>
      <c r="AA72" s="1">
        <v>15</v>
      </c>
      <c r="AB72">
        <f>(Z73-Z72)/(AA73-AA72)</f>
        <v>0.05</v>
      </c>
      <c r="AC72">
        <f>Z73-AB72*AA73</f>
        <v>3.25</v>
      </c>
    </row>
    <row r="73" spans="2:29">
      <c r="B73" s="2111"/>
      <c r="C73" s="2112"/>
      <c r="D73" s="2112" t="s">
        <v>1609</v>
      </c>
      <c r="E73" s="2115" t="s">
        <v>1249</v>
      </c>
      <c r="F73" s="2115"/>
      <c r="G73" s="2115"/>
      <c r="H73" s="2115"/>
      <c r="I73" s="2115"/>
      <c r="J73" s="2115"/>
      <c r="K73" s="2115"/>
      <c r="L73" s="2115"/>
      <c r="M73" s="2115"/>
      <c r="N73" s="2115"/>
      <c r="O73" s="2115"/>
      <c r="P73" s="2112"/>
      <c r="Q73" s="2113"/>
      <c r="V73" s="1">
        <v>5</v>
      </c>
      <c r="W73" s="1">
        <v>35</v>
      </c>
      <c r="Z73" s="1">
        <v>5</v>
      </c>
      <c r="AA73" s="1">
        <v>35</v>
      </c>
    </row>
    <row r="74" spans="2:29" ht="14.25" thickBot="1">
      <c r="B74" s="2111"/>
      <c r="C74" s="2112"/>
      <c r="D74" s="2112"/>
      <c r="E74" s="2115"/>
      <c r="F74" s="2115"/>
      <c r="G74" s="2115"/>
      <c r="H74" s="2143" t="s">
        <v>1250</v>
      </c>
      <c r="I74" s="2115" t="s">
        <v>1251</v>
      </c>
      <c r="J74" s="2115" t="s">
        <v>1610</v>
      </c>
      <c r="K74" s="2115" t="s">
        <v>1253</v>
      </c>
      <c r="L74" s="2115" t="s">
        <v>1611</v>
      </c>
      <c r="M74" s="2115" t="s">
        <v>1612</v>
      </c>
      <c r="N74" s="2115" t="s">
        <v>1256</v>
      </c>
      <c r="O74" s="2115"/>
      <c r="P74" s="2112"/>
      <c r="Q74" s="2113"/>
    </row>
    <row r="75" spans="2:29" ht="14.25" thickBot="1">
      <c r="B75" s="2111"/>
      <c r="C75" s="2112"/>
      <c r="D75" s="2112"/>
      <c r="E75" s="2115"/>
      <c r="F75" s="2115"/>
      <c r="G75" s="1883" t="s">
        <v>1257</v>
      </c>
      <c r="H75" s="2144"/>
      <c r="I75" s="1874">
        <f>H75*$N$52</f>
        <v>0</v>
      </c>
      <c r="J75" s="1874">
        <v>0</v>
      </c>
      <c r="K75" s="2137"/>
      <c r="L75" s="1874">
        <v>12181</v>
      </c>
      <c r="M75" s="2145">
        <f>I75*J75+K75*L75</f>
        <v>0</v>
      </c>
      <c r="N75" s="2146">
        <f>SUM(M75:M79)/1000</f>
        <v>0</v>
      </c>
      <c r="O75" s="2112" t="s">
        <v>1237</v>
      </c>
      <c r="P75" s="2112"/>
      <c r="Q75" s="2113"/>
    </row>
    <row r="76" spans="2:29">
      <c r="B76" s="2111"/>
      <c r="C76" s="2112"/>
      <c r="D76" s="2112"/>
      <c r="E76" s="2115"/>
      <c r="F76" s="2115"/>
      <c r="G76" s="1883" t="s">
        <v>1258</v>
      </c>
      <c r="H76" s="2147"/>
      <c r="I76" s="1874">
        <f t="shared" ref="I76:I79" si="0">H76*$N$52</f>
        <v>0</v>
      </c>
      <c r="J76" s="1874">
        <v>87</v>
      </c>
      <c r="K76" s="2139"/>
      <c r="L76" s="1874">
        <v>9571</v>
      </c>
      <c r="M76" s="1874">
        <f>I76*J76+K76*L76</f>
        <v>0</v>
      </c>
      <c r="N76" s="2115"/>
      <c r="O76" s="2115"/>
      <c r="P76" s="2112"/>
      <c r="Q76" s="2113"/>
    </row>
    <row r="77" spans="2:29">
      <c r="B77" s="2111"/>
      <c r="C77" s="2112"/>
      <c r="D77" s="2112"/>
      <c r="E77" s="2115"/>
      <c r="F77" s="2115"/>
      <c r="G77" s="1883" t="s">
        <v>1259</v>
      </c>
      <c r="H77" s="2147"/>
      <c r="I77" s="1874">
        <f t="shared" si="0"/>
        <v>0</v>
      </c>
      <c r="J77" s="1874">
        <v>167</v>
      </c>
      <c r="K77" s="2139"/>
      <c r="L77" s="1874">
        <v>4771</v>
      </c>
      <c r="M77" s="1874">
        <f>I77*J77+K77*L77</f>
        <v>0</v>
      </c>
      <c r="N77" s="2115"/>
      <c r="O77" s="2115"/>
      <c r="P77" s="2112"/>
      <c r="Q77" s="2113"/>
    </row>
    <row r="78" spans="2:29">
      <c r="B78" s="2111"/>
      <c r="C78" s="2112"/>
      <c r="D78" s="2112"/>
      <c r="E78" s="2115"/>
      <c r="F78" s="2115"/>
      <c r="G78" s="1883" t="s">
        <v>1260</v>
      </c>
      <c r="H78" s="2147"/>
      <c r="I78" s="1874">
        <f t="shared" si="0"/>
        <v>0</v>
      </c>
      <c r="J78" s="1874">
        <v>47</v>
      </c>
      <c r="K78" s="2139"/>
      <c r="L78" s="1874">
        <v>15571</v>
      </c>
      <c r="M78" s="1874">
        <f>I78*J78+K78*L78</f>
        <v>0</v>
      </c>
      <c r="N78" s="2115"/>
      <c r="O78" s="2115"/>
      <c r="P78" s="2112"/>
      <c r="Q78" s="2113"/>
    </row>
    <row r="79" spans="2:29" ht="14.25" thickBot="1">
      <c r="B79" s="2111"/>
      <c r="C79" s="2112"/>
      <c r="D79" s="2112"/>
      <c r="E79" s="2115"/>
      <c r="F79" s="2115"/>
      <c r="G79" s="1883" t="s">
        <v>1261</v>
      </c>
      <c r="H79" s="2148"/>
      <c r="I79" s="1874">
        <f t="shared" si="0"/>
        <v>0</v>
      </c>
      <c r="J79" s="1874">
        <v>0</v>
      </c>
      <c r="K79" s="2140"/>
      <c r="L79" s="1874">
        <v>21211</v>
      </c>
      <c r="M79" s="1874">
        <f>I79*J79+K79*L79</f>
        <v>0</v>
      </c>
      <c r="N79" s="2115"/>
      <c r="O79" s="2115"/>
      <c r="P79" s="2112"/>
      <c r="Q79" s="2113"/>
    </row>
    <row r="80" spans="2:29">
      <c r="B80" s="2111"/>
      <c r="C80" s="2112"/>
      <c r="D80" s="2112"/>
      <c r="E80" s="2112"/>
      <c r="F80" s="2112"/>
      <c r="G80" s="2112" t="s">
        <v>474</v>
      </c>
      <c r="H80" s="2149">
        <f>SUM(H75:H79)</f>
        <v>0</v>
      </c>
      <c r="I80" s="2112"/>
      <c r="J80" s="2115"/>
      <c r="K80" s="2112"/>
      <c r="L80" s="2112"/>
      <c r="M80" s="2112"/>
      <c r="N80" s="2112"/>
      <c r="O80" s="2112"/>
      <c r="P80" s="2112"/>
      <c r="Q80" s="2113"/>
    </row>
    <row r="81" spans="2:21">
      <c r="B81" s="2111"/>
      <c r="C81" s="2112"/>
      <c r="D81" s="2112"/>
      <c r="E81" s="2112"/>
      <c r="F81" s="2112"/>
      <c r="G81" s="2112"/>
      <c r="H81" s="2112"/>
      <c r="I81" s="2112"/>
      <c r="J81" s="2115"/>
      <c r="K81" s="2112"/>
      <c r="L81" s="2112"/>
      <c r="M81" s="2112"/>
      <c r="N81" s="2112"/>
      <c r="O81" s="2112"/>
      <c r="P81" s="2112"/>
      <c r="Q81" s="2113"/>
    </row>
    <row r="82" spans="2:21">
      <c r="B82" s="2111"/>
      <c r="C82" s="2112"/>
      <c r="D82" s="2112"/>
      <c r="E82" s="2112"/>
      <c r="F82" s="2112"/>
      <c r="G82" s="2112"/>
      <c r="H82" s="2112"/>
      <c r="I82" s="2112"/>
      <c r="J82" s="2115"/>
      <c r="K82" s="2112"/>
      <c r="L82" s="2112"/>
      <c r="M82" s="2112"/>
      <c r="N82" s="2112"/>
      <c r="O82" s="2112"/>
      <c r="P82" s="2112"/>
      <c r="Q82" s="2113"/>
      <c r="T82" s="2072" t="s">
        <v>1262</v>
      </c>
    </row>
    <row r="83" spans="2:21" ht="14.25" thickBot="1">
      <c r="B83" s="2111"/>
      <c r="C83" s="2112"/>
      <c r="D83" s="2141" t="s">
        <v>1721</v>
      </c>
      <c r="E83" s="2112"/>
      <c r="F83" s="2112"/>
      <c r="G83" s="2112"/>
      <c r="H83" s="2112"/>
      <c r="I83" s="2112"/>
      <c r="J83" s="2115"/>
      <c r="K83" s="2112"/>
      <c r="L83" s="2112"/>
      <c r="M83" s="2112"/>
      <c r="N83" s="2112"/>
      <c r="O83" s="2112"/>
      <c r="P83" s="2112"/>
      <c r="Q83" s="2113"/>
      <c r="T83">
        <v>1</v>
      </c>
    </row>
    <row r="84" spans="2:21" ht="13.5" customHeight="1" thickBot="1">
      <c r="B84" s="2111"/>
      <c r="C84" s="2112"/>
      <c r="D84" s="2112"/>
      <c r="E84" s="2884" t="s">
        <v>1263</v>
      </c>
      <c r="F84" s="2884"/>
      <c r="G84" s="2884"/>
      <c r="H84" s="2884"/>
      <c r="I84" s="2884"/>
      <c r="J84" s="2884"/>
      <c r="K84" s="2884"/>
      <c r="L84" s="2112"/>
      <c r="M84" s="2112" t="s">
        <v>1264</v>
      </c>
      <c r="N84" s="2885" t="s">
        <v>1262</v>
      </c>
      <c r="O84" s="2886"/>
      <c r="P84" s="2887"/>
      <c r="Q84" s="2113"/>
      <c r="T84">
        <v>4</v>
      </c>
    </row>
    <row r="85" spans="2:21">
      <c r="B85" s="2111"/>
      <c r="C85" s="2112"/>
      <c r="D85" s="2112"/>
      <c r="E85" s="2884"/>
      <c r="F85" s="2884"/>
      <c r="G85" s="2884"/>
      <c r="H85" s="2884"/>
      <c r="I85" s="2884"/>
      <c r="J85" s="2884"/>
      <c r="K85" s="2884"/>
      <c r="L85" s="2112"/>
      <c r="M85" s="2112"/>
      <c r="N85" s="2112"/>
      <c r="O85" s="2112"/>
      <c r="P85" s="2112"/>
      <c r="Q85" s="2113"/>
    </row>
    <row r="86" spans="2:21">
      <c r="B86" s="2111"/>
      <c r="C86" s="2112"/>
      <c r="D86" s="2112"/>
      <c r="E86" s="2884"/>
      <c r="F86" s="2884"/>
      <c r="G86" s="2884"/>
      <c r="H86" s="2884"/>
      <c r="I86" s="2884"/>
      <c r="J86" s="2884"/>
      <c r="K86" s="2884"/>
      <c r="L86" s="2112"/>
      <c r="M86" s="2112"/>
      <c r="N86" s="2112"/>
      <c r="O86" s="2112"/>
      <c r="P86" s="2112"/>
      <c r="Q86" s="2113"/>
    </row>
    <row r="87" spans="2:21" ht="7.5" customHeight="1" thickBot="1">
      <c r="B87" s="2111"/>
      <c r="C87" s="2112"/>
      <c r="D87" s="2112"/>
      <c r="E87" s="2112"/>
      <c r="F87" s="2112"/>
      <c r="G87" s="2112"/>
      <c r="H87" s="2112"/>
      <c r="I87" s="2112"/>
      <c r="J87" s="2115"/>
      <c r="K87" s="2112"/>
      <c r="L87" s="2112"/>
      <c r="M87" s="2112"/>
      <c r="N87" s="2112"/>
      <c r="O87" s="2112"/>
      <c r="P87" s="2112"/>
      <c r="Q87" s="2113"/>
    </row>
    <row r="88" spans="2:21" ht="14.25" thickBot="1">
      <c r="B88" s="2111"/>
      <c r="C88" s="2112"/>
      <c r="D88" s="2112"/>
      <c r="E88" s="2112" t="s">
        <v>1265</v>
      </c>
      <c r="F88" s="2119" t="s">
        <v>1266</v>
      </c>
      <c r="G88" s="2112"/>
      <c r="H88" s="2112"/>
      <c r="I88" s="2112"/>
      <c r="J88" s="2115" t="s">
        <v>1267</v>
      </c>
      <c r="K88" s="2119" t="s">
        <v>1266</v>
      </c>
      <c r="L88" s="2112"/>
      <c r="M88" s="2112"/>
      <c r="N88" s="2112"/>
      <c r="O88" s="2112"/>
      <c r="P88" s="2112"/>
      <c r="Q88" s="2113"/>
      <c r="T88" t="s">
        <v>1152</v>
      </c>
      <c r="U88" t="s">
        <v>1153</v>
      </c>
    </row>
    <row r="89" spans="2:21">
      <c r="B89" s="2111"/>
      <c r="C89" s="2112"/>
      <c r="D89" s="2112"/>
      <c r="E89" s="2112"/>
      <c r="F89" s="2112" t="s">
        <v>1268</v>
      </c>
      <c r="G89" s="2112"/>
      <c r="H89" s="2112"/>
      <c r="I89" s="2112"/>
      <c r="J89" s="2115"/>
      <c r="K89" s="2112" t="s">
        <v>1269</v>
      </c>
      <c r="L89" s="2112"/>
      <c r="M89" s="2112"/>
      <c r="N89" s="2112"/>
      <c r="O89" s="2112"/>
      <c r="P89" s="2112"/>
      <c r="Q89" s="2113"/>
      <c r="T89" t="s">
        <v>1163</v>
      </c>
      <c r="U89" t="s">
        <v>1159</v>
      </c>
    </row>
    <row r="90" spans="2:21">
      <c r="B90" s="2111"/>
      <c r="C90" s="2112"/>
      <c r="D90" s="2112"/>
      <c r="E90" s="2112"/>
      <c r="F90" s="2112" t="s">
        <v>1270</v>
      </c>
      <c r="G90" s="2112"/>
      <c r="H90" s="2112"/>
      <c r="I90" s="2112"/>
      <c r="J90" s="2115"/>
      <c r="K90" s="2112" t="s">
        <v>1271</v>
      </c>
      <c r="L90" s="2112"/>
      <c r="M90" s="2112"/>
      <c r="N90" s="2112"/>
      <c r="O90" s="2112"/>
      <c r="P90" s="2112"/>
      <c r="Q90" s="2113"/>
      <c r="T90" t="s">
        <v>1170</v>
      </c>
      <c r="U90" t="s">
        <v>1272</v>
      </c>
    </row>
    <row r="91" spans="2:21">
      <c r="B91" s="2111"/>
      <c r="C91" s="2112"/>
      <c r="D91" s="2112"/>
      <c r="E91" s="2112"/>
      <c r="F91" s="2112" t="s">
        <v>1273</v>
      </c>
      <c r="G91" s="2112"/>
      <c r="H91" s="2112"/>
      <c r="I91" s="2112"/>
      <c r="J91" s="2115"/>
      <c r="K91" s="2112" t="s">
        <v>1274</v>
      </c>
      <c r="L91" s="2112"/>
      <c r="M91" s="2112"/>
      <c r="N91" s="2112"/>
      <c r="O91" s="2112"/>
      <c r="P91" s="2112"/>
      <c r="Q91" s="2113"/>
      <c r="T91" t="s">
        <v>1272</v>
      </c>
    </row>
    <row r="92" spans="2:21" ht="14.25" thickBot="1">
      <c r="B92" s="2150"/>
      <c r="C92" s="2151"/>
      <c r="D92" s="2151"/>
      <c r="E92" s="2151"/>
      <c r="F92" s="2151" t="s">
        <v>1274</v>
      </c>
      <c r="G92" s="2151"/>
      <c r="H92" s="2151"/>
      <c r="I92" s="2151"/>
      <c r="J92" s="2152"/>
      <c r="K92" s="2151"/>
      <c r="L92" s="2151"/>
      <c r="M92" s="2151"/>
      <c r="N92" s="2151"/>
      <c r="O92" s="2151"/>
      <c r="P92" s="2151"/>
      <c r="Q92" s="2153"/>
    </row>
    <row r="93" spans="2:21" ht="14.25" thickBot="1">
      <c r="B93" s="516"/>
      <c r="C93" s="516"/>
      <c r="D93" s="516"/>
      <c r="E93" s="516"/>
      <c r="F93" s="516"/>
      <c r="G93" s="516"/>
      <c r="H93" s="516"/>
      <c r="I93" s="516"/>
      <c r="J93" s="516"/>
      <c r="K93" s="516"/>
      <c r="L93" s="516"/>
      <c r="M93" s="516"/>
      <c r="N93" s="516"/>
      <c r="O93" s="516"/>
      <c r="P93" s="516"/>
      <c r="Q93" s="516"/>
    </row>
    <row r="94" spans="2:21" ht="27" customHeight="1">
      <c r="B94" s="2154"/>
      <c r="C94" s="2155" t="s">
        <v>1275</v>
      </c>
      <c r="D94" s="2156"/>
      <c r="E94" s="2156"/>
      <c r="F94" s="2156"/>
      <c r="G94" s="2156"/>
      <c r="H94" s="2156"/>
      <c r="I94" s="2156"/>
      <c r="J94" s="2156"/>
      <c r="K94" s="2156"/>
      <c r="L94" s="2156"/>
      <c r="M94" s="2156"/>
      <c r="N94" s="2157"/>
      <c r="O94" s="2158"/>
      <c r="P94" s="2158"/>
      <c r="Q94" s="2159"/>
    </row>
    <row r="95" spans="2:21">
      <c r="B95" s="2160"/>
      <c r="C95" s="1348"/>
      <c r="D95" s="1348" t="s">
        <v>1276</v>
      </c>
      <c r="E95" s="2112"/>
      <c r="F95" s="2112"/>
      <c r="G95" s="2131"/>
      <c r="H95" s="2112"/>
      <c r="I95" s="2112"/>
      <c r="J95" s="2112"/>
      <c r="K95" s="2112"/>
      <c r="L95" s="2112"/>
      <c r="M95" s="2112"/>
      <c r="N95" s="2112" t="s">
        <v>65</v>
      </c>
      <c r="O95" s="2112"/>
      <c r="P95" s="2112"/>
      <c r="Q95" s="2161" t="s">
        <v>138</v>
      </c>
    </row>
    <row r="96" spans="2:21">
      <c r="B96" s="2160"/>
      <c r="C96" s="1348"/>
      <c r="D96" s="1348"/>
      <c r="E96" s="2112"/>
      <c r="F96" s="2118" t="s">
        <v>1277</v>
      </c>
      <c r="G96" s="2118" t="s">
        <v>1613</v>
      </c>
      <c r="H96" s="2118" t="s">
        <v>1614</v>
      </c>
      <c r="I96" s="2112"/>
      <c r="J96" s="2112" t="s">
        <v>1278</v>
      </c>
      <c r="K96" s="2112"/>
      <c r="L96" s="2162" t="s">
        <v>1279</v>
      </c>
      <c r="M96" s="2112"/>
      <c r="N96" s="1345" t="s">
        <v>1237</v>
      </c>
      <c r="O96" s="1354"/>
      <c r="P96" s="1354"/>
      <c r="Q96" s="1347" t="s">
        <v>1237</v>
      </c>
    </row>
    <row r="97" spans="2:20">
      <c r="B97" s="2160"/>
      <c r="C97" s="1348"/>
      <c r="D97" s="1348"/>
      <c r="E97" s="2115" t="s">
        <v>1280</v>
      </c>
      <c r="F97" s="2163" t="str">
        <f>IF(E47=S50,I68,I49)</f>
        <v>-</v>
      </c>
      <c r="G97" s="2257">
        <f>-(境界値!I51-1)*0.1</f>
        <v>0</v>
      </c>
      <c r="H97" s="2163" t="e">
        <f>IF(E47=S50,I68,I49)+G97</f>
        <v>#VALUE!</v>
      </c>
      <c r="I97" s="2112"/>
      <c r="J97" s="2164">
        <f>(H121*N121+H123*N123+N124*H124)/1000</f>
        <v>0</v>
      </c>
      <c r="K97" s="2165" t="s">
        <v>1237</v>
      </c>
      <c r="L97" s="2166">
        <f>N127</f>
        <v>1</v>
      </c>
      <c r="M97" s="2165"/>
      <c r="N97" s="2167">
        <f>境界値!J20+境界値!J8</f>
        <v>0</v>
      </c>
      <c r="O97" s="1354"/>
      <c r="P97" s="1889"/>
      <c r="Q97" s="2168" t="e">
        <f>(N97/H97+J97)/L97</f>
        <v>#VALUE!</v>
      </c>
      <c r="S97" t="s">
        <v>1719</v>
      </c>
      <c r="T97" s="2169" t="e">
        <f>T117/Q97</f>
        <v>#VALUE!</v>
      </c>
    </row>
    <row r="98" spans="2:20">
      <c r="B98" s="2160"/>
      <c r="C98" s="1348"/>
      <c r="D98" s="1348"/>
      <c r="E98" s="2115"/>
      <c r="F98" s="2295"/>
      <c r="G98" s="2296"/>
      <c r="H98" s="2295"/>
      <c r="I98" s="2112"/>
      <c r="J98" s="2188"/>
      <c r="K98" s="2165"/>
      <c r="L98" s="2297"/>
      <c r="M98" s="2165"/>
      <c r="N98" s="2202"/>
      <c r="O98" s="1354"/>
      <c r="P98" s="1889"/>
      <c r="Q98" s="2203"/>
      <c r="S98" t="s">
        <v>1720</v>
      </c>
      <c r="T98" s="2360">
        <f>CO2データ!N170</f>
        <v>0</v>
      </c>
    </row>
    <row r="99" spans="2:20">
      <c r="B99" s="2111"/>
      <c r="C99" s="2112"/>
      <c r="D99" s="2112"/>
      <c r="E99" s="2112"/>
      <c r="F99" s="2112"/>
      <c r="G99" s="2162"/>
      <c r="H99" s="2162" t="s">
        <v>1281</v>
      </c>
      <c r="I99" s="2112"/>
      <c r="J99" s="2162" t="s">
        <v>1282</v>
      </c>
      <c r="K99" s="2162"/>
      <c r="L99" s="2162" t="s">
        <v>1615</v>
      </c>
      <c r="M99" s="2112"/>
      <c r="N99" s="2112"/>
      <c r="O99" s="2112"/>
      <c r="P99" s="2112"/>
      <c r="Q99" s="2113"/>
    </row>
    <row r="100" spans="2:20">
      <c r="B100" s="2111"/>
      <c r="C100" s="2112"/>
      <c r="D100" s="2112"/>
      <c r="E100" s="2112"/>
      <c r="F100" s="2112"/>
      <c r="G100" s="2118"/>
      <c r="H100" s="2118" t="s">
        <v>1616</v>
      </c>
      <c r="I100" s="2112"/>
      <c r="J100" s="2162" t="s">
        <v>1284</v>
      </c>
      <c r="K100" s="2162"/>
      <c r="L100" s="2162" t="s">
        <v>193</v>
      </c>
      <c r="M100" s="2112"/>
      <c r="N100" s="2112"/>
      <c r="O100" s="2112"/>
      <c r="P100" s="2112"/>
      <c r="Q100" s="2113"/>
      <c r="S100" t="s">
        <v>1285</v>
      </c>
    </row>
    <row r="101" spans="2:20">
      <c r="B101" s="2111"/>
      <c r="C101" s="2112"/>
      <c r="D101" s="2112"/>
      <c r="E101" s="2170" t="s">
        <v>157</v>
      </c>
      <c r="F101" s="2171" t="s">
        <v>456</v>
      </c>
      <c r="G101" s="2172"/>
      <c r="H101" s="525">
        <f>メイン!W76</f>
        <v>11000</v>
      </c>
      <c r="I101" s="1356"/>
      <c r="J101" s="525">
        <f>CO2データ!H151</f>
        <v>1930</v>
      </c>
      <c r="K101" s="1356"/>
      <c r="L101" s="2173" t="e">
        <f>CO2データ!R151</f>
        <v>#VALUE!</v>
      </c>
      <c r="M101" s="2112"/>
      <c r="N101" s="2112"/>
      <c r="O101" s="2112"/>
      <c r="P101" s="2112"/>
      <c r="Q101" s="2113"/>
      <c r="S101" s="1886">
        <f>CO2データ!N151</f>
        <v>0.9</v>
      </c>
    </row>
    <row r="102" spans="2:20">
      <c r="B102" s="2111"/>
      <c r="C102" s="2112"/>
      <c r="D102" s="2112"/>
      <c r="E102" s="2174"/>
      <c r="F102" s="2171" t="s">
        <v>1122</v>
      </c>
      <c r="G102" s="2172"/>
      <c r="H102" s="525">
        <f>メイン!W77</f>
        <v>0</v>
      </c>
      <c r="I102" s="1356"/>
      <c r="J102" s="525">
        <f>CO2データ!H152</f>
        <v>0</v>
      </c>
      <c r="K102" s="1356"/>
      <c r="L102" s="2173" t="e">
        <f>CO2データ!R152</f>
        <v>#VALUE!</v>
      </c>
      <c r="M102" s="2112"/>
      <c r="N102" s="2112"/>
      <c r="O102" s="2112"/>
      <c r="P102" s="2112"/>
      <c r="Q102" s="2113"/>
      <c r="S102" s="1886">
        <f>CO2データ!N152</f>
        <v>0.83</v>
      </c>
    </row>
    <row r="103" spans="2:20">
      <c r="B103" s="2111"/>
      <c r="C103" s="2112"/>
      <c r="D103" s="2112"/>
      <c r="E103" s="2175" t="s">
        <v>1123</v>
      </c>
      <c r="F103" s="2171" t="s">
        <v>1124</v>
      </c>
      <c r="G103" s="2172"/>
      <c r="H103" s="525">
        <f>メイン!W78</f>
        <v>0</v>
      </c>
      <c r="I103" s="1356"/>
      <c r="J103" s="525">
        <f>CO2データ!H153</f>
        <v>0</v>
      </c>
      <c r="K103" s="1356"/>
      <c r="L103" s="2173" t="e">
        <f>CO2データ!R153</f>
        <v>#VALUE!</v>
      </c>
      <c r="M103" s="2112"/>
      <c r="N103" s="2112"/>
      <c r="O103" s="2112"/>
      <c r="P103" s="2112"/>
      <c r="Q103" s="2113"/>
      <c r="S103" s="1886">
        <f>CO2データ!N153</f>
        <v>0.71</v>
      </c>
    </row>
    <row r="104" spans="2:20">
      <c r="B104" s="2111"/>
      <c r="C104" s="2112"/>
      <c r="D104" s="2112"/>
      <c r="E104" s="2175"/>
      <c r="F104" s="2176" t="s">
        <v>1125</v>
      </c>
      <c r="G104" s="2177" t="s">
        <v>981</v>
      </c>
      <c r="H104" s="525">
        <f>メイン!W79</f>
        <v>0</v>
      </c>
      <c r="I104" s="1356"/>
      <c r="J104" s="525">
        <f>CO2データ!H154</f>
        <v>0</v>
      </c>
      <c r="K104" s="1356"/>
      <c r="L104" s="2173" t="e">
        <f>CO2データ!R154</f>
        <v>#VALUE!</v>
      </c>
      <c r="M104" s="2112"/>
      <c r="N104" s="2112"/>
      <c r="O104" s="2112"/>
      <c r="P104" s="2112"/>
      <c r="Q104" s="2113"/>
      <c r="S104" s="1886">
        <f>CO2データ!N154</f>
        <v>0.62299911901772109</v>
      </c>
    </row>
    <row r="105" spans="2:20">
      <c r="B105" s="2111"/>
      <c r="C105" s="2112"/>
      <c r="D105" s="2112"/>
      <c r="E105" s="2175"/>
      <c r="F105" s="2178"/>
      <c r="G105" s="2177" t="s">
        <v>510</v>
      </c>
      <c r="H105" s="525">
        <f>メイン!W80</f>
        <v>0</v>
      </c>
      <c r="I105" s="1356"/>
      <c r="J105" s="525">
        <f>CO2データ!H155</f>
        <v>0</v>
      </c>
      <c r="K105" s="1356"/>
      <c r="L105" s="2173" t="e">
        <f>CO2データ!R155</f>
        <v>#VALUE!</v>
      </c>
      <c r="M105" s="2112"/>
      <c r="N105" s="2112"/>
      <c r="O105" s="2112"/>
      <c r="P105" s="2112"/>
      <c r="Q105" s="2113"/>
      <c r="S105" s="1886">
        <f>CO2データ!N155</f>
        <v>0.75998792472086629</v>
      </c>
    </row>
    <row r="106" spans="2:20">
      <c r="B106" s="2111"/>
      <c r="C106" s="2112"/>
      <c r="D106" s="2112"/>
      <c r="E106" s="2175"/>
      <c r="F106" s="2171" t="s">
        <v>1126</v>
      </c>
      <c r="G106" s="2172"/>
      <c r="H106" s="525">
        <f>メイン!W81</f>
        <v>0</v>
      </c>
      <c r="I106" s="1356"/>
      <c r="J106" s="525">
        <f>CO2データ!H156</f>
        <v>0</v>
      </c>
      <c r="K106" s="1356"/>
      <c r="L106" s="2173" t="e">
        <f>CO2データ!R156</f>
        <v>#VALUE!</v>
      </c>
      <c r="M106" s="2112"/>
      <c r="N106" s="2112"/>
      <c r="O106" s="2112"/>
      <c r="P106" s="2112"/>
      <c r="Q106" s="2113"/>
      <c r="S106" s="1886">
        <f>CO2データ!N156</f>
        <v>0.74</v>
      </c>
    </row>
    <row r="107" spans="2:20">
      <c r="B107" s="2111"/>
      <c r="C107" s="2112"/>
      <c r="D107" s="2112"/>
      <c r="E107" s="2174"/>
      <c r="F107" s="2171" t="s">
        <v>1127</v>
      </c>
      <c r="G107" s="2172"/>
      <c r="H107" s="525">
        <f>メイン!W82</f>
        <v>0</v>
      </c>
      <c r="I107" s="1356"/>
      <c r="J107" s="525">
        <f>CO2データ!H157</f>
        <v>0</v>
      </c>
      <c r="K107" s="1356"/>
      <c r="L107" s="2173" t="e">
        <f>CO2データ!R157</f>
        <v>#VALUE!</v>
      </c>
      <c r="M107" s="2112"/>
      <c r="N107" s="2112"/>
      <c r="O107" s="2112"/>
      <c r="P107" s="2112"/>
      <c r="Q107" s="2113"/>
      <c r="S107" s="1886">
        <f>CO2データ!N157</f>
        <v>0.79</v>
      </c>
    </row>
    <row r="108" spans="2:20">
      <c r="B108" s="2111"/>
      <c r="C108" s="2112"/>
      <c r="D108" s="2112"/>
      <c r="E108" s="2170" t="s">
        <v>1128</v>
      </c>
      <c r="F108" s="2171" t="s">
        <v>856</v>
      </c>
      <c r="G108" s="2172"/>
      <c r="H108" s="525">
        <f>メイン!W83</f>
        <v>0</v>
      </c>
      <c r="I108" s="1356"/>
      <c r="J108" s="525">
        <f>CO2データ!H158</f>
        <v>0</v>
      </c>
      <c r="K108" s="1356"/>
      <c r="L108" s="2173" t="e">
        <f>CO2データ!R158</f>
        <v>#VALUE!</v>
      </c>
      <c r="M108" s="2112"/>
      <c r="N108" s="2112"/>
      <c r="O108" s="2112"/>
      <c r="P108" s="2112"/>
      <c r="Q108" s="2113"/>
      <c r="S108" s="1886">
        <f>CO2データ!N158</f>
        <v>0.93</v>
      </c>
    </row>
    <row r="109" spans="2:20">
      <c r="B109" s="2111"/>
      <c r="C109" s="2112"/>
      <c r="D109" s="2112"/>
      <c r="E109" s="2174"/>
      <c r="F109" s="2171" t="s">
        <v>1129</v>
      </c>
      <c r="G109" s="2172"/>
      <c r="H109" s="525">
        <f>メイン!W84</f>
        <v>0</v>
      </c>
      <c r="I109" s="1356"/>
      <c r="J109" s="525">
        <f>CO2データ!H159</f>
        <v>0</v>
      </c>
      <c r="K109" s="1356"/>
      <c r="L109" s="2173" t="e">
        <f>CO2データ!R159</f>
        <v>#VALUE!</v>
      </c>
      <c r="M109" s="2112"/>
      <c r="N109" s="2112"/>
      <c r="O109" s="2112"/>
      <c r="P109" s="2112"/>
      <c r="Q109" s="2113"/>
      <c r="S109" s="1886">
        <f>CO2データ!N159</f>
        <v>0.92</v>
      </c>
    </row>
    <row r="110" spans="2:20">
      <c r="B110" s="2111"/>
      <c r="C110" s="2112"/>
      <c r="D110" s="2112"/>
      <c r="E110" s="2171" t="s">
        <v>462</v>
      </c>
      <c r="F110" s="2179"/>
      <c r="G110" s="2172"/>
      <c r="H110" s="525">
        <f>メイン!W85</f>
        <v>0</v>
      </c>
      <c r="I110" s="1356"/>
      <c r="J110" s="525">
        <f>CO2データ!H160</f>
        <v>0</v>
      </c>
      <c r="K110" s="1356"/>
      <c r="L110" s="2173" t="e">
        <f>CO2データ!R160</f>
        <v>#VALUE!</v>
      </c>
      <c r="M110" s="2112"/>
      <c r="N110" s="2112"/>
      <c r="O110" s="2112"/>
      <c r="P110" s="2112"/>
      <c r="Q110" s="2113"/>
      <c r="S110" s="1886">
        <f>CO2データ!N160</f>
        <v>0.5</v>
      </c>
    </row>
    <row r="111" spans="2:20">
      <c r="B111" s="2111"/>
      <c r="C111" s="2112"/>
      <c r="D111" s="2112"/>
      <c r="E111" s="2170" t="s">
        <v>1130</v>
      </c>
      <c r="F111" s="2171" t="s">
        <v>1131</v>
      </c>
      <c r="G111" s="2172"/>
      <c r="H111" s="525">
        <f>メイン!W86</f>
        <v>0</v>
      </c>
      <c r="I111" s="1356"/>
      <c r="J111" s="525">
        <f>CO2データ!H161</f>
        <v>0</v>
      </c>
      <c r="K111" s="1356"/>
      <c r="L111" s="2173" t="e">
        <f>CO2データ!R161</f>
        <v>#VALUE!</v>
      </c>
      <c r="M111" s="2112"/>
      <c r="N111" s="2112"/>
      <c r="O111" s="2112"/>
      <c r="P111" s="2112"/>
      <c r="Q111" s="2113"/>
      <c r="S111" s="1886">
        <f>CO2データ!N161</f>
        <v>0.76</v>
      </c>
    </row>
    <row r="112" spans="2:20">
      <c r="B112" s="2111"/>
      <c r="C112" s="2112"/>
      <c r="D112" s="2112"/>
      <c r="E112" s="2175"/>
      <c r="F112" s="2171" t="s">
        <v>1132</v>
      </c>
      <c r="G112" s="2172"/>
      <c r="H112" s="525">
        <f>メイン!W87</f>
        <v>0</v>
      </c>
      <c r="I112" s="1356"/>
      <c r="J112" s="525">
        <f>CO2データ!H162</f>
        <v>0</v>
      </c>
      <c r="K112" s="1356"/>
      <c r="L112" s="2173" t="e">
        <f>CO2データ!R162</f>
        <v>#VALUE!</v>
      </c>
      <c r="M112" s="2112"/>
      <c r="N112" s="2112"/>
      <c r="O112" s="2112"/>
      <c r="P112" s="2112"/>
      <c r="Q112" s="2113"/>
      <c r="S112" s="1886">
        <f>CO2データ!N162</f>
        <v>0.81</v>
      </c>
    </row>
    <row r="113" spans="2:27">
      <c r="B113" s="2111"/>
      <c r="C113" s="2112"/>
      <c r="D113" s="2112"/>
      <c r="E113" s="2175"/>
      <c r="F113" s="2176" t="s">
        <v>1133</v>
      </c>
      <c r="G113" s="2180"/>
      <c r="H113" s="525">
        <f>メイン!W88</f>
        <v>0</v>
      </c>
      <c r="I113" s="1356"/>
      <c r="J113" s="525">
        <f>CO2データ!H163</f>
        <v>0</v>
      </c>
      <c r="K113" s="1356"/>
      <c r="L113" s="2173" t="e">
        <f>CO2データ!R163</f>
        <v>#VALUE!</v>
      </c>
      <c r="M113" s="2112"/>
      <c r="N113" s="2112"/>
      <c r="O113" s="2112"/>
      <c r="P113" s="2112"/>
      <c r="Q113" s="2113"/>
      <c r="S113" s="1886">
        <f>CO2データ!N163</f>
        <v>0.92</v>
      </c>
    </row>
    <row r="114" spans="2:27">
      <c r="B114" s="2111"/>
      <c r="C114" s="2112"/>
      <c r="D114" s="2112"/>
      <c r="E114" s="2171" t="s">
        <v>472</v>
      </c>
      <c r="F114" s="2179"/>
      <c r="G114" s="2172"/>
      <c r="H114" s="525">
        <f>メイン!W89</f>
        <v>4000</v>
      </c>
      <c r="I114" s="1356"/>
      <c r="J114" s="525">
        <f>CO2データ!H164</f>
        <v>498</v>
      </c>
      <c r="K114" s="1356"/>
      <c r="L114" s="2173" t="e">
        <f>CO2データ!R164</f>
        <v>#VALUE!</v>
      </c>
      <c r="M114" s="2112"/>
      <c r="N114" s="2112"/>
      <c r="O114" s="2112"/>
      <c r="P114" s="2112"/>
      <c r="Q114" s="2113"/>
      <c r="S114" s="1886">
        <f>CO2データ!N164</f>
        <v>1</v>
      </c>
    </row>
    <row r="115" spans="2:27">
      <c r="B115" s="2111"/>
      <c r="C115" s="2112"/>
      <c r="D115" s="2112"/>
      <c r="E115" s="2171" t="s">
        <v>466</v>
      </c>
      <c r="F115" s="2179"/>
      <c r="G115" s="2172"/>
      <c r="H115" s="525">
        <f>メイン!W90</f>
        <v>0</v>
      </c>
      <c r="I115" s="1356"/>
      <c r="J115" s="525">
        <f>CO2データ!H165</f>
        <v>0</v>
      </c>
      <c r="K115" s="1356"/>
      <c r="L115" s="2173" t="e">
        <f>CO2データ!R165</f>
        <v>#VALUE!</v>
      </c>
      <c r="M115" s="2112"/>
      <c r="N115" s="2112"/>
      <c r="O115" s="2112"/>
      <c r="P115" s="2112"/>
      <c r="Q115" s="2113"/>
      <c r="S115" s="1886">
        <f>CO2データ!N165</f>
        <v>0.65</v>
      </c>
    </row>
    <row r="116" spans="2:27" ht="14.25" thickBot="1">
      <c r="B116" s="2111"/>
      <c r="C116" s="2112"/>
      <c r="D116" s="2112"/>
      <c r="E116" s="2171" t="s">
        <v>1134</v>
      </c>
      <c r="F116" s="2179"/>
      <c r="G116" s="2172"/>
      <c r="H116" s="525">
        <f>メイン!W91</f>
        <v>0</v>
      </c>
      <c r="I116" s="1356"/>
      <c r="J116" s="525">
        <f>CO2データ!H166</f>
        <v>0</v>
      </c>
      <c r="K116" s="1356"/>
      <c r="L116" s="2173" t="e">
        <f>CO2データ!R166</f>
        <v>#VALUE!</v>
      </c>
      <c r="M116" s="2112"/>
      <c r="N116" s="2112"/>
      <c r="O116" s="2112"/>
      <c r="P116" s="2112"/>
      <c r="Q116" s="2113"/>
      <c r="S116" s="1886">
        <f>CO2データ!N166</f>
        <v>0.77</v>
      </c>
    </row>
    <row r="117" spans="2:27" ht="14.25" thickBot="1">
      <c r="B117" s="2111"/>
      <c r="C117" s="2112"/>
      <c r="D117" s="2112"/>
      <c r="E117" s="2181" t="s">
        <v>1286</v>
      </c>
      <c r="F117" s="2181" t="s">
        <v>474</v>
      </c>
      <c r="G117" s="2181"/>
      <c r="H117" s="2182">
        <f>SUM(H101:H116)</f>
        <v>15000</v>
      </c>
      <c r="I117" s="1356"/>
      <c r="J117" s="2182">
        <f>SUMPRODUCT(H101:H116,J101:J116)/1000</f>
        <v>23222</v>
      </c>
      <c r="K117" s="1356" t="s">
        <v>1287</v>
      </c>
      <c r="L117" s="2183" t="e">
        <f>SUMPRODUCT(H101:H116,L101:L116)/H117</f>
        <v>#VALUE!</v>
      </c>
      <c r="M117" s="2112"/>
      <c r="N117" s="2112"/>
      <c r="O117" s="2112"/>
      <c r="P117" s="2112"/>
      <c r="Q117" s="2113"/>
      <c r="S117" s="1886"/>
      <c r="T117" s="2184">
        <f>SUMPRODUCT(H101:H116,J101:J116,S101:S116)/1000</f>
        <v>21099</v>
      </c>
    </row>
    <row r="118" spans="2:27">
      <c r="B118" s="2111"/>
      <c r="C118" s="2112"/>
      <c r="D118" s="2112"/>
      <c r="E118" s="1356"/>
      <c r="F118" s="1356"/>
      <c r="G118" s="1356"/>
      <c r="H118" s="1356"/>
      <c r="I118" s="1356"/>
      <c r="J118" s="1356"/>
      <c r="K118" s="1356"/>
      <c r="L118" s="1356"/>
      <c r="M118" s="2112"/>
      <c r="N118" s="2112"/>
      <c r="O118" s="2112"/>
      <c r="P118" s="2112"/>
      <c r="Q118" s="2113"/>
    </row>
    <row r="119" spans="2:27">
      <c r="B119" s="2111"/>
      <c r="C119" s="2112"/>
      <c r="D119" s="2112"/>
      <c r="E119" s="1357" t="s">
        <v>1288</v>
      </c>
      <c r="F119" s="151"/>
      <c r="G119" s="2112"/>
      <c r="H119" s="2162" t="s">
        <v>1281</v>
      </c>
      <c r="I119" s="2112"/>
      <c r="J119" s="2112"/>
      <c r="K119" s="2112"/>
      <c r="L119" s="2112"/>
      <c r="M119" s="2112"/>
      <c r="N119" s="2112"/>
      <c r="O119" s="2112"/>
      <c r="P119" s="2112"/>
      <c r="Q119" s="2113"/>
      <c r="V119" s="1"/>
      <c r="W119" s="1"/>
      <c r="Z119" s="1"/>
      <c r="AA119" s="1"/>
    </row>
    <row r="120" spans="2:27" ht="14.25" hidden="1" thickBot="1">
      <c r="B120" s="2111"/>
      <c r="C120" s="2112"/>
      <c r="D120" s="2112"/>
      <c r="E120" s="1357"/>
      <c r="F120" s="151"/>
      <c r="G120" s="2112"/>
      <c r="H120" s="2112"/>
      <c r="I120" s="2112"/>
      <c r="J120" s="2112"/>
      <c r="K120" s="2112"/>
      <c r="L120" s="2112"/>
      <c r="M120" s="2112"/>
      <c r="N120" s="2112"/>
      <c r="O120" s="2112"/>
      <c r="P120" s="2112"/>
      <c r="Q120" s="2113"/>
      <c r="S120" t="s">
        <v>1289</v>
      </c>
      <c r="T120" s="2185">
        <v>1</v>
      </c>
      <c r="V120" s="1884"/>
      <c r="W120" s="1884"/>
      <c r="Z120" s="1884"/>
      <c r="AA120" s="1884"/>
    </row>
    <row r="121" spans="2:27" ht="14.25" hidden="1" thickBot="1">
      <c r="B121" s="2111"/>
      <c r="C121" s="2112"/>
      <c r="D121" s="2112"/>
      <c r="E121" s="1357"/>
      <c r="F121" s="1357" t="s">
        <v>1290</v>
      </c>
      <c r="G121" s="151"/>
      <c r="H121" s="1874">
        <f>IF(T120=1,0,H117-H104-H105)</f>
        <v>0</v>
      </c>
      <c r="I121" s="2112"/>
      <c r="J121" s="2112"/>
      <c r="K121" s="2112"/>
      <c r="L121" s="2112"/>
      <c r="M121" s="2112"/>
      <c r="N121" s="2186"/>
      <c r="O121" s="2112" t="s">
        <v>1617</v>
      </c>
      <c r="P121" s="2112"/>
      <c r="Q121" s="2113"/>
      <c r="S121" s="1886"/>
      <c r="V121" s="1884"/>
      <c r="W121" s="1884"/>
      <c r="Z121" s="1884"/>
      <c r="AA121" s="1884"/>
    </row>
    <row r="122" spans="2:27">
      <c r="B122" s="2187"/>
      <c r="C122" s="1348"/>
      <c r="D122" s="1348"/>
      <c r="E122" s="1357"/>
      <c r="F122" s="1357" t="s">
        <v>1292</v>
      </c>
      <c r="G122" s="151"/>
      <c r="H122" s="2118" t="s">
        <v>1598</v>
      </c>
      <c r="I122" s="2118"/>
      <c r="J122" s="1351" t="s">
        <v>143</v>
      </c>
      <c r="K122" s="1351" t="s">
        <v>144</v>
      </c>
      <c r="L122" s="1351" t="s">
        <v>145</v>
      </c>
      <c r="M122" s="1352" t="s">
        <v>146</v>
      </c>
      <c r="N122" s="1352" t="s">
        <v>1035</v>
      </c>
      <c r="O122" s="2188"/>
      <c r="P122" s="1889"/>
      <c r="Q122" s="2189"/>
    </row>
    <row r="123" spans="2:27" ht="14.25" thickBot="1">
      <c r="B123" s="2187"/>
      <c r="C123" s="1348"/>
      <c r="D123" s="1348"/>
      <c r="E123" s="1357"/>
      <c r="F123" s="1357"/>
      <c r="G123" s="2118" t="s">
        <v>1293</v>
      </c>
      <c r="H123" s="2190">
        <f>H104+H105+M37</f>
        <v>320</v>
      </c>
      <c r="I123" s="2118"/>
      <c r="J123" s="2191">
        <v>0</v>
      </c>
      <c r="K123" s="2191">
        <v>1</v>
      </c>
      <c r="L123" s="2280">
        <v>15</v>
      </c>
      <c r="M123" s="2192">
        <f>スコア入力!P120</f>
        <v>3</v>
      </c>
      <c r="N123" s="2193">
        <f>IF(M123&gt;=5,$L123,IF(M123&gt;=4,$K123,$J123))</f>
        <v>0</v>
      </c>
      <c r="O123" s="2112"/>
      <c r="P123" s="1889"/>
      <c r="Q123" s="2189"/>
    </row>
    <row r="124" spans="2:27" ht="14.25" thickBot="1">
      <c r="B124" s="2187"/>
      <c r="C124" s="1348"/>
      <c r="D124" s="1348"/>
      <c r="E124" s="1357"/>
      <c r="F124" s="1357"/>
      <c r="G124" s="151" t="s">
        <v>1294</v>
      </c>
      <c r="H124" s="1874">
        <f>IF(T120=1,H117-H104-H105,0)</f>
        <v>15000</v>
      </c>
      <c r="I124" s="2118"/>
      <c r="J124" s="2191">
        <v>0</v>
      </c>
      <c r="K124" s="2191">
        <v>1</v>
      </c>
      <c r="L124" s="2281">
        <v>15</v>
      </c>
      <c r="M124" s="2192">
        <f>スコア入力!P121</f>
        <v>3</v>
      </c>
      <c r="N124" s="2193">
        <f>IF(M124&gt;=5,$L124,IF(M124&gt;=4,$K124,$J124))</f>
        <v>0</v>
      </c>
      <c r="O124" s="2112" t="s">
        <v>782</v>
      </c>
      <c r="P124" s="1889"/>
      <c r="Q124" s="2189"/>
    </row>
    <row r="125" spans="2:27">
      <c r="B125" s="2187"/>
      <c r="C125" s="1348"/>
      <c r="D125" s="1348"/>
      <c r="E125" s="2194"/>
      <c r="F125" s="2194"/>
      <c r="G125" s="2195"/>
      <c r="H125" s="151"/>
      <c r="I125" s="151"/>
      <c r="J125" s="151"/>
      <c r="K125" s="151"/>
      <c r="L125" s="151"/>
      <c r="M125" s="151"/>
      <c r="N125" s="151"/>
      <c r="O125" s="2188"/>
      <c r="P125" s="1889"/>
      <c r="Q125" s="2189"/>
    </row>
    <row r="126" spans="2:27">
      <c r="B126" s="2160"/>
      <c r="C126" s="1348"/>
      <c r="D126" s="1348"/>
      <c r="E126" s="1357" t="s">
        <v>1295</v>
      </c>
      <c r="F126" s="2194"/>
      <c r="G126" s="2112"/>
      <c r="H126" s="2196"/>
      <c r="I126" s="2112"/>
      <c r="J126" s="1351" t="s">
        <v>143</v>
      </c>
      <c r="K126" s="1351" t="s">
        <v>144</v>
      </c>
      <c r="L126" s="1351" t="s">
        <v>145</v>
      </c>
      <c r="M126" s="1352" t="s">
        <v>146</v>
      </c>
      <c r="N126" s="1352" t="s">
        <v>1296</v>
      </c>
      <c r="O126" s="1354"/>
      <c r="P126" s="1889"/>
      <c r="Q126" s="2189"/>
    </row>
    <row r="127" spans="2:27">
      <c r="B127" s="2160"/>
      <c r="C127" s="1348"/>
      <c r="D127" s="1348"/>
      <c r="E127" s="1357"/>
      <c r="F127" s="1357" t="s">
        <v>1297</v>
      </c>
      <c r="G127" s="2112"/>
      <c r="H127" s="2112"/>
      <c r="I127" s="2112"/>
      <c r="J127" s="2197">
        <v>1</v>
      </c>
      <c r="K127" s="2198">
        <v>0.97499999999999998</v>
      </c>
      <c r="L127" s="2197">
        <v>0.95</v>
      </c>
      <c r="M127" s="2192">
        <f>スコア表示!M134</f>
        <v>3</v>
      </c>
      <c r="N127" s="2199">
        <f>IF(M127&gt;=5,$L127,IF(M127&gt;=4,$K127,$J127))</f>
        <v>1</v>
      </c>
      <c r="O127" s="1354"/>
      <c r="P127" s="1889"/>
      <c r="Q127" s="2189"/>
    </row>
    <row r="128" spans="2:27">
      <c r="B128" s="2160"/>
      <c r="C128" s="1348"/>
      <c r="D128" s="2112"/>
      <c r="E128" s="2112"/>
      <c r="F128" s="2112"/>
      <c r="G128" s="2112"/>
      <c r="H128" s="2112"/>
      <c r="I128" s="2112"/>
      <c r="J128" s="2112"/>
      <c r="K128" s="2112"/>
      <c r="L128" s="2112"/>
      <c r="M128" s="2112"/>
      <c r="N128" s="1345"/>
      <c r="O128" s="1354"/>
      <c r="P128" s="1354"/>
      <c r="Q128" s="1347"/>
    </row>
    <row r="129" spans="2:19">
      <c r="B129" s="2160"/>
      <c r="C129" s="1348"/>
      <c r="D129" s="2112"/>
      <c r="E129" s="2115" t="s">
        <v>1298</v>
      </c>
      <c r="F129" s="2112"/>
      <c r="G129" s="2200"/>
      <c r="H129" s="2112"/>
      <c r="I129" s="2112"/>
      <c r="J129" s="2112"/>
      <c r="K129" s="2112"/>
      <c r="L129" s="2112"/>
      <c r="M129" s="2112"/>
      <c r="N129" s="2112" t="s">
        <v>65</v>
      </c>
      <c r="O129" s="2112"/>
      <c r="P129" s="2112"/>
      <c r="Q129" s="2161" t="s">
        <v>138</v>
      </c>
    </row>
    <row r="130" spans="2:19">
      <c r="B130" s="2160"/>
      <c r="C130" s="1348"/>
      <c r="D130" s="2112"/>
      <c r="E130" s="2112"/>
      <c r="F130" s="2112"/>
      <c r="G130" s="2200"/>
      <c r="H130" s="2112"/>
      <c r="I130" s="2112"/>
      <c r="J130" s="2112"/>
      <c r="K130" s="2112"/>
      <c r="L130" s="2112"/>
      <c r="M130" s="2112"/>
      <c r="N130" s="1345" t="s">
        <v>1237</v>
      </c>
      <c r="O130" s="1354"/>
      <c r="P130" s="1354"/>
      <c r="Q130" s="1347" t="s">
        <v>1237</v>
      </c>
    </row>
    <row r="131" spans="2:19">
      <c r="B131" s="2160"/>
      <c r="C131" s="1348"/>
      <c r="D131" s="2112"/>
      <c r="E131" s="1356"/>
      <c r="F131" s="2112" t="s">
        <v>1135</v>
      </c>
      <c r="G131" s="2200"/>
      <c r="H131" s="2112"/>
      <c r="I131" s="2112"/>
      <c r="J131" s="2118" t="s">
        <v>1299</v>
      </c>
      <c r="K131" s="2118" t="s">
        <v>65</v>
      </c>
      <c r="L131" s="2118" t="s">
        <v>138</v>
      </c>
      <c r="M131" s="2118"/>
      <c r="N131" s="2167" t="str">
        <f>IF(N52=0,0,IF(N84=T82,IF(N65=0,"-",N65),J133*K133/1000))</f>
        <v>-</v>
      </c>
      <c r="O131" s="2112"/>
      <c r="P131" s="2112"/>
      <c r="Q131" s="2168">
        <f>IF(N52=0,0,IF(N84=T82,(N62-N63)*1.1+N63,J133*L133/1000))</f>
        <v>0</v>
      </c>
      <c r="S131" s="1886"/>
    </row>
    <row r="132" spans="2:19">
      <c r="B132" s="2160"/>
      <c r="C132" s="1348"/>
      <c r="D132" s="2112"/>
      <c r="E132" s="1356"/>
      <c r="F132" s="2112"/>
      <c r="G132" s="2200"/>
      <c r="H132" s="2112"/>
      <c r="I132" s="2112"/>
      <c r="J132" s="2118" t="s">
        <v>1598</v>
      </c>
      <c r="K132" s="2201" t="s">
        <v>782</v>
      </c>
      <c r="L132" s="2201" t="s">
        <v>782</v>
      </c>
      <c r="M132" s="2118"/>
      <c r="N132" s="2202"/>
      <c r="O132" s="2112"/>
      <c r="P132" s="2112"/>
      <c r="Q132" s="2203"/>
    </row>
    <row r="133" spans="2:19">
      <c r="B133" s="2160"/>
      <c r="C133" s="1348"/>
      <c r="D133" s="2112"/>
      <c r="E133" s="1356"/>
      <c r="F133" s="2112"/>
      <c r="G133" s="151" t="s">
        <v>1618</v>
      </c>
      <c r="H133" s="2112"/>
      <c r="I133" s="2118"/>
      <c r="J133" s="2167">
        <f>N52</f>
        <v>300</v>
      </c>
      <c r="K133" s="2167">
        <f>CO2データ!Y196</f>
        <v>1343</v>
      </c>
      <c r="L133" s="2167">
        <f>CO2データ!Y197</f>
        <v>1163</v>
      </c>
      <c r="M133" s="2118"/>
      <c r="N133" s="1345"/>
      <c r="O133" s="1354"/>
      <c r="P133" s="1354"/>
      <c r="Q133" s="1347"/>
    </row>
    <row r="134" spans="2:19" ht="6.75" customHeight="1">
      <c r="B134" s="2160"/>
      <c r="C134" s="1348"/>
      <c r="D134" s="2112"/>
      <c r="E134" s="1356"/>
      <c r="F134" s="2112"/>
      <c r="G134" s="151"/>
      <c r="H134" s="2112"/>
      <c r="I134" s="2118"/>
      <c r="J134" s="2202"/>
      <c r="K134" s="2202"/>
      <c r="L134" s="2202"/>
      <c r="M134" s="2118"/>
      <c r="N134" s="1345"/>
      <c r="O134" s="1354"/>
      <c r="P134" s="1354"/>
      <c r="Q134" s="1347"/>
    </row>
    <row r="135" spans="2:19">
      <c r="B135" s="2160"/>
      <c r="C135" s="1348"/>
      <c r="D135" s="2112"/>
      <c r="E135" s="2112"/>
      <c r="F135" s="2112" t="s">
        <v>774</v>
      </c>
      <c r="G135" s="2200"/>
      <c r="H135" s="2112"/>
      <c r="I135" s="2112"/>
      <c r="J135" s="2112"/>
      <c r="K135" s="2112"/>
      <c r="L135" s="2162"/>
      <c r="M135" s="2112"/>
      <c r="N135" s="2167" t="str">
        <f>IF(M52=0,0,IF(M65=0,"-",M65))</f>
        <v>-</v>
      </c>
      <c r="O135" s="1354"/>
      <c r="P135" s="1889"/>
      <c r="Q135" s="2168">
        <f>IF(M52=0,0,M62)</f>
        <v>0</v>
      </c>
      <c r="S135" s="1886"/>
    </row>
    <row r="136" spans="2:19" ht="14.25" thickBot="1">
      <c r="B136" s="2150"/>
      <c r="C136" s="2151"/>
      <c r="D136" s="2151"/>
      <c r="E136" s="2151"/>
      <c r="F136" s="2151"/>
      <c r="G136" s="2151"/>
      <c r="H136" s="2151"/>
      <c r="I136" s="2151"/>
      <c r="J136" s="2151"/>
      <c r="K136" s="2151"/>
      <c r="L136" s="2151"/>
      <c r="M136" s="2151"/>
      <c r="N136" s="2151"/>
      <c r="O136" s="2151"/>
      <c r="P136" s="2151"/>
      <c r="Q136" s="2153"/>
    </row>
    <row r="137" spans="2:19">
      <c r="H137" s="1887"/>
    </row>
    <row r="138" spans="2:19"/>
    <row r="139" spans="2:19"/>
    <row r="140" spans="2:19"/>
    <row r="141" spans="2:19"/>
    <row r="142" spans="2:19"/>
  </sheetData>
  <sheetProtection password="82B4" sheet="1" objects="1" scenarios="1"/>
  <mergeCells count="23">
    <mergeCell ref="E29:G29"/>
    <mergeCell ref="E47:G47"/>
    <mergeCell ref="E84:K86"/>
    <mergeCell ref="N84:P84"/>
    <mergeCell ref="C4:E4"/>
    <mergeCell ref="F4:G4"/>
    <mergeCell ref="C5:E5"/>
    <mergeCell ref="F5:G5"/>
    <mergeCell ref="C7:E7"/>
    <mergeCell ref="F7:G7"/>
    <mergeCell ref="L7:M7"/>
    <mergeCell ref="C8:E8"/>
    <mergeCell ref="F8:G8"/>
    <mergeCell ref="L8:M8"/>
    <mergeCell ref="C11:G11"/>
    <mergeCell ref="H11:I11"/>
    <mergeCell ref="C19:G19"/>
    <mergeCell ref="C20:G20"/>
    <mergeCell ref="C12:G12"/>
    <mergeCell ref="H12:I12"/>
    <mergeCell ref="C15:G15"/>
    <mergeCell ref="C16:G16"/>
    <mergeCell ref="H17:N17"/>
  </mergeCells>
  <phoneticPr fontId="20"/>
  <conditionalFormatting sqref="N121">
    <cfRule type="expression" dxfId="62" priority="16" stopIfTrue="1">
      <formula>$J$75&gt;0</formula>
    </cfRule>
  </conditionalFormatting>
  <conditionalFormatting sqref="H5:I5">
    <cfRule type="expression" dxfId="61" priority="10">
      <formula>$F$5="BPIm（モデル建物法）"</formula>
    </cfRule>
    <cfRule type="expression" dxfId="60" priority="12">
      <formula>$F$5="BPI（標準法）"</formula>
    </cfRule>
  </conditionalFormatting>
  <conditionalFormatting sqref="J5">
    <cfRule type="expression" dxfId="59" priority="9">
      <formula>$F$5="BPIm（モデル建物法）"</formula>
    </cfRule>
    <cfRule type="expression" dxfId="58" priority="11">
      <formula>$F$5="BPI（標準法）"</formula>
    </cfRule>
  </conditionalFormatting>
  <conditionalFormatting sqref="H8:I8">
    <cfRule type="expression" dxfId="57" priority="6">
      <formula>$F$8="BEIm（モデル建物法）"</formula>
    </cfRule>
    <cfRule type="expression" dxfId="56" priority="8">
      <formula>$F$8="BEI（標準法）"</formula>
    </cfRule>
  </conditionalFormatting>
  <conditionalFormatting sqref="J8 L8">
    <cfRule type="expression" dxfId="55" priority="5">
      <formula>$F$8="BEIm（モデル建物法）"</formula>
    </cfRule>
    <cfRule type="expression" dxfId="54" priority="7">
      <formula>$F$8="BEI（標準法）"</formula>
    </cfRule>
  </conditionalFormatting>
  <conditionalFormatting sqref="I48:I49">
    <cfRule type="expression" dxfId="53" priority="4" stopIfTrue="1">
      <formula>$E$47=$S$50</formula>
    </cfRule>
  </conditionalFormatting>
  <conditionalFormatting sqref="I62:I65">
    <cfRule type="expression" dxfId="52" priority="3" stopIfTrue="1">
      <formula>OR($I$52=0,$E$47=$S$51)</formula>
    </cfRule>
  </conditionalFormatting>
  <conditionalFormatting sqref="M62:M66">
    <cfRule type="expression" dxfId="51" priority="2">
      <formula>$M$37=0</formula>
    </cfRule>
  </conditionalFormatting>
  <conditionalFormatting sqref="N62:N66">
    <cfRule type="expression" dxfId="50" priority="1">
      <formula>$M$37=0</formula>
    </cfRule>
  </conditionalFormatting>
  <dataValidations count="8">
    <dataValidation type="list" allowBlank="1" showInputMessage="1" showErrorMessage="1" sqref="N60">
      <formula1>$S$60:$S$64</formula1>
    </dataValidation>
    <dataValidation type="list" allowBlank="1" showInputMessage="1" showErrorMessage="1" sqref="K88">
      <formula1>$U$88:$U$90</formula1>
    </dataValidation>
    <dataValidation type="list" allowBlank="1" showInputMessage="1" showErrorMessage="1" sqref="F88">
      <formula1>$T$88:$T$91</formula1>
    </dataValidation>
    <dataValidation type="list" allowBlank="1" showInputMessage="1" sqref="N84">
      <formula1>$T$82:$T$84</formula1>
    </dataValidation>
    <dataValidation allowBlank="1" showInputMessage="1" sqref="N121"/>
    <dataValidation type="list" allowBlank="1" showInputMessage="1" showErrorMessage="1" sqref="F8:G8">
      <formula1>"BEI（標準法）,BEIm（モデル建物法）"</formula1>
    </dataValidation>
    <dataValidation type="list" allowBlank="1" showInputMessage="1" showErrorMessage="1" sqref="H12:I12">
      <formula1>"対象外,等級1,等級2,等級3,等級4"</formula1>
    </dataValidation>
    <dataValidation type="list" allowBlank="1" showInputMessage="1" showErrorMessage="1" sqref="F5:G5">
      <formula1>"BPI（標準法）,BPIm（モデル建物法）"</formula1>
    </dataValidation>
  </dataValidations>
  <pageMargins left="0.78740157480314965" right="0.78740157480314965" top="0.98425196850393704" bottom="0.98425196850393704" header="0.51181102362204722" footer="0.51181102362204722"/>
  <pageSetup paperSize="9" scale="67" fitToHeight="0" orientation="portrait" r:id="rId1"/>
  <headerFooter alignWithMargins="0">
    <oddHeader>&amp;L&amp;F&amp;R&amp;A</oddHeader>
    <oddFooter>&amp;C&amp;P/&amp;N</oddFooter>
  </headerFooter>
  <rowBreaks count="2" manualBreakCount="2">
    <brk id="24" max="16" man="1"/>
    <brk id="93" max="16383" man="1"/>
  </rowBreaks>
  <legacyDrawing r:id="rId2"/>
</worksheet>
</file>

<file path=xl/worksheets/sheet12.xml><?xml version="1.0" encoding="utf-8"?>
<worksheet xmlns="http://schemas.openxmlformats.org/spreadsheetml/2006/main" xmlns:r="http://schemas.openxmlformats.org/officeDocument/2006/relationships">
  <sheetPr codeName="Sheet5"/>
  <dimension ref="A1:AO183"/>
  <sheetViews>
    <sheetView showGridLines="0" zoomScaleNormal="100" workbookViewId="0">
      <selection activeCell="H113" sqref="H113:K113"/>
    </sheetView>
  </sheetViews>
  <sheetFormatPr defaultColWidth="0" defaultRowHeight="12" customHeight="1" zeroHeight="1"/>
  <cols>
    <col min="1" max="1" width="1.25" style="194" customWidth="1"/>
    <col min="2" max="2" width="3" style="194" customWidth="1"/>
    <col min="3" max="3" width="5.125" style="195" customWidth="1"/>
    <col min="4" max="4" width="4.625" style="196" customWidth="1"/>
    <col min="5" max="5" width="9.125" style="194" customWidth="1"/>
    <col min="6" max="6" width="17.375" style="194" customWidth="1"/>
    <col min="7" max="7" width="1.125" style="6" customWidth="1"/>
    <col min="8" max="11" width="9.625" style="514" customWidth="1"/>
    <col min="12" max="19" width="7.125" style="514" customWidth="1"/>
    <col min="20" max="21" width="7.125" style="197" customWidth="1"/>
    <col min="22" max="22" width="1" style="198" customWidth="1"/>
    <col min="23" max="24" width="9.125" style="198" hidden="1" customWidth="1"/>
    <col min="25" max="26" width="9.125" style="194" hidden="1" customWidth="1"/>
    <col min="27" max="29" width="9.125" style="515" hidden="1" customWidth="1"/>
    <col min="30" max="32" width="9.125" style="546" hidden="1" customWidth="1"/>
    <col min="33" max="33" width="9.125" style="201" hidden="1" customWidth="1"/>
    <col min="34" max="36" width="9.125" style="546" hidden="1" customWidth="1"/>
    <col min="37" max="37" width="9.125" style="201" hidden="1" customWidth="1"/>
    <col min="38" max="16384" width="9.125" style="6" hidden="1"/>
  </cols>
  <sheetData>
    <row r="1" spans="2:41" ht="6" customHeight="1" thickBot="1">
      <c r="H1" s="197"/>
      <c r="I1" s="197"/>
      <c r="J1" s="197"/>
      <c r="K1" s="197"/>
      <c r="L1" s="197"/>
      <c r="M1" s="197"/>
      <c r="N1" s="197"/>
      <c r="O1" s="197"/>
      <c r="P1" s="197"/>
      <c r="Q1" s="197"/>
      <c r="S1" s="197"/>
      <c r="W1" s="199"/>
      <c r="X1" s="199"/>
      <c r="Y1" s="199"/>
      <c r="Z1" s="199"/>
      <c r="AA1" s="199"/>
      <c r="AB1" s="6"/>
      <c r="AC1" s="6"/>
      <c r="AD1" s="6"/>
      <c r="AE1" s="6"/>
      <c r="AF1" s="6"/>
      <c r="AG1" s="6"/>
      <c r="AH1" s="6"/>
      <c r="AI1" s="6"/>
      <c r="AJ1" s="6"/>
      <c r="AK1" s="6"/>
    </row>
    <row r="2" spans="2:41" ht="17.25">
      <c r="B2" s="528" t="str">
        <f>メイン!C6</f>
        <v>CASBEE大阪みらい編（改修）</v>
      </c>
      <c r="C2" s="529"/>
      <c r="D2" s="530"/>
      <c r="E2" s="531"/>
      <c r="F2" s="532"/>
      <c r="G2" s="532"/>
      <c r="H2" s="197"/>
      <c r="I2" s="197"/>
      <c r="J2" s="197"/>
      <c r="K2" s="197"/>
      <c r="M2" s="533"/>
      <c r="N2" s="533" t="s">
        <v>392</v>
      </c>
      <c r="Q2" s="534" t="str">
        <f>メイン!C6</f>
        <v>CASBEE大阪みらい編（改修）</v>
      </c>
      <c r="R2" s="535"/>
      <c r="S2" s="197"/>
      <c r="V2" s="536"/>
      <c r="W2" s="207"/>
      <c r="X2" s="207"/>
      <c r="Y2" s="207"/>
      <c r="Z2" s="207"/>
      <c r="AA2" s="537"/>
      <c r="AB2" s="6"/>
      <c r="AC2" s="6"/>
      <c r="AD2" s="6"/>
      <c r="AE2" s="6"/>
      <c r="AF2" s="6"/>
      <c r="AG2" s="6"/>
      <c r="AH2" s="6"/>
      <c r="AI2" s="6"/>
      <c r="AJ2" s="6"/>
      <c r="AK2" s="6"/>
    </row>
    <row r="3" spans="2:41" ht="14.25" thickBot="1">
      <c r="B3" s="2945" t="str">
        <f>メイン!H11</f>
        <v>新ビル</v>
      </c>
      <c r="C3" s="2946"/>
      <c r="D3" s="2946"/>
      <c r="E3" s="2946"/>
      <c r="F3" s="2947"/>
      <c r="G3" s="538"/>
      <c r="H3" s="197"/>
      <c r="I3" s="197"/>
      <c r="J3" s="197"/>
      <c r="K3" s="197"/>
      <c r="M3" s="533"/>
      <c r="N3" s="2896" t="str">
        <f>"■評価ソフト： " &amp; メイン!C5</f>
        <v>■評価ソフト： 「CASBEE大阪みらい 改修」2015年版　CASBEE-BD_RN_2015(v.1.0)</v>
      </c>
      <c r="O3" s="2896"/>
      <c r="P3" s="2896"/>
      <c r="Q3" s="2896"/>
      <c r="R3" s="2896"/>
      <c r="S3" s="2896"/>
      <c r="T3" s="2896"/>
      <c r="U3" s="2896"/>
      <c r="V3" s="539"/>
      <c r="W3" s="540"/>
      <c r="X3" s="540"/>
      <c r="Y3" s="540"/>
      <c r="Z3" s="540"/>
      <c r="AA3" s="541"/>
      <c r="AB3" s="6"/>
      <c r="AC3" s="6"/>
      <c r="AD3" s="6"/>
      <c r="AE3" s="6"/>
      <c r="AF3" s="6"/>
      <c r="AG3" s="6"/>
      <c r="AH3" s="6"/>
      <c r="AI3" s="6"/>
      <c r="AJ3" s="6"/>
      <c r="AK3" s="6"/>
    </row>
    <row r="4" spans="2:41" ht="14.25" thickBot="1">
      <c r="B4" s="214"/>
      <c r="C4" s="215"/>
      <c r="D4" s="216"/>
      <c r="H4" s="194"/>
      <c r="I4" s="194"/>
      <c r="J4" s="194"/>
      <c r="K4" s="194"/>
      <c r="L4" s="194"/>
      <c r="M4" s="194"/>
      <c r="N4" s="194"/>
      <c r="O4" s="194"/>
      <c r="P4" s="194"/>
      <c r="Q4" s="194"/>
      <c r="R4" s="194"/>
      <c r="S4" s="217"/>
      <c r="T4" s="217"/>
      <c r="U4" s="217"/>
      <c r="V4" s="194"/>
      <c r="W4" s="199"/>
      <c r="X4" s="199"/>
      <c r="Y4" s="199"/>
      <c r="Z4" s="199"/>
      <c r="AA4" s="199"/>
      <c r="AB4" s="6"/>
      <c r="AC4" s="6"/>
      <c r="AD4" s="6"/>
      <c r="AE4" s="6"/>
      <c r="AF4" s="6"/>
      <c r="AG4" s="6"/>
      <c r="AH4" s="6"/>
      <c r="AI4" s="6"/>
      <c r="AJ4" s="6"/>
      <c r="AK4" s="6"/>
    </row>
    <row r="5" spans="2:41" ht="15" thickBot="1">
      <c r="B5" s="218" t="s">
        <v>863</v>
      </c>
      <c r="C5" s="219"/>
      <c r="D5" s="220"/>
      <c r="E5" s="542"/>
      <c r="F5" s="542"/>
      <c r="G5" s="543"/>
      <c r="H5" s="544" t="str">
        <f>IF(メイン!H38=0,"",メイン!H38)</f>
        <v/>
      </c>
      <c r="I5" s="222"/>
      <c r="J5" s="222"/>
      <c r="K5" s="222"/>
      <c r="L5" s="545"/>
      <c r="M5" s="545"/>
      <c r="N5" s="545"/>
      <c r="O5" s="545"/>
      <c r="P5" s="545"/>
      <c r="Q5" s="545"/>
      <c r="R5" s="545"/>
      <c r="S5" s="545"/>
      <c r="T5" s="2932"/>
      <c r="U5" s="2933"/>
      <c r="AE5" s="6"/>
      <c r="AF5" s="547" t="s">
        <v>864</v>
      </c>
      <c r="AG5" s="546"/>
      <c r="AJ5" s="548" t="s">
        <v>865</v>
      </c>
      <c r="AK5" s="6"/>
    </row>
    <row r="6" spans="2:41" ht="14.25" thickBot="1">
      <c r="B6" s="231"/>
      <c r="C6" s="232"/>
      <c r="D6" s="233"/>
      <c r="E6" s="234"/>
      <c r="F6" s="234"/>
      <c r="G6" s="549"/>
      <c r="H6" s="550"/>
      <c r="I6" s="551"/>
      <c r="J6" s="551"/>
      <c r="K6" s="551"/>
      <c r="L6" s="552" t="s">
        <v>513</v>
      </c>
      <c r="M6" s="552"/>
      <c r="N6" s="238"/>
      <c r="O6" s="553"/>
      <c r="P6" s="552" t="s">
        <v>514</v>
      </c>
      <c r="Q6" s="552"/>
      <c r="R6" s="238"/>
      <c r="S6" s="554"/>
      <c r="T6" s="2934" t="s">
        <v>866</v>
      </c>
      <c r="U6" s="2935"/>
      <c r="W6" s="515" t="s">
        <v>867</v>
      </c>
      <c r="AA6" s="515" t="s">
        <v>867</v>
      </c>
      <c r="AE6" s="6"/>
      <c r="AF6" s="555" t="s">
        <v>868</v>
      </c>
      <c r="AG6" s="556"/>
      <c r="AH6" s="243">
        <f>重み_前!D7</f>
        <v>0.98041775456919056</v>
      </c>
      <c r="AI6" s="243">
        <f>重み_後!D7</f>
        <v>1</v>
      </c>
      <c r="AJ6" s="555" t="s">
        <v>868</v>
      </c>
      <c r="AK6" s="556"/>
      <c r="AL6" s="243">
        <f>重み_前!E7</f>
        <v>1.95822454308094E-2</v>
      </c>
      <c r="AM6" s="243">
        <f>重み_後!E7</f>
        <v>0</v>
      </c>
    </row>
    <row r="7" spans="2:41" ht="27.75" customHeight="1">
      <c r="B7" s="245" t="s">
        <v>869</v>
      </c>
      <c r="C7" s="246"/>
      <c r="D7" s="247"/>
      <c r="E7" s="248" t="s">
        <v>522</v>
      </c>
      <c r="F7" s="557"/>
      <c r="G7" s="558"/>
      <c r="H7" s="559" t="s">
        <v>385</v>
      </c>
      <c r="I7" s="560"/>
      <c r="J7" s="560"/>
      <c r="K7" s="560"/>
      <c r="L7" s="561" t="s">
        <v>395</v>
      </c>
      <c r="M7" s="562" t="s">
        <v>396</v>
      </c>
      <c r="N7" s="563" t="s">
        <v>870</v>
      </c>
      <c r="O7" s="564"/>
      <c r="P7" s="561" t="s">
        <v>395</v>
      </c>
      <c r="Q7" s="562" t="s">
        <v>396</v>
      </c>
      <c r="R7" s="563" t="s">
        <v>870</v>
      </c>
      <c r="S7" s="565"/>
      <c r="T7" s="566" t="s">
        <v>395</v>
      </c>
      <c r="U7" s="566" t="s">
        <v>396</v>
      </c>
      <c r="W7" s="555" t="s">
        <v>871</v>
      </c>
      <c r="X7" s="555" t="s">
        <v>872</v>
      </c>
      <c r="Y7" s="259" t="s">
        <v>873</v>
      </c>
      <c r="Z7" s="259" t="s">
        <v>874</v>
      </c>
      <c r="AA7" s="555" t="s">
        <v>871</v>
      </c>
      <c r="AB7" s="555" t="s">
        <v>872</v>
      </c>
      <c r="AC7" s="259" t="s">
        <v>873</v>
      </c>
      <c r="AD7" s="259" t="s">
        <v>874</v>
      </c>
      <c r="AE7" s="6"/>
      <c r="AF7" s="6"/>
      <c r="AG7" s="6"/>
      <c r="AH7" s="6"/>
      <c r="AI7" s="6"/>
      <c r="AJ7" s="6"/>
      <c r="AK7" s="6"/>
    </row>
    <row r="8" spans="2:41" ht="16.5" thickBot="1">
      <c r="B8" s="260" t="s">
        <v>875</v>
      </c>
      <c r="C8" s="261"/>
      <c r="D8" s="262"/>
      <c r="E8" s="263"/>
      <c r="F8" s="263"/>
      <c r="G8" s="567"/>
      <c r="H8" s="264"/>
      <c r="I8" s="265"/>
      <c r="J8" s="265"/>
      <c r="K8" s="265"/>
      <c r="L8" s="568"/>
      <c r="M8" s="569"/>
      <c r="N8" s="570"/>
      <c r="O8" s="571"/>
      <c r="P8" s="270"/>
      <c r="Q8" s="569"/>
      <c r="R8" s="572"/>
      <c r="S8" s="573"/>
      <c r="T8" s="574">
        <f t="shared" ref="T8:U10" si="0">ROUNDDOWN(AN8,1)</f>
        <v>3</v>
      </c>
      <c r="U8" s="574">
        <f t="shared" si="0"/>
        <v>3</v>
      </c>
      <c r="W8" s="575"/>
      <c r="X8" s="575"/>
      <c r="Y8" s="243">
        <f>スコア入力!AA8</f>
        <v>0</v>
      </c>
      <c r="Z8" s="243">
        <f>スコア入力!AB8</f>
        <v>0</v>
      </c>
      <c r="AA8" s="575"/>
      <c r="AB8" s="575"/>
      <c r="AC8" s="243">
        <f>スコア入力!AH8</f>
        <v>0</v>
      </c>
      <c r="AD8" s="243">
        <f>スコア入力!AI8</f>
        <v>0</v>
      </c>
      <c r="AE8" s="6"/>
      <c r="AF8" s="6"/>
      <c r="AG8" s="6"/>
      <c r="AH8" s="6"/>
      <c r="AI8" s="6"/>
      <c r="AJ8" s="6"/>
      <c r="AK8" s="6"/>
      <c r="AN8" s="574">
        <f>AH9*AN9+AH61*AN61+AH109*AN109</f>
        <v>3.0168750000000002</v>
      </c>
      <c r="AO8" s="574">
        <f>AI9*AO9+AI61*AO61+AI109*AO109</f>
        <v>3.0000000000000004</v>
      </c>
    </row>
    <row r="9" spans="2:41" ht="15.75" thickBot="1">
      <c r="B9" s="273" t="s">
        <v>876</v>
      </c>
      <c r="C9" s="274"/>
      <c r="D9" s="274" t="s">
        <v>877</v>
      </c>
      <c r="E9" s="274"/>
      <c r="F9" s="576"/>
      <c r="G9" s="577"/>
      <c r="H9" s="275"/>
      <c r="I9" s="276"/>
      <c r="J9" s="276"/>
      <c r="K9" s="276"/>
      <c r="L9" s="441"/>
      <c r="M9" s="439"/>
      <c r="N9" s="578">
        <f>スコア入力!AC9</f>
        <v>0.40000000000000008</v>
      </c>
      <c r="O9" s="578">
        <f>スコア入力!AE9</f>
        <v>0.37389033942558753</v>
      </c>
      <c r="P9" s="281"/>
      <c r="Q9" s="579"/>
      <c r="R9" s="578"/>
      <c r="S9" s="578"/>
      <c r="T9" s="580">
        <f t="shared" si="0"/>
        <v>3</v>
      </c>
      <c r="U9" s="580">
        <f t="shared" si="0"/>
        <v>3</v>
      </c>
      <c r="W9" s="581">
        <f t="shared" ref="W9:W40" si="1">AF9</f>
        <v>3</v>
      </c>
      <c r="X9" s="581">
        <f t="shared" ref="X9:X40" si="2">AG9</f>
        <v>3</v>
      </c>
      <c r="Y9" s="243">
        <f>スコア入力!AA9</f>
        <v>0.40000000000000008</v>
      </c>
      <c r="Z9" s="243">
        <f>スコア入力!AB9</f>
        <v>0.37389033942558753</v>
      </c>
      <c r="AA9" s="581">
        <f t="shared" ref="AA9:AA40" si="3">AJ9</f>
        <v>3</v>
      </c>
      <c r="AB9" s="581">
        <f t="shared" ref="AB9:AB40" si="4">AK9</f>
        <v>3</v>
      </c>
      <c r="AC9" s="243">
        <f>スコア入力!AH9</f>
        <v>0</v>
      </c>
      <c r="AD9" s="243">
        <f>スコア入力!AI9</f>
        <v>0</v>
      </c>
      <c r="AE9" s="6"/>
      <c r="AF9" s="582">
        <f>AN9</f>
        <v>3</v>
      </c>
      <c r="AG9" s="582">
        <f>AO9</f>
        <v>3</v>
      </c>
      <c r="AH9" s="578">
        <f>スコア入力!AC9</f>
        <v>0.40000000000000008</v>
      </c>
      <c r="AI9" s="578">
        <f>スコア入力!AE9</f>
        <v>0.37389033942558753</v>
      </c>
      <c r="AJ9" s="582">
        <f>AN9</f>
        <v>3</v>
      </c>
      <c r="AK9" s="582">
        <f>AO9</f>
        <v>3</v>
      </c>
      <c r="AL9" s="578">
        <f>スコア入力!AJ9</f>
        <v>0</v>
      </c>
      <c r="AM9" s="578">
        <f>スコア入力!AL9</f>
        <v>0</v>
      </c>
      <c r="AN9" s="580">
        <f>AN10*AH10+AN20*AH20+AN34*AH34+AN47*AH47</f>
        <v>3</v>
      </c>
      <c r="AO9" s="580">
        <f>AO10*AI10+AO20*AI20+AO34*AI34+AO47*AI47</f>
        <v>3</v>
      </c>
    </row>
    <row r="10" spans="2:41" ht="14.25" thickBot="1">
      <c r="B10" s="283">
        <v>1</v>
      </c>
      <c r="C10" s="284" t="s">
        <v>537</v>
      </c>
      <c r="D10" s="285"/>
      <c r="E10" s="583"/>
      <c r="F10" s="584"/>
      <c r="G10" s="584"/>
      <c r="H10" s="2897"/>
      <c r="I10" s="2898"/>
      <c r="J10" s="2898"/>
      <c r="K10" s="2899"/>
      <c r="L10" s="2342">
        <f t="shared" ref="L10:L39" si="5">IF(Y10=0,0,ROUNDDOWN(AF10,1))</f>
        <v>3</v>
      </c>
      <c r="M10" s="2342">
        <f t="shared" ref="M10:M39" si="6">IF(Z10=0,0,ROUNDDOWN(AG10,1))</f>
        <v>3</v>
      </c>
      <c r="N10" s="585">
        <f>スコア入力!AC10</f>
        <v>0.15</v>
      </c>
      <c r="O10" s="585">
        <f>スコア入力!AE10</f>
        <v>0.15015354274288756</v>
      </c>
      <c r="P10" s="582">
        <f t="shared" ref="P10:P39" si="7">IF(AC10=0,0,ROUNDDOWN(AJ10,1))</f>
        <v>3</v>
      </c>
      <c r="Q10" s="582">
        <f t="shared" ref="Q10:Q39" si="8">IF(AD10=0,0,ROUNDDOWN(AK10,1))</f>
        <v>0</v>
      </c>
      <c r="R10" s="585"/>
      <c r="S10" s="585"/>
      <c r="T10" s="586">
        <f t="shared" si="0"/>
        <v>3</v>
      </c>
      <c r="U10" s="586">
        <f t="shared" si="0"/>
        <v>3</v>
      </c>
      <c r="W10" s="581">
        <f t="shared" si="1"/>
        <v>3</v>
      </c>
      <c r="X10" s="581">
        <f t="shared" si="2"/>
        <v>3</v>
      </c>
      <c r="Y10" s="243">
        <f>スコア入力!AA10</f>
        <v>0.15</v>
      </c>
      <c r="Z10" s="243">
        <f>スコア入力!AB10</f>
        <v>0.15015354274288756</v>
      </c>
      <c r="AA10" s="581">
        <f t="shared" si="3"/>
        <v>2.9999999999999996</v>
      </c>
      <c r="AB10" s="581">
        <f t="shared" si="4"/>
        <v>0</v>
      </c>
      <c r="AC10" s="243">
        <f>スコア入力!AH10</f>
        <v>1</v>
      </c>
      <c r="AD10" s="243">
        <f>スコア入力!AI10</f>
        <v>0.44220764532911105</v>
      </c>
      <c r="AE10" s="6"/>
      <c r="AF10" s="582">
        <f>AF11*AH11+AF14*AH14+AF19*AH19</f>
        <v>3</v>
      </c>
      <c r="AG10" s="582">
        <f>AG11*AI11+AG14*AI14+AG19*AI19</f>
        <v>3</v>
      </c>
      <c r="AH10" s="585">
        <f>スコア入力!AC10</f>
        <v>0.15</v>
      </c>
      <c r="AI10" s="585">
        <f>スコア入力!AE10</f>
        <v>0.15015354274288756</v>
      </c>
      <c r="AJ10" s="582">
        <f>AJ11*AL11+AJ14*AL14+AJ19*AL19</f>
        <v>2.9999999999999996</v>
      </c>
      <c r="AK10" s="582">
        <f>AK11*AM11+AK14*AM14+AK19*AM19</f>
        <v>0</v>
      </c>
      <c r="AL10" s="585">
        <f>スコア入力!AJ10</f>
        <v>0.25</v>
      </c>
      <c r="AM10" s="585">
        <f>スコア入力!AL10</f>
        <v>0</v>
      </c>
      <c r="AN10" s="586">
        <f>IF(AJ10=0,AF10,IF(AF10=0,AJ10,AF10*AH$6+AJ10*AL$6))</f>
        <v>3</v>
      </c>
      <c r="AO10" s="586">
        <f>IF(AK10=0,AG10,IF(AG10=0,AK10,AG10*AI$6+AK10*AM$6))</f>
        <v>3</v>
      </c>
    </row>
    <row r="11" spans="2:41" ht="14.25" thickBot="1">
      <c r="B11" s="295"/>
      <c r="C11" s="296">
        <v>1.1000000000000001</v>
      </c>
      <c r="D11" s="297" t="s">
        <v>540</v>
      </c>
      <c r="E11" s="324"/>
      <c r="F11" s="324"/>
      <c r="G11" s="324"/>
      <c r="H11" s="2900"/>
      <c r="I11" s="2901"/>
      <c r="J11" s="2901"/>
      <c r="K11" s="2902"/>
      <c r="L11" s="2343">
        <f t="shared" si="5"/>
        <v>3</v>
      </c>
      <c r="M11" s="2344">
        <f>IF(Z11=0,0,ROUNDDOWN(AG11,1))</f>
        <v>3</v>
      </c>
      <c r="N11" s="2341">
        <f>スコア入力!AC11</f>
        <v>0.40835509138381199</v>
      </c>
      <c r="O11" s="588">
        <f>スコア入力!AE11</f>
        <v>0.40208877284595301</v>
      </c>
      <c r="P11" s="2343">
        <f t="shared" si="7"/>
        <v>3</v>
      </c>
      <c r="Q11" s="2344">
        <f t="shared" si="8"/>
        <v>0</v>
      </c>
      <c r="R11" s="588">
        <f>スコア入力!AJ11</f>
        <v>0.39999999999999997</v>
      </c>
      <c r="S11" s="588">
        <f>スコア入力!AL11</f>
        <v>0</v>
      </c>
      <c r="T11" s="589"/>
      <c r="U11" s="589"/>
      <c r="W11" s="575">
        <f>AF11</f>
        <v>3</v>
      </c>
      <c r="X11" s="575">
        <f t="shared" si="2"/>
        <v>3</v>
      </c>
      <c r="Y11" s="243">
        <f>スコア入力!AA11</f>
        <v>0.4083550913838121</v>
      </c>
      <c r="Z11" s="243">
        <f>スコア入力!AB11</f>
        <v>0.40208877284595301</v>
      </c>
      <c r="AA11" s="575">
        <f t="shared" si="3"/>
        <v>3</v>
      </c>
      <c r="AB11" s="575">
        <f t="shared" si="4"/>
        <v>0</v>
      </c>
      <c r="AC11" s="243">
        <f>スコア入力!AH11</f>
        <v>8.3550913838120102E-3</v>
      </c>
      <c r="AD11" s="243">
        <f>スコア入力!AI11</f>
        <v>0.979539641943734</v>
      </c>
      <c r="AE11" s="6"/>
      <c r="AF11" s="592">
        <f>スコア入力!N11</f>
        <v>3</v>
      </c>
      <c r="AG11" s="592">
        <f>スコア入力!P11</f>
        <v>3</v>
      </c>
      <c r="AH11" s="591">
        <f>スコア入力!AC11</f>
        <v>0.40835509138381199</v>
      </c>
      <c r="AI11" s="591">
        <f>スコア入力!AE11</f>
        <v>0.40208877284595301</v>
      </c>
      <c r="AJ11" s="592">
        <f>スコア入力!U11</f>
        <v>3</v>
      </c>
      <c r="AK11" s="592">
        <f>スコア入力!W11</f>
        <v>0</v>
      </c>
      <c r="AL11" s="591">
        <f>スコア入力!AJ11</f>
        <v>0.39999999999999997</v>
      </c>
      <c r="AM11" s="591">
        <f>スコア入力!AL11</f>
        <v>0</v>
      </c>
      <c r="AN11" s="586"/>
      <c r="AO11" s="586"/>
    </row>
    <row r="12" spans="2:41" ht="13.5" hidden="1">
      <c r="B12" s="295"/>
      <c r="C12" s="303"/>
      <c r="D12" s="2009">
        <v>1</v>
      </c>
      <c r="E12" s="2316" t="s">
        <v>748</v>
      </c>
      <c r="F12" s="298"/>
      <c r="G12" s="298"/>
      <c r="H12" s="2900"/>
      <c r="I12" s="2901"/>
      <c r="J12" s="2901"/>
      <c r="K12" s="2902"/>
      <c r="L12" s="590">
        <f t="shared" si="5"/>
        <v>0</v>
      </c>
      <c r="M12" s="590">
        <f t="shared" si="6"/>
        <v>0</v>
      </c>
      <c r="N12" s="591">
        <f>スコア入力!AC12</f>
        <v>0</v>
      </c>
      <c r="O12" s="591">
        <f>スコア入力!AE12</f>
        <v>0</v>
      </c>
      <c r="P12" s="590">
        <f t="shared" si="7"/>
        <v>0</v>
      </c>
      <c r="Q12" s="590">
        <f t="shared" si="8"/>
        <v>0</v>
      </c>
      <c r="R12" s="591">
        <f>スコア入力!AJ12</f>
        <v>0</v>
      </c>
      <c r="S12" s="591">
        <f>スコア入力!AL12</f>
        <v>0</v>
      </c>
      <c r="T12" s="586"/>
      <c r="U12" s="586"/>
      <c r="W12" s="244">
        <f t="shared" si="1"/>
        <v>0</v>
      </c>
      <c r="X12" s="244">
        <f t="shared" si="2"/>
        <v>0</v>
      </c>
      <c r="Y12" s="243">
        <f>スコア入力!AA12</f>
        <v>0</v>
      </c>
      <c r="Z12" s="243">
        <f>スコア入力!AB12</f>
        <v>0</v>
      </c>
      <c r="AA12" s="244">
        <f t="shared" si="3"/>
        <v>0</v>
      </c>
      <c r="AB12" s="244">
        <f t="shared" si="4"/>
        <v>0</v>
      </c>
      <c r="AC12" s="243">
        <f>スコア入力!AH12</f>
        <v>0</v>
      </c>
      <c r="AD12" s="243">
        <f>スコア入力!AI12</f>
        <v>0</v>
      </c>
      <c r="AE12" s="6"/>
      <c r="AF12" s="592">
        <f>スコア入力!N12</f>
        <v>0</v>
      </c>
      <c r="AG12" s="592">
        <f>スコア入力!P12</f>
        <v>0</v>
      </c>
      <c r="AH12" s="591">
        <f>スコア入力!AC12</f>
        <v>0</v>
      </c>
      <c r="AI12" s="591">
        <f>スコア入力!AE12</f>
        <v>0</v>
      </c>
      <c r="AJ12" s="592">
        <f>スコア入力!U12</f>
        <v>0</v>
      </c>
      <c r="AK12" s="592">
        <f>スコア入力!W12</f>
        <v>0</v>
      </c>
      <c r="AL12" s="591">
        <f>スコア入力!AJ12</f>
        <v>0</v>
      </c>
      <c r="AM12" s="591">
        <f>スコア入力!AL12</f>
        <v>0</v>
      </c>
      <c r="AN12" s="586"/>
      <c r="AO12" s="586"/>
    </row>
    <row r="13" spans="2:41" ht="14.25" hidden="1" thickBot="1">
      <c r="B13" s="295"/>
      <c r="C13" s="310"/>
      <c r="D13" s="2009">
        <v>2</v>
      </c>
      <c r="E13" s="2317" t="s">
        <v>747</v>
      </c>
      <c r="F13" s="324"/>
      <c r="G13" s="324"/>
      <c r="H13" s="2900"/>
      <c r="I13" s="2901"/>
      <c r="J13" s="2901"/>
      <c r="K13" s="2902"/>
      <c r="L13" s="593">
        <f t="shared" si="5"/>
        <v>0</v>
      </c>
      <c r="M13" s="593">
        <f t="shared" si="6"/>
        <v>0</v>
      </c>
      <c r="N13" s="591">
        <f>スコア入力!AC13</f>
        <v>0</v>
      </c>
      <c r="O13" s="591">
        <f>スコア入力!AE13</f>
        <v>0</v>
      </c>
      <c r="P13" s="593">
        <f t="shared" si="7"/>
        <v>0</v>
      </c>
      <c r="Q13" s="593">
        <f t="shared" si="8"/>
        <v>0</v>
      </c>
      <c r="R13" s="591">
        <f>スコア入力!AJ13</f>
        <v>0</v>
      </c>
      <c r="S13" s="591">
        <f>スコア入力!AL13</f>
        <v>0</v>
      </c>
      <c r="T13" s="586"/>
      <c r="U13" s="586"/>
      <c r="W13" s="244">
        <f t="shared" si="1"/>
        <v>0</v>
      </c>
      <c r="X13" s="244">
        <f t="shared" si="2"/>
        <v>0</v>
      </c>
      <c r="Y13" s="243">
        <f>スコア入力!AA13</f>
        <v>0</v>
      </c>
      <c r="Z13" s="243">
        <f>スコア入力!AB13</f>
        <v>0</v>
      </c>
      <c r="AA13" s="244">
        <f t="shared" si="3"/>
        <v>0</v>
      </c>
      <c r="AB13" s="244">
        <f t="shared" si="4"/>
        <v>0</v>
      </c>
      <c r="AC13" s="243">
        <f>スコア入力!AH13</f>
        <v>0</v>
      </c>
      <c r="AD13" s="243">
        <f>スコア入力!AI13</f>
        <v>0</v>
      </c>
      <c r="AE13" s="6"/>
      <c r="AF13" s="594">
        <f>スコア入力!N13</f>
        <v>0</v>
      </c>
      <c r="AG13" s="594">
        <f>スコア入力!P13</f>
        <v>0</v>
      </c>
      <c r="AH13" s="591">
        <f>スコア入力!AC13</f>
        <v>0</v>
      </c>
      <c r="AI13" s="591">
        <f>スコア入力!AE13</f>
        <v>0</v>
      </c>
      <c r="AJ13" s="594">
        <f>スコア入力!U13</f>
        <v>0</v>
      </c>
      <c r="AK13" s="594">
        <f>スコア入力!W13</f>
        <v>0</v>
      </c>
      <c r="AL13" s="591">
        <f>スコア入力!AJ13</f>
        <v>0</v>
      </c>
      <c r="AM13" s="591">
        <f>スコア入力!AL13</f>
        <v>0</v>
      </c>
      <c r="AN13" s="586"/>
      <c r="AO13" s="586"/>
    </row>
    <row r="14" spans="2:41" ht="14.25" thickBot="1">
      <c r="B14" s="295"/>
      <c r="C14" s="296">
        <v>1.2</v>
      </c>
      <c r="D14" s="297" t="s">
        <v>545</v>
      </c>
      <c r="E14" s="81"/>
      <c r="F14" s="81"/>
      <c r="G14" s="81"/>
      <c r="H14" s="2900"/>
      <c r="I14" s="2901"/>
      <c r="J14" s="2901"/>
      <c r="K14" s="2903"/>
      <c r="L14" s="595">
        <f t="shared" si="5"/>
        <v>3</v>
      </c>
      <c r="M14" s="587">
        <f t="shared" si="6"/>
        <v>3</v>
      </c>
      <c r="N14" s="591">
        <f>スコア入力!AC14</f>
        <v>0.39164490861618795</v>
      </c>
      <c r="O14" s="591">
        <f>スコア入力!AE14</f>
        <v>0.40208877284595301</v>
      </c>
      <c r="P14" s="587">
        <f t="shared" si="7"/>
        <v>3</v>
      </c>
      <c r="Q14" s="587">
        <f t="shared" si="8"/>
        <v>0</v>
      </c>
      <c r="R14" s="591">
        <f>スコア入力!AJ14</f>
        <v>0.39999999999999997</v>
      </c>
      <c r="S14" s="591">
        <f>スコア入力!AL14</f>
        <v>0</v>
      </c>
      <c r="T14" s="586"/>
      <c r="U14" s="586"/>
      <c r="W14" s="575">
        <f t="shared" si="1"/>
        <v>3</v>
      </c>
      <c r="X14" s="575">
        <f t="shared" si="2"/>
        <v>3.0000000000000004</v>
      </c>
      <c r="Y14" s="243">
        <f>スコア入力!AA14</f>
        <v>0.39164490861618806</v>
      </c>
      <c r="Z14" s="243">
        <f>スコア入力!AB14</f>
        <v>0.40208877284595301</v>
      </c>
      <c r="AA14" s="575">
        <f t="shared" si="3"/>
        <v>2.9999999999999996</v>
      </c>
      <c r="AB14" s="575">
        <f t="shared" si="4"/>
        <v>0</v>
      </c>
      <c r="AC14" s="243">
        <f>スコア入力!AH14</f>
        <v>8.3550913838120102E-3</v>
      </c>
      <c r="AD14" s="243">
        <f>スコア入力!AI14</f>
        <v>2.0460358056265983E-2</v>
      </c>
      <c r="AE14" s="6"/>
      <c r="AF14" s="587">
        <f>SUMPRODUCT(AF15:AF18,AH15:AH18)</f>
        <v>3</v>
      </c>
      <c r="AG14" s="587">
        <f>SUMPRODUCT(AG15:AG18,AI15:AI18)</f>
        <v>3.0000000000000004</v>
      </c>
      <c r="AH14" s="591">
        <f>スコア入力!AC14</f>
        <v>0.39164490861618795</v>
      </c>
      <c r="AI14" s="591">
        <f>スコア入力!AE14</f>
        <v>0.40208877284595301</v>
      </c>
      <c r="AJ14" s="587">
        <f>SUMPRODUCT(AJ15:AJ18,AL15:AL18)</f>
        <v>2.9999999999999996</v>
      </c>
      <c r="AK14" s="587">
        <f>SUMPRODUCT(AK15:AK18,AM15:AM18)</f>
        <v>0</v>
      </c>
      <c r="AL14" s="591">
        <f>スコア入力!AJ14</f>
        <v>0.39999999999999997</v>
      </c>
      <c r="AM14" s="591">
        <f>スコア入力!AL14</f>
        <v>0</v>
      </c>
      <c r="AN14" s="586"/>
      <c r="AO14" s="586"/>
    </row>
    <row r="15" spans="2:41" ht="13.5">
      <c r="B15" s="295"/>
      <c r="C15" s="315"/>
      <c r="D15" s="304">
        <v>1</v>
      </c>
      <c r="E15" s="311" t="s">
        <v>547</v>
      </c>
      <c r="F15" s="324"/>
      <c r="G15" s="324"/>
      <c r="H15" s="2900"/>
      <c r="I15" s="2901"/>
      <c r="J15" s="2901"/>
      <c r="K15" s="2902"/>
      <c r="L15" s="590">
        <f t="shared" si="5"/>
        <v>0</v>
      </c>
      <c r="M15" s="590">
        <f t="shared" si="6"/>
        <v>3</v>
      </c>
      <c r="N15" s="591">
        <f>スコア入力!AC15</f>
        <v>0</v>
      </c>
      <c r="O15" s="591">
        <f>スコア入力!AE15</f>
        <v>0.60835509138381205</v>
      </c>
      <c r="P15" s="590">
        <f t="shared" si="7"/>
        <v>0</v>
      </c>
      <c r="Q15" s="590">
        <f t="shared" si="8"/>
        <v>0</v>
      </c>
      <c r="R15" s="591">
        <f>スコア入力!AJ15</f>
        <v>0</v>
      </c>
      <c r="S15" s="591">
        <f>スコア入力!AL15</f>
        <v>0</v>
      </c>
      <c r="T15" s="586"/>
      <c r="U15" s="586"/>
      <c r="W15" s="244">
        <f t="shared" si="1"/>
        <v>0</v>
      </c>
      <c r="X15" s="244">
        <f t="shared" si="2"/>
        <v>3</v>
      </c>
      <c r="Y15" s="243">
        <f>スコア入力!AA15</f>
        <v>0</v>
      </c>
      <c r="Z15" s="243">
        <f>スコア入力!AB15</f>
        <v>0.60835509138381205</v>
      </c>
      <c r="AA15" s="244">
        <f t="shared" si="3"/>
        <v>0</v>
      </c>
      <c r="AB15" s="244">
        <f t="shared" si="4"/>
        <v>0</v>
      </c>
      <c r="AC15" s="243">
        <f>スコア入力!AH15</f>
        <v>0</v>
      </c>
      <c r="AD15" s="243">
        <f>スコア入力!AI15</f>
        <v>0.30000000000000004</v>
      </c>
      <c r="AE15" s="6"/>
      <c r="AF15" s="592">
        <f>スコア入力!N15</f>
        <v>0</v>
      </c>
      <c r="AG15" s="592">
        <f>スコア入力!P15</f>
        <v>3</v>
      </c>
      <c r="AH15" s="591">
        <f>スコア入力!AC15</f>
        <v>0</v>
      </c>
      <c r="AI15" s="591">
        <f>スコア入力!AE15</f>
        <v>0.60835509138381205</v>
      </c>
      <c r="AJ15" s="592">
        <f>スコア入力!U15</f>
        <v>0</v>
      </c>
      <c r="AK15" s="592">
        <f>スコア入力!W15</f>
        <v>0</v>
      </c>
      <c r="AL15" s="591">
        <f>スコア入力!AJ15</f>
        <v>0</v>
      </c>
      <c r="AM15" s="591">
        <f>スコア入力!AL15</f>
        <v>0</v>
      </c>
      <c r="AN15" s="586"/>
      <c r="AO15" s="586"/>
    </row>
    <row r="16" spans="2:41" ht="13.5">
      <c r="B16" s="295"/>
      <c r="C16" s="303"/>
      <c r="D16" s="304">
        <v>2</v>
      </c>
      <c r="E16" s="311" t="s">
        <v>548</v>
      </c>
      <c r="F16" s="324"/>
      <c r="G16" s="324"/>
      <c r="H16" s="2900"/>
      <c r="I16" s="2901"/>
      <c r="J16" s="2901"/>
      <c r="K16" s="2902"/>
      <c r="L16" s="596">
        <f t="shared" si="5"/>
        <v>3</v>
      </c>
      <c r="M16" s="596">
        <f t="shared" si="6"/>
        <v>3</v>
      </c>
      <c r="N16" s="591">
        <f>スコア入力!AC16</f>
        <v>1</v>
      </c>
      <c r="O16" s="591">
        <f>スコア入力!AE16</f>
        <v>0.39164490861618806</v>
      </c>
      <c r="P16" s="596">
        <f t="shared" si="7"/>
        <v>3</v>
      </c>
      <c r="Q16" s="596">
        <f t="shared" si="8"/>
        <v>0</v>
      </c>
      <c r="R16" s="591">
        <f>スコア入力!AJ16</f>
        <v>0.39999999999999997</v>
      </c>
      <c r="S16" s="591">
        <f>スコア入力!AL16</f>
        <v>0</v>
      </c>
      <c r="T16" s="586"/>
      <c r="U16" s="586"/>
      <c r="W16" s="244">
        <f t="shared" si="1"/>
        <v>3</v>
      </c>
      <c r="X16" s="244">
        <f t="shared" si="2"/>
        <v>3</v>
      </c>
      <c r="Y16" s="243">
        <f>スコア入力!AA16</f>
        <v>0.97911227154047009</v>
      </c>
      <c r="Z16" s="243">
        <f>スコア入力!AB16</f>
        <v>0.39164490861618806</v>
      </c>
      <c r="AA16" s="244">
        <f t="shared" si="3"/>
        <v>3</v>
      </c>
      <c r="AB16" s="244">
        <f t="shared" si="4"/>
        <v>0</v>
      </c>
      <c r="AC16" s="243">
        <f>スコア入力!AH16</f>
        <v>8.3550913838120102E-3</v>
      </c>
      <c r="AD16" s="243">
        <f>スコア入力!AI16</f>
        <v>0.30000000000000004</v>
      </c>
      <c r="AE16" s="6"/>
      <c r="AF16" s="427">
        <f>スコア入力!N16</f>
        <v>3</v>
      </c>
      <c r="AG16" s="427">
        <f>スコア入力!P16</f>
        <v>3</v>
      </c>
      <c r="AH16" s="591">
        <f>スコア入力!AC16</f>
        <v>1</v>
      </c>
      <c r="AI16" s="591">
        <f>スコア入力!AE16</f>
        <v>0.39164490861618806</v>
      </c>
      <c r="AJ16" s="427">
        <f>スコア入力!U16</f>
        <v>3</v>
      </c>
      <c r="AK16" s="427">
        <f>スコア入力!W16</f>
        <v>0</v>
      </c>
      <c r="AL16" s="591">
        <f>スコア入力!AJ16</f>
        <v>0.39999999999999997</v>
      </c>
      <c r="AM16" s="591">
        <f>スコア入力!AL16</f>
        <v>0</v>
      </c>
      <c r="AN16" s="586"/>
      <c r="AO16" s="586"/>
    </row>
    <row r="17" spans="2:41" ht="13.5">
      <c r="B17" s="295"/>
      <c r="C17" s="303"/>
      <c r="D17" s="304">
        <v>3</v>
      </c>
      <c r="E17" s="311" t="s">
        <v>549</v>
      </c>
      <c r="F17" s="324"/>
      <c r="G17" s="324"/>
      <c r="H17" s="2900"/>
      <c r="I17" s="2901"/>
      <c r="J17" s="2901"/>
      <c r="K17" s="2902"/>
      <c r="L17" s="596">
        <f t="shared" si="5"/>
        <v>0</v>
      </c>
      <c r="M17" s="596">
        <f t="shared" si="6"/>
        <v>0</v>
      </c>
      <c r="N17" s="591">
        <f>スコア入力!AC17</f>
        <v>0</v>
      </c>
      <c r="O17" s="591">
        <f>スコア入力!AE17</f>
        <v>0</v>
      </c>
      <c r="P17" s="596">
        <f t="shared" si="7"/>
        <v>3</v>
      </c>
      <c r="Q17" s="596">
        <f t="shared" si="8"/>
        <v>0</v>
      </c>
      <c r="R17" s="591">
        <f>スコア入力!AJ17</f>
        <v>0.3</v>
      </c>
      <c r="S17" s="591">
        <f>スコア入力!AL17</f>
        <v>0</v>
      </c>
      <c r="T17" s="586"/>
      <c r="U17" s="586"/>
      <c r="W17" s="244">
        <f t="shared" si="1"/>
        <v>0</v>
      </c>
      <c r="X17" s="244">
        <f t="shared" si="2"/>
        <v>0</v>
      </c>
      <c r="Y17" s="243">
        <f>スコア入力!AA17</f>
        <v>0</v>
      </c>
      <c r="Z17" s="243">
        <f>スコア入力!AB17</f>
        <v>0</v>
      </c>
      <c r="AA17" s="244">
        <f t="shared" si="3"/>
        <v>3</v>
      </c>
      <c r="AB17" s="244">
        <f t="shared" si="4"/>
        <v>0</v>
      </c>
      <c r="AC17" s="243">
        <f>スコア入力!AH17</f>
        <v>6.2663185378590081E-3</v>
      </c>
      <c r="AD17" s="243">
        <f>スコア入力!AI17</f>
        <v>0.2</v>
      </c>
      <c r="AE17" s="6"/>
      <c r="AF17" s="427">
        <f>スコア入力!N17</f>
        <v>0</v>
      </c>
      <c r="AG17" s="427">
        <f>スコア入力!P17</f>
        <v>0</v>
      </c>
      <c r="AH17" s="591">
        <f>スコア入力!AC17</f>
        <v>0</v>
      </c>
      <c r="AI17" s="591">
        <f>スコア入力!AE17</f>
        <v>0</v>
      </c>
      <c r="AJ17" s="427">
        <f>スコア入力!U17</f>
        <v>3</v>
      </c>
      <c r="AK17" s="427">
        <f>スコア入力!W17</f>
        <v>0</v>
      </c>
      <c r="AL17" s="591">
        <f>スコア入力!AJ17</f>
        <v>0.3</v>
      </c>
      <c r="AM17" s="591">
        <f>スコア入力!AL17</f>
        <v>0</v>
      </c>
      <c r="AN17" s="586"/>
      <c r="AO17" s="586"/>
    </row>
    <row r="18" spans="2:41" ht="13.5">
      <c r="B18" s="295"/>
      <c r="C18" s="310"/>
      <c r="D18" s="304">
        <v>4</v>
      </c>
      <c r="E18" s="311" t="s">
        <v>550</v>
      </c>
      <c r="F18" s="324"/>
      <c r="G18" s="324"/>
      <c r="H18" s="2900"/>
      <c r="I18" s="2901"/>
      <c r="J18" s="2901"/>
      <c r="K18" s="2902"/>
      <c r="L18" s="596">
        <f t="shared" si="5"/>
        <v>0</v>
      </c>
      <c r="M18" s="596">
        <f t="shared" si="6"/>
        <v>0</v>
      </c>
      <c r="N18" s="591">
        <f>スコア入力!AC18</f>
        <v>0</v>
      </c>
      <c r="O18" s="591">
        <f>スコア入力!AE18</f>
        <v>0</v>
      </c>
      <c r="P18" s="596">
        <f t="shared" si="7"/>
        <v>3</v>
      </c>
      <c r="Q18" s="596">
        <f t="shared" si="8"/>
        <v>0</v>
      </c>
      <c r="R18" s="591">
        <f>スコア入力!AJ18</f>
        <v>0.3</v>
      </c>
      <c r="S18" s="591">
        <f>スコア入力!AL18</f>
        <v>0</v>
      </c>
      <c r="T18" s="586"/>
      <c r="U18" s="586"/>
      <c r="W18" s="244">
        <f t="shared" si="1"/>
        <v>0</v>
      </c>
      <c r="X18" s="244">
        <f t="shared" si="2"/>
        <v>0</v>
      </c>
      <c r="Y18" s="243">
        <f>スコア入力!AA18</f>
        <v>0</v>
      </c>
      <c r="Z18" s="243">
        <f>スコア入力!AB18</f>
        <v>0</v>
      </c>
      <c r="AA18" s="244">
        <f t="shared" si="3"/>
        <v>3</v>
      </c>
      <c r="AB18" s="244">
        <f t="shared" si="4"/>
        <v>0</v>
      </c>
      <c r="AC18" s="243">
        <f>スコア入力!AH18</f>
        <v>6.2663185378590081E-3</v>
      </c>
      <c r="AD18" s="243">
        <f>スコア入力!AI18</f>
        <v>0.2</v>
      </c>
      <c r="AE18" s="6"/>
      <c r="AF18" s="427">
        <f>スコア入力!N18</f>
        <v>0</v>
      </c>
      <c r="AG18" s="427">
        <f>スコア入力!P18</f>
        <v>0</v>
      </c>
      <c r="AH18" s="591">
        <f>スコア入力!AC18</f>
        <v>0</v>
      </c>
      <c r="AI18" s="591">
        <f>スコア入力!AE18</f>
        <v>0</v>
      </c>
      <c r="AJ18" s="427">
        <f>スコア入力!U18</f>
        <v>3</v>
      </c>
      <c r="AK18" s="427">
        <f>スコア入力!W18</f>
        <v>0</v>
      </c>
      <c r="AL18" s="591">
        <f>スコア入力!AJ18</f>
        <v>0.3</v>
      </c>
      <c r="AM18" s="591">
        <f>スコア入力!AL18</f>
        <v>0</v>
      </c>
      <c r="AN18" s="586"/>
      <c r="AO18" s="586"/>
    </row>
    <row r="19" spans="2:41" ht="14.25" thickBot="1">
      <c r="B19" s="322"/>
      <c r="C19" s="323">
        <v>1.3</v>
      </c>
      <c r="D19" s="324" t="s">
        <v>551</v>
      </c>
      <c r="E19" s="324"/>
      <c r="F19" s="324"/>
      <c r="G19" s="324"/>
      <c r="H19" s="2904"/>
      <c r="I19" s="2905"/>
      <c r="J19" s="2905"/>
      <c r="K19" s="2906"/>
      <c r="L19" s="465">
        <f t="shared" si="5"/>
        <v>3</v>
      </c>
      <c r="M19" s="593">
        <f t="shared" si="6"/>
        <v>3</v>
      </c>
      <c r="N19" s="591">
        <f>スコア入力!AC19</f>
        <v>0.19999999999999998</v>
      </c>
      <c r="O19" s="591">
        <f>スコア入力!AE19</f>
        <v>0.195822454308094</v>
      </c>
      <c r="P19" s="593">
        <f t="shared" si="7"/>
        <v>3</v>
      </c>
      <c r="Q19" s="593">
        <f t="shared" si="8"/>
        <v>0</v>
      </c>
      <c r="R19" s="591">
        <f>スコア入力!AJ19</f>
        <v>0.19999999999999998</v>
      </c>
      <c r="S19" s="591">
        <f>スコア入力!AL19</f>
        <v>0</v>
      </c>
      <c r="T19" s="586"/>
      <c r="U19" s="586"/>
      <c r="W19" s="244">
        <f t="shared" si="1"/>
        <v>3</v>
      </c>
      <c r="X19" s="244">
        <f t="shared" si="2"/>
        <v>3</v>
      </c>
      <c r="Y19" s="243">
        <f>スコア入力!AA19</f>
        <v>0.20000000000000004</v>
      </c>
      <c r="Z19" s="243">
        <f>スコア入力!AB19</f>
        <v>0.195822454308094</v>
      </c>
      <c r="AA19" s="244">
        <f t="shared" si="3"/>
        <v>3</v>
      </c>
      <c r="AB19" s="244">
        <f t="shared" si="4"/>
        <v>0</v>
      </c>
      <c r="AC19" s="243">
        <f>スコア入力!AH19</f>
        <v>4.1775456919060051E-3</v>
      </c>
      <c r="AD19" s="243">
        <f>スコア入力!AI19</f>
        <v>0</v>
      </c>
      <c r="AE19" s="6"/>
      <c r="AF19" s="594">
        <f>スコア入力!N19</f>
        <v>3</v>
      </c>
      <c r="AG19" s="594">
        <f>スコア入力!P19</f>
        <v>3</v>
      </c>
      <c r="AH19" s="591">
        <f>スコア入力!AC19</f>
        <v>0.19999999999999998</v>
      </c>
      <c r="AI19" s="591">
        <f>スコア入力!AE19</f>
        <v>0.195822454308094</v>
      </c>
      <c r="AJ19" s="594">
        <f>スコア入力!U19</f>
        <v>3</v>
      </c>
      <c r="AK19" s="594">
        <f>スコア入力!W19</f>
        <v>0</v>
      </c>
      <c r="AL19" s="591">
        <f>スコア入力!AJ19</f>
        <v>0.19999999999999998</v>
      </c>
      <c r="AM19" s="591">
        <f>スコア入力!AL19</f>
        <v>0</v>
      </c>
      <c r="AN19" s="586"/>
      <c r="AO19" s="586"/>
    </row>
    <row r="20" spans="2:41" ht="13.5">
      <c r="B20" s="395">
        <v>2</v>
      </c>
      <c r="C20" s="326" t="s">
        <v>552</v>
      </c>
      <c r="D20" s="396"/>
      <c r="E20" s="377"/>
      <c r="F20" s="584"/>
      <c r="G20" s="584"/>
      <c r="H20" s="2907"/>
      <c r="I20" s="2908"/>
      <c r="J20" s="2908"/>
      <c r="K20" s="2909"/>
      <c r="L20" s="597">
        <f t="shared" si="5"/>
        <v>3</v>
      </c>
      <c r="M20" s="598">
        <f t="shared" si="6"/>
        <v>3</v>
      </c>
      <c r="N20" s="599">
        <f>スコア入力!AC20</f>
        <v>0.35000000000000003</v>
      </c>
      <c r="O20" s="599">
        <f>スコア入力!AE20</f>
        <v>0.35035826640007101</v>
      </c>
      <c r="P20" s="600">
        <f t="shared" si="7"/>
        <v>3</v>
      </c>
      <c r="Q20" s="600">
        <f t="shared" si="8"/>
        <v>3</v>
      </c>
      <c r="R20" s="599"/>
      <c r="S20" s="599"/>
      <c r="T20" s="601">
        <f>ROUNDDOWN(AN20,1)</f>
        <v>3</v>
      </c>
      <c r="U20" s="601">
        <f>ROUNDDOWN(AO20,1)</f>
        <v>3</v>
      </c>
      <c r="W20" s="575">
        <f t="shared" si="1"/>
        <v>3</v>
      </c>
      <c r="X20" s="575">
        <f t="shared" si="2"/>
        <v>3</v>
      </c>
      <c r="Y20" s="243">
        <f>スコア入力!AA20</f>
        <v>0.35000000000000003</v>
      </c>
      <c r="Z20" s="243">
        <f>スコア入力!AB20</f>
        <v>0.35035826640007101</v>
      </c>
      <c r="AA20" s="575">
        <f t="shared" si="3"/>
        <v>3</v>
      </c>
      <c r="AB20" s="575">
        <f t="shared" si="4"/>
        <v>3</v>
      </c>
      <c r="AC20" s="243">
        <f>スコア入力!AH20</f>
        <v>1</v>
      </c>
      <c r="AD20" s="243">
        <f>スコア入力!AI20</f>
        <v>0.18231169418683554</v>
      </c>
      <c r="AE20" s="6"/>
      <c r="AF20" s="597">
        <f>AF21*AH21+AF30*AH30+AF31*AH31</f>
        <v>3</v>
      </c>
      <c r="AG20" s="597">
        <f>AG21*AI21+AG30*AI30+AG31*AI31</f>
        <v>3</v>
      </c>
      <c r="AH20" s="599">
        <f>スコア入力!AC20</f>
        <v>0.35000000000000003</v>
      </c>
      <c r="AI20" s="602">
        <f>スコア入力!AE20</f>
        <v>0.35035826640007101</v>
      </c>
      <c r="AJ20" s="597">
        <f>AJ21*AL21+AJ30*AL30+AJ31*AL31</f>
        <v>3</v>
      </c>
      <c r="AK20" s="598">
        <f>AK21*AM21+AK30*AM30+AK31*AM31</f>
        <v>3</v>
      </c>
      <c r="AL20" s="599">
        <f>スコア入力!AJ20</f>
        <v>0.25</v>
      </c>
      <c r="AM20" s="602">
        <f>スコア入力!AL20</f>
        <v>0.3268450932684509</v>
      </c>
      <c r="AN20" s="601">
        <f>IF(AJ20=0,AF20,IF(AF20=0,AJ20,AF20*AH$6+AJ20*AL$6))</f>
        <v>3</v>
      </c>
      <c r="AO20" s="601">
        <f>IF(AK20=0,AG20,IF(AG20=0,AK20,AG20*AI$6+AK20*AM$6))</f>
        <v>3</v>
      </c>
    </row>
    <row r="21" spans="2:41" ht="14.25" thickBot="1">
      <c r="B21" s="295"/>
      <c r="C21" s="296">
        <v>2.1</v>
      </c>
      <c r="D21" s="333" t="s">
        <v>555</v>
      </c>
      <c r="E21" s="377"/>
      <c r="F21" s="377"/>
      <c r="G21" s="377"/>
      <c r="H21" s="2910"/>
      <c r="I21" s="2911"/>
      <c r="J21" s="2911"/>
      <c r="K21" s="2912"/>
      <c r="L21" s="587">
        <f t="shared" si="5"/>
        <v>3</v>
      </c>
      <c r="M21" s="587">
        <f t="shared" si="6"/>
        <v>3</v>
      </c>
      <c r="N21" s="603">
        <f>スコア入力!AC21</f>
        <v>0.5</v>
      </c>
      <c r="O21" s="603">
        <f>スコア入力!AE21</f>
        <v>0.50422873566481596</v>
      </c>
      <c r="P21" s="587">
        <f t="shared" si="7"/>
        <v>3</v>
      </c>
      <c r="Q21" s="587">
        <f t="shared" si="8"/>
        <v>3</v>
      </c>
      <c r="R21" s="603">
        <f>スコア入力!AJ21</f>
        <v>1</v>
      </c>
      <c r="S21" s="603">
        <f>スコア入力!AL21</f>
        <v>1</v>
      </c>
      <c r="T21" s="589"/>
      <c r="U21" s="589"/>
      <c r="W21" s="575">
        <f t="shared" si="1"/>
        <v>3</v>
      </c>
      <c r="X21" s="575">
        <f t="shared" si="2"/>
        <v>3</v>
      </c>
      <c r="Y21" s="243">
        <f>スコア入力!AA21</f>
        <v>0.50000000000000011</v>
      </c>
      <c r="Z21" s="243">
        <f>スコア入力!AB21</f>
        <v>0.50422873566481596</v>
      </c>
      <c r="AA21" s="575">
        <f t="shared" si="3"/>
        <v>3</v>
      </c>
      <c r="AB21" s="575">
        <f t="shared" si="4"/>
        <v>3</v>
      </c>
      <c r="AC21" s="243">
        <f>スコア入力!AH21</f>
        <v>2.0887728459530026E-2</v>
      </c>
      <c r="AD21" s="243">
        <f>スコア入力!AI21</f>
        <v>4.9627791563275438E-2</v>
      </c>
      <c r="AE21" s="6"/>
      <c r="AF21" s="587">
        <f>SUMPRODUCT(AF22:AF29,AH22:AH29)</f>
        <v>3</v>
      </c>
      <c r="AG21" s="587">
        <f>SUMPRODUCT(AG22:AG29,AI22:AI29)</f>
        <v>3</v>
      </c>
      <c r="AH21" s="603">
        <f>スコア入力!AC21</f>
        <v>0.5</v>
      </c>
      <c r="AI21" s="603">
        <f>スコア入力!AE21</f>
        <v>0.50422873566481596</v>
      </c>
      <c r="AJ21" s="587">
        <f>SUMPRODUCT(AJ22:AJ29,AL22:AL29)</f>
        <v>3</v>
      </c>
      <c r="AK21" s="587">
        <f>SUMPRODUCT(AK22:AK29,AM22:AM29)</f>
        <v>3</v>
      </c>
      <c r="AL21" s="603">
        <f>スコア入力!AJ21</f>
        <v>1</v>
      </c>
      <c r="AM21" s="603">
        <f>スコア入力!AL21</f>
        <v>1</v>
      </c>
      <c r="AN21" s="589"/>
      <c r="AO21" s="589"/>
    </row>
    <row r="22" spans="2:41" ht="13.5">
      <c r="B22" s="295"/>
      <c r="C22" s="2309"/>
      <c r="D22" s="304">
        <v>1</v>
      </c>
      <c r="E22" s="324" t="s">
        <v>772</v>
      </c>
      <c r="F22" s="327"/>
      <c r="G22" s="327"/>
      <c r="H22" s="2900"/>
      <c r="I22" s="2901"/>
      <c r="J22" s="2901"/>
      <c r="K22" s="2902"/>
      <c r="L22" s="590">
        <f t="shared" si="5"/>
        <v>3</v>
      </c>
      <c r="M22" s="590">
        <f t="shared" si="6"/>
        <v>3</v>
      </c>
      <c r="N22" s="591">
        <f>スコア入力!AC22</f>
        <v>0.40677374301675973</v>
      </c>
      <c r="O22" s="591">
        <f>スコア入力!AE22</f>
        <v>0.38022193211488253</v>
      </c>
      <c r="P22" s="590">
        <f t="shared" si="7"/>
        <v>0</v>
      </c>
      <c r="Q22" s="590">
        <f t="shared" si="8"/>
        <v>3</v>
      </c>
      <c r="R22" s="591">
        <f>スコア入力!AJ22</f>
        <v>0</v>
      </c>
      <c r="S22" s="591">
        <f>スコア入力!AL22</f>
        <v>0.625</v>
      </c>
      <c r="T22" s="586"/>
      <c r="U22" s="586"/>
      <c r="W22" s="244">
        <f t="shared" si="1"/>
        <v>3</v>
      </c>
      <c r="X22" s="244">
        <f t="shared" si="2"/>
        <v>3</v>
      </c>
      <c r="Y22" s="243">
        <f>スコア入力!AA22</f>
        <v>0.30417754569190597</v>
      </c>
      <c r="Z22" s="243">
        <f>スコア入力!AB22</f>
        <v>0.29907554993116231</v>
      </c>
      <c r="AA22" s="244">
        <f t="shared" si="3"/>
        <v>0</v>
      </c>
      <c r="AB22" s="244">
        <f t="shared" si="4"/>
        <v>3</v>
      </c>
      <c r="AC22" s="243">
        <f>スコア入力!AH22</f>
        <v>0</v>
      </c>
      <c r="AD22" s="243">
        <f>スコア入力!AI22</f>
        <v>0.5</v>
      </c>
      <c r="AE22" s="6"/>
      <c r="AF22" s="592">
        <f>スコア入力!N22</f>
        <v>3</v>
      </c>
      <c r="AG22" s="592">
        <f>スコア入力!P22</f>
        <v>3</v>
      </c>
      <c r="AH22" s="591">
        <f>スコア入力!AC22</f>
        <v>0.40677374301675973</v>
      </c>
      <c r="AI22" s="591">
        <f>スコア入力!AE22</f>
        <v>0.38022193211488253</v>
      </c>
      <c r="AJ22" s="592">
        <f>スコア入力!U22</f>
        <v>0</v>
      </c>
      <c r="AK22" s="592">
        <f>スコア入力!W22</f>
        <v>3</v>
      </c>
      <c r="AL22" s="591">
        <f>スコア入力!AJ22</f>
        <v>0</v>
      </c>
      <c r="AM22" s="591">
        <f>スコア入力!AL22</f>
        <v>0.625</v>
      </c>
      <c r="AN22" s="586"/>
      <c r="AO22" s="586"/>
    </row>
    <row r="23" spans="2:41" ht="13.5" hidden="1">
      <c r="B23" s="295"/>
      <c r="C23" s="2309"/>
      <c r="D23" s="2009">
        <v>2</v>
      </c>
      <c r="E23" s="1985" t="s">
        <v>1674</v>
      </c>
      <c r="F23" s="327"/>
      <c r="G23" s="327"/>
      <c r="H23" s="2900"/>
      <c r="I23" s="2901"/>
      <c r="J23" s="2901"/>
      <c r="K23" s="2902"/>
      <c r="L23" s="596">
        <f t="shared" si="5"/>
        <v>0</v>
      </c>
      <c r="M23" s="596">
        <f t="shared" si="6"/>
        <v>0</v>
      </c>
      <c r="N23" s="591">
        <f>スコア入力!AC23</f>
        <v>0</v>
      </c>
      <c r="O23" s="591">
        <f>スコア入力!AE23</f>
        <v>0</v>
      </c>
      <c r="P23" s="596">
        <f t="shared" si="7"/>
        <v>0</v>
      </c>
      <c r="Q23" s="596">
        <f t="shared" si="8"/>
        <v>0</v>
      </c>
      <c r="R23" s="591">
        <f>スコア入力!AJ23</f>
        <v>0</v>
      </c>
      <c r="S23" s="591">
        <f>スコア入力!AL23</f>
        <v>0</v>
      </c>
      <c r="T23" s="586"/>
      <c r="U23" s="586"/>
      <c r="W23" s="244">
        <f t="shared" si="1"/>
        <v>0</v>
      </c>
      <c r="X23" s="244">
        <f t="shared" si="2"/>
        <v>0</v>
      </c>
      <c r="Y23" s="243">
        <f>スコア入力!AA23</f>
        <v>5.2219321148825076E-2</v>
      </c>
      <c r="Z23" s="243">
        <f>スコア入力!AB23</f>
        <v>0</v>
      </c>
      <c r="AA23" s="244">
        <f t="shared" si="3"/>
        <v>0</v>
      </c>
      <c r="AB23" s="244">
        <f t="shared" si="4"/>
        <v>0</v>
      </c>
      <c r="AC23" s="243">
        <f>スコア入力!AH23</f>
        <v>0</v>
      </c>
      <c r="AD23" s="243">
        <f>スコア入力!AI23</f>
        <v>0</v>
      </c>
      <c r="AE23" s="6"/>
      <c r="AF23" s="427">
        <f>スコア入力!N23</f>
        <v>0</v>
      </c>
      <c r="AG23" s="427">
        <f>スコア入力!P23</f>
        <v>0</v>
      </c>
      <c r="AH23" s="591">
        <f>スコア入力!AC23</f>
        <v>0</v>
      </c>
      <c r="AI23" s="591">
        <f>スコア入力!AE23</f>
        <v>0</v>
      </c>
      <c r="AJ23" s="427">
        <f>スコア入力!U23</f>
        <v>0</v>
      </c>
      <c r="AK23" s="427">
        <f>スコア入力!W23</f>
        <v>0</v>
      </c>
      <c r="AL23" s="591">
        <f>スコア入力!AJ23</f>
        <v>0</v>
      </c>
      <c r="AM23" s="591">
        <f>スコア入力!AL23</f>
        <v>0</v>
      </c>
      <c r="AN23" s="586"/>
      <c r="AO23" s="586"/>
    </row>
    <row r="24" spans="2:41" ht="13.5">
      <c r="B24" s="295"/>
      <c r="C24" s="2309"/>
      <c r="D24" s="304">
        <v>2</v>
      </c>
      <c r="E24" s="324" t="s">
        <v>557</v>
      </c>
      <c r="F24" s="327"/>
      <c r="G24" s="327"/>
      <c r="H24" s="2900"/>
      <c r="I24" s="2901"/>
      <c r="J24" s="2901"/>
      <c r="K24" s="2902"/>
      <c r="L24" s="596">
        <f t="shared" si="5"/>
        <v>3</v>
      </c>
      <c r="M24" s="596">
        <f t="shared" si="6"/>
        <v>3</v>
      </c>
      <c r="N24" s="591">
        <f>スコア入力!AC24</f>
        <v>0.23533519553072627</v>
      </c>
      <c r="O24" s="591">
        <f>スコア入力!AE24</f>
        <v>0.25261096605744127</v>
      </c>
      <c r="P24" s="596">
        <f t="shared" si="7"/>
        <v>3</v>
      </c>
      <c r="Q24" s="596">
        <f t="shared" si="8"/>
        <v>3</v>
      </c>
      <c r="R24" s="591">
        <f>スコア入力!AJ24</f>
        <v>1</v>
      </c>
      <c r="S24" s="591">
        <f>スコア入力!AL24</f>
        <v>0.37500000000000006</v>
      </c>
      <c r="T24" s="586"/>
      <c r="U24" s="586"/>
      <c r="W24" s="244">
        <f t="shared" si="1"/>
        <v>3</v>
      </c>
      <c r="X24" s="244">
        <f t="shared" si="2"/>
        <v>3</v>
      </c>
      <c r="Y24" s="243">
        <f>スコア入力!AA24</f>
        <v>0.17597911227154048</v>
      </c>
      <c r="Z24" s="243">
        <f>スコア入力!AB24</f>
        <v>0.19869912072679796</v>
      </c>
      <c r="AA24" s="244">
        <f t="shared" si="3"/>
        <v>3</v>
      </c>
      <c r="AB24" s="244">
        <f t="shared" si="4"/>
        <v>3</v>
      </c>
      <c r="AC24" s="243">
        <f>スコア入力!AH24</f>
        <v>1.2532637075718016E-2</v>
      </c>
      <c r="AD24" s="243">
        <f>スコア入力!AI24</f>
        <v>0.30000000000000004</v>
      </c>
      <c r="AE24" s="6"/>
      <c r="AF24" s="427">
        <f>スコア入力!N24</f>
        <v>3</v>
      </c>
      <c r="AG24" s="427">
        <f>スコア入力!P24</f>
        <v>3</v>
      </c>
      <c r="AH24" s="591">
        <f>スコア入力!AC24</f>
        <v>0.23533519553072627</v>
      </c>
      <c r="AI24" s="591">
        <f>スコア入力!AE24</f>
        <v>0.25261096605744127</v>
      </c>
      <c r="AJ24" s="427">
        <f>スコア入力!U24</f>
        <v>3</v>
      </c>
      <c r="AK24" s="427">
        <f>スコア入力!W24</f>
        <v>3</v>
      </c>
      <c r="AL24" s="591">
        <f>スコア入力!AJ24</f>
        <v>1</v>
      </c>
      <c r="AM24" s="591">
        <f>スコア入力!AL24</f>
        <v>0.37500000000000006</v>
      </c>
      <c r="AN24" s="586"/>
      <c r="AO24" s="586"/>
    </row>
    <row r="25" spans="2:41" ht="13.5">
      <c r="B25" s="295"/>
      <c r="C25" s="2309"/>
      <c r="D25" s="304">
        <v>3</v>
      </c>
      <c r="E25" s="324" t="s">
        <v>559</v>
      </c>
      <c r="F25" s="327"/>
      <c r="G25" s="327"/>
      <c r="H25" s="2900"/>
      <c r="I25" s="2901"/>
      <c r="J25" s="2901"/>
      <c r="K25" s="2902"/>
      <c r="L25" s="596">
        <f t="shared" si="5"/>
        <v>3</v>
      </c>
      <c r="M25" s="596">
        <f t="shared" si="6"/>
        <v>3</v>
      </c>
      <c r="N25" s="591">
        <f>スコア入力!AC25</f>
        <v>0.35789106145251398</v>
      </c>
      <c r="O25" s="591">
        <f>スコア入力!AE25</f>
        <v>0.36716710182767615</v>
      </c>
      <c r="P25" s="596">
        <f t="shared" si="7"/>
        <v>0</v>
      </c>
      <c r="Q25" s="596">
        <f t="shared" si="8"/>
        <v>0</v>
      </c>
      <c r="R25" s="591">
        <f>スコア入力!AJ25</f>
        <v>0</v>
      </c>
      <c r="S25" s="591">
        <f>スコア入力!AL25</f>
        <v>0</v>
      </c>
      <c r="T25" s="586"/>
      <c r="U25" s="586"/>
      <c r="W25" s="244">
        <f t="shared" si="1"/>
        <v>3</v>
      </c>
      <c r="X25" s="244">
        <f t="shared" si="2"/>
        <v>3</v>
      </c>
      <c r="Y25" s="243">
        <f>スコア入力!AA25</f>
        <v>0.26762402088772846</v>
      </c>
      <c r="Z25" s="243">
        <f>スコア入力!AB25</f>
        <v>0.28880686152150858</v>
      </c>
      <c r="AA25" s="244">
        <f t="shared" si="3"/>
        <v>0</v>
      </c>
      <c r="AB25" s="244">
        <f t="shared" si="4"/>
        <v>0</v>
      </c>
      <c r="AC25" s="243">
        <f>スコア入力!AH25</f>
        <v>0</v>
      </c>
      <c r="AD25" s="243">
        <f>スコア入力!AI25</f>
        <v>0</v>
      </c>
      <c r="AE25" s="6"/>
      <c r="AF25" s="427">
        <f>スコア入力!N25</f>
        <v>3</v>
      </c>
      <c r="AG25" s="427">
        <f>スコア入力!P25</f>
        <v>3</v>
      </c>
      <c r="AH25" s="591">
        <f>スコア入力!AC25</f>
        <v>0.35789106145251398</v>
      </c>
      <c r="AI25" s="591">
        <f>スコア入力!AE25</f>
        <v>0.36716710182767615</v>
      </c>
      <c r="AJ25" s="427">
        <f>スコア入力!U25</f>
        <v>0</v>
      </c>
      <c r="AK25" s="427">
        <f>スコア入力!W25</f>
        <v>0</v>
      </c>
      <c r="AL25" s="591">
        <f>スコア入力!AJ25</f>
        <v>0</v>
      </c>
      <c r="AM25" s="591">
        <f>スコア入力!AL25</f>
        <v>0</v>
      </c>
      <c r="AN25" s="586"/>
      <c r="AO25" s="586"/>
    </row>
    <row r="26" spans="2:41" ht="13.5" hidden="1">
      <c r="B26" s="295"/>
      <c r="C26" s="2309"/>
      <c r="D26" s="2009">
        <v>5</v>
      </c>
      <c r="E26" s="1985" t="s">
        <v>1675</v>
      </c>
      <c r="F26" s="327"/>
      <c r="G26" s="327"/>
      <c r="H26" s="2900"/>
      <c r="I26" s="2901"/>
      <c r="J26" s="2901"/>
      <c r="K26" s="2902"/>
      <c r="L26" s="596">
        <f t="shared" si="5"/>
        <v>0</v>
      </c>
      <c r="M26" s="596">
        <f t="shared" si="6"/>
        <v>0</v>
      </c>
      <c r="N26" s="591">
        <f>スコア入力!AC26</f>
        <v>0</v>
      </c>
      <c r="O26" s="591">
        <f>スコア入力!AE26</f>
        <v>0</v>
      </c>
      <c r="P26" s="596">
        <f t="shared" si="7"/>
        <v>0</v>
      </c>
      <c r="Q26" s="596">
        <f t="shared" si="8"/>
        <v>0</v>
      </c>
      <c r="R26" s="591">
        <f>スコア入力!AJ26</f>
        <v>0</v>
      </c>
      <c r="S26" s="591">
        <f>スコア入力!AL26</f>
        <v>0</v>
      </c>
      <c r="T26" s="586"/>
      <c r="U26" s="586"/>
      <c r="W26" s="244">
        <f t="shared" si="1"/>
        <v>0</v>
      </c>
      <c r="X26" s="244">
        <f t="shared" si="2"/>
        <v>0</v>
      </c>
      <c r="Y26" s="243">
        <f>スコア入力!AA26</f>
        <v>0.10208877284595302</v>
      </c>
      <c r="Z26" s="243">
        <f>スコア入力!AB26</f>
        <v>0.10456970039828034</v>
      </c>
      <c r="AA26" s="244">
        <f t="shared" si="3"/>
        <v>0</v>
      </c>
      <c r="AB26" s="244">
        <f t="shared" si="4"/>
        <v>0</v>
      </c>
      <c r="AC26" s="243">
        <f>スコア入力!AH26</f>
        <v>0</v>
      </c>
      <c r="AD26" s="243">
        <f>スコア入力!AI26</f>
        <v>0</v>
      </c>
      <c r="AE26" s="6"/>
      <c r="AF26" s="427">
        <f>スコア入力!N26</f>
        <v>0</v>
      </c>
      <c r="AG26" s="427">
        <f>スコア入力!P26</f>
        <v>0</v>
      </c>
      <c r="AH26" s="591">
        <f>スコア入力!AC26</f>
        <v>0</v>
      </c>
      <c r="AI26" s="591">
        <f>スコア入力!AE26</f>
        <v>0</v>
      </c>
      <c r="AJ26" s="427">
        <f>スコア入力!U26</f>
        <v>0</v>
      </c>
      <c r="AK26" s="427">
        <f>スコア入力!W26</f>
        <v>0</v>
      </c>
      <c r="AL26" s="591">
        <f>スコア入力!AJ26</f>
        <v>0</v>
      </c>
      <c r="AM26" s="591">
        <f>スコア入力!AL26</f>
        <v>0</v>
      </c>
      <c r="AN26" s="586"/>
      <c r="AO26" s="586"/>
    </row>
    <row r="27" spans="2:41" ht="13.5" hidden="1">
      <c r="B27" s="295"/>
      <c r="C27" s="2309"/>
      <c r="D27" s="2009">
        <v>6</v>
      </c>
      <c r="E27" s="1985" t="s">
        <v>561</v>
      </c>
      <c r="F27" s="327"/>
      <c r="G27" s="327"/>
      <c r="H27" s="2900"/>
      <c r="I27" s="2901"/>
      <c r="J27" s="2901"/>
      <c r="K27" s="2902"/>
      <c r="L27" s="596">
        <f t="shared" si="5"/>
        <v>0</v>
      </c>
      <c r="M27" s="596">
        <f t="shared" si="6"/>
        <v>0</v>
      </c>
      <c r="N27" s="591">
        <f>スコア入力!AC27</f>
        <v>0</v>
      </c>
      <c r="O27" s="591">
        <f>スコア入力!AE27</f>
        <v>0</v>
      </c>
      <c r="P27" s="596">
        <f t="shared" si="7"/>
        <v>0</v>
      </c>
      <c r="Q27" s="596">
        <f t="shared" si="8"/>
        <v>0</v>
      </c>
      <c r="R27" s="591">
        <f>スコア入力!AJ27</f>
        <v>0</v>
      </c>
      <c r="S27" s="591">
        <f>スコア入力!AL27</f>
        <v>0</v>
      </c>
      <c r="T27" s="586"/>
      <c r="U27" s="586"/>
      <c r="W27" s="244">
        <f t="shared" si="1"/>
        <v>0</v>
      </c>
      <c r="X27" s="244">
        <f t="shared" si="2"/>
        <v>0</v>
      </c>
      <c r="Y27" s="243">
        <f>スコア入力!AA27</f>
        <v>0</v>
      </c>
      <c r="Z27" s="243">
        <f>スコア入力!AB27</f>
        <v>8.5581340479410992E-3</v>
      </c>
      <c r="AA27" s="244">
        <f t="shared" si="3"/>
        <v>0</v>
      </c>
      <c r="AB27" s="244">
        <f t="shared" si="4"/>
        <v>0</v>
      </c>
      <c r="AC27" s="243">
        <f>スコア入力!AH27</f>
        <v>8.3550913838120102E-3</v>
      </c>
      <c r="AD27" s="243">
        <f>スコア入力!AI27</f>
        <v>0.2</v>
      </c>
      <c r="AE27" s="6"/>
      <c r="AF27" s="427">
        <f>スコア入力!N27</f>
        <v>0</v>
      </c>
      <c r="AG27" s="427">
        <f>スコア入力!P27</f>
        <v>0</v>
      </c>
      <c r="AH27" s="591">
        <f>スコア入力!AC27</f>
        <v>0</v>
      </c>
      <c r="AI27" s="591">
        <f>スコア入力!AE27</f>
        <v>0</v>
      </c>
      <c r="AJ27" s="427">
        <f>スコア入力!U27</f>
        <v>0</v>
      </c>
      <c r="AK27" s="427">
        <f>スコア入力!W27</f>
        <v>0</v>
      </c>
      <c r="AL27" s="591">
        <f>スコア入力!AJ27</f>
        <v>0</v>
      </c>
      <c r="AM27" s="591">
        <f>スコア入力!AL27</f>
        <v>0</v>
      </c>
      <c r="AN27" s="586"/>
      <c r="AO27" s="586"/>
    </row>
    <row r="28" spans="2:41" ht="13.5" hidden="1">
      <c r="B28" s="295"/>
      <c r="C28" s="2309"/>
      <c r="D28" s="2009">
        <v>7</v>
      </c>
      <c r="E28" s="1985" t="s">
        <v>1676</v>
      </c>
      <c r="F28" s="327"/>
      <c r="G28" s="327"/>
      <c r="H28" s="2900"/>
      <c r="I28" s="2901"/>
      <c r="J28" s="2901"/>
      <c r="K28" s="2902"/>
      <c r="L28" s="596">
        <f t="shared" si="5"/>
        <v>0</v>
      </c>
      <c r="M28" s="596">
        <f t="shared" si="6"/>
        <v>0</v>
      </c>
      <c r="N28" s="591">
        <f>スコア入力!AC28</f>
        <v>0</v>
      </c>
      <c r="O28" s="591">
        <f>スコア入力!AE28</f>
        <v>0</v>
      </c>
      <c r="P28" s="596">
        <f t="shared" si="7"/>
        <v>0</v>
      </c>
      <c r="Q28" s="596">
        <f t="shared" si="8"/>
        <v>0</v>
      </c>
      <c r="R28" s="591">
        <f>スコア入力!AJ28</f>
        <v>0</v>
      </c>
      <c r="S28" s="591">
        <f>スコア入力!AL28</f>
        <v>0</v>
      </c>
      <c r="T28" s="586"/>
      <c r="U28" s="586"/>
      <c r="W28" s="244">
        <f t="shared" si="1"/>
        <v>0</v>
      </c>
      <c r="X28" s="244">
        <f t="shared" si="2"/>
        <v>0</v>
      </c>
      <c r="Y28" s="243">
        <f>スコア入力!AA28</f>
        <v>7.1801566579634477E-2</v>
      </c>
      <c r="Z28" s="243">
        <f>スコア入力!AB28</f>
        <v>0.1002906333743098</v>
      </c>
      <c r="AA28" s="244">
        <f t="shared" si="3"/>
        <v>0</v>
      </c>
      <c r="AB28" s="244">
        <f t="shared" si="4"/>
        <v>0</v>
      </c>
      <c r="AC28" s="243">
        <f>スコア入力!AH28</f>
        <v>0</v>
      </c>
      <c r="AD28" s="243">
        <f>スコア入力!AI28</f>
        <v>0</v>
      </c>
      <c r="AE28" s="6"/>
      <c r="AF28" s="427">
        <f>スコア入力!N28</f>
        <v>0</v>
      </c>
      <c r="AG28" s="427">
        <f>スコア入力!P28</f>
        <v>0</v>
      </c>
      <c r="AH28" s="591">
        <f>スコア入力!AC28</f>
        <v>0</v>
      </c>
      <c r="AI28" s="591">
        <f>スコア入力!AE28</f>
        <v>0</v>
      </c>
      <c r="AJ28" s="427">
        <f>スコア入力!U28</f>
        <v>0</v>
      </c>
      <c r="AK28" s="427">
        <f>スコア入力!W28</f>
        <v>0</v>
      </c>
      <c r="AL28" s="591">
        <f>スコア入力!AJ28</f>
        <v>0</v>
      </c>
      <c r="AM28" s="591">
        <f>スコア入力!AL28</f>
        <v>0</v>
      </c>
      <c r="AN28" s="586"/>
      <c r="AO28" s="586"/>
    </row>
    <row r="29" spans="2:41" ht="13.5" hidden="1">
      <c r="B29" s="295"/>
      <c r="C29" s="2309"/>
      <c r="D29" s="2009">
        <v>8</v>
      </c>
      <c r="E29" s="1985" t="s">
        <v>563</v>
      </c>
      <c r="F29" s="377"/>
      <c r="G29" s="377"/>
      <c r="H29" s="2900"/>
      <c r="I29" s="2901"/>
      <c r="J29" s="2901"/>
      <c r="K29" s="2902"/>
      <c r="L29" s="596">
        <f t="shared" si="5"/>
        <v>0</v>
      </c>
      <c r="M29" s="596">
        <f t="shared" si="6"/>
        <v>0</v>
      </c>
      <c r="N29" s="591">
        <f>スコア入力!AC29</f>
        <v>0</v>
      </c>
      <c r="O29" s="591">
        <f>スコア入力!AE29</f>
        <v>0</v>
      </c>
      <c r="P29" s="596">
        <f t="shared" si="7"/>
        <v>0</v>
      </c>
      <c r="Q29" s="596">
        <f t="shared" si="8"/>
        <v>0</v>
      </c>
      <c r="R29" s="591">
        <f>スコア入力!AJ29</f>
        <v>0</v>
      </c>
      <c r="S29" s="591">
        <f>スコア入力!AL29</f>
        <v>0</v>
      </c>
      <c r="T29" s="586"/>
      <c r="U29" s="586"/>
      <c r="W29" s="244">
        <f t="shared" si="1"/>
        <v>0</v>
      </c>
      <c r="X29" s="244">
        <f t="shared" si="2"/>
        <v>0</v>
      </c>
      <c r="Y29" s="243">
        <f>スコア入力!AA29</f>
        <v>2.6109660574412538E-2</v>
      </c>
      <c r="Z29" s="243">
        <f>スコア入力!AB29</f>
        <v>0</v>
      </c>
      <c r="AA29" s="244">
        <f t="shared" si="3"/>
        <v>0</v>
      </c>
      <c r="AB29" s="244">
        <f t="shared" si="4"/>
        <v>0</v>
      </c>
      <c r="AC29" s="243">
        <f>スコア入力!AH29</f>
        <v>0</v>
      </c>
      <c r="AD29" s="243">
        <f>スコア入力!AI29</f>
        <v>0</v>
      </c>
      <c r="AE29" s="6"/>
      <c r="AF29" s="427">
        <f>スコア入力!N29</f>
        <v>0</v>
      </c>
      <c r="AG29" s="427">
        <f>スコア入力!P29</f>
        <v>0</v>
      </c>
      <c r="AH29" s="591">
        <f>スコア入力!AC29</f>
        <v>0</v>
      </c>
      <c r="AI29" s="591">
        <f>スコア入力!AE29</f>
        <v>0</v>
      </c>
      <c r="AJ29" s="427">
        <f>スコア入力!U29</f>
        <v>0</v>
      </c>
      <c r="AK29" s="427">
        <f>スコア入力!W29</f>
        <v>0</v>
      </c>
      <c r="AL29" s="591">
        <f>スコア入力!AJ29</f>
        <v>0</v>
      </c>
      <c r="AM29" s="591">
        <f>スコア入力!AL29</f>
        <v>0</v>
      </c>
      <c r="AN29" s="586"/>
      <c r="AO29" s="586"/>
    </row>
    <row r="30" spans="2:41" ht="14.25" thickBot="1">
      <c r="B30" s="295"/>
      <c r="C30" s="323">
        <v>2.2000000000000002</v>
      </c>
      <c r="D30" s="324" t="s">
        <v>878</v>
      </c>
      <c r="E30" s="327"/>
      <c r="F30" s="327"/>
      <c r="G30" s="327"/>
      <c r="H30" s="2900"/>
      <c r="I30" s="2901"/>
      <c r="J30" s="2901"/>
      <c r="K30" s="2902"/>
      <c r="L30" s="464">
        <f t="shared" si="5"/>
        <v>3</v>
      </c>
      <c r="M30" s="465">
        <f t="shared" si="6"/>
        <v>3</v>
      </c>
      <c r="N30" s="591">
        <f>スコア入力!AC30</f>
        <v>0.19999999999999998</v>
      </c>
      <c r="O30" s="591">
        <f>スコア入力!AE30</f>
        <v>0.19830850573407369</v>
      </c>
      <c r="P30" s="593">
        <f t="shared" si="7"/>
        <v>0</v>
      </c>
      <c r="Q30" s="593">
        <f t="shared" si="8"/>
        <v>0</v>
      </c>
      <c r="R30" s="591">
        <f>スコア入力!AJ30</f>
        <v>0</v>
      </c>
      <c r="S30" s="591">
        <f>スコア入力!AL30</f>
        <v>0</v>
      </c>
      <c r="T30" s="586"/>
      <c r="U30" s="586"/>
      <c r="W30" s="244">
        <f t="shared" si="1"/>
        <v>3</v>
      </c>
      <c r="X30" s="244">
        <f t="shared" si="2"/>
        <v>3</v>
      </c>
      <c r="Y30" s="243">
        <f>スコア入力!AA30</f>
        <v>0.20000000000000004</v>
      </c>
      <c r="Z30" s="243">
        <f>スコア入力!AB30</f>
        <v>0.19830850573407369</v>
      </c>
      <c r="AA30" s="244">
        <f t="shared" si="3"/>
        <v>0</v>
      </c>
      <c r="AB30" s="244">
        <f t="shared" si="4"/>
        <v>0</v>
      </c>
      <c r="AC30" s="243">
        <f>スコア入力!AH30</f>
        <v>0</v>
      </c>
      <c r="AD30" s="243">
        <f>スコア入力!AI30</f>
        <v>0.95037220843672454</v>
      </c>
      <c r="AE30" s="6"/>
      <c r="AF30" s="594">
        <f>スコア入力!N30</f>
        <v>3</v>
      </c>
      <c r="AG30" s="594">
        <f>スコア入力!P30</f>
        <v>3</v>
      </c>
      <c r="AH30" s="591">
        <f>スコア入力!AC30</f>
        <v>0.19999999999999998</v>
      </c>
      <c r="AI30" s="591">
        <f>スコア入力!AE30</f>
        <v>0.19830850573407369</v>
      </c>
      <c r="AJ30" s="594">
        <f>スコア入力!U30</f>
        <v>0</v>
      </c>
      <c r="AK30" s="594">
        <f>スコア入力!W30</f>
        <v>0</v>
      </c>
      <c r="AL30" s="591">
        <f>スコア入力!AJ30</f>
        <v>0</v>
      </c>
      <c r="AM30" s="591">
        <f>スコア入力!AL30</f>
        <v>0</v>
      </c>
      <c r="AN30" s="586"/>
      <c r="AO30" s="586"/>
    </row>
    <row r="31" spans="2:41" ht="14.25" thickBot="1">
      <c r="B31" s="295"/>
      <c r="C31" s="315">
        <v>2.2999999999999998</v>
      </c>
      <c r="D31" s="324" t="s">
        <v>564</v>
      </c>
      <c r="E31" s="327"/>
      <c r="F31" s="327"/>
      <c r="G31" s="327"/>
      <c r="H31" s="2900"/>
      <c r="I31" s="2901"/>
      <c r="J31" s="2901"/>
      <c r="K31" s="2903"/>
      <c r="L31" s="595">
        <f t="shared" si="5"/>
        <v>3</v>
      </c>
      <c r="M31" s="604">
        <f t="shared" si="6"/>
        <v>3</v>
      </c>
      <c r="N31" s="585">
        <f>スコア入力!AC31</f>
        <v>0.29999999999999993</v>
      </c>
      <c r="O31" s="585">
        <f>スコア入力!AE31</f>
        <v>0.29746275860111043</v>
      </c>
      <c r="P31" s="604">
        <f t="shared" si="7"/>
        <v>0</v>
      </c>
      <c r="Q31" s="604">
        <f t="shared" si="8"/>
        <v>0</v>
      </c>
      <c r="R31" s="585">
        <f>スコア入力!AJ31</f>
        <v>0</v>
      </c>
      <c r="S31" s="585">
        <f>スコア入力!AL31</f>
        <v>0</v>
      </c>
      <c r="T31" s="586"/>
      <c r="U31" s="586"/>
      <c r="W31" s="605">
        <f t="shared" si="1"/>
        <v>3</v>
      </c>
      <c r="X31" s="605">
        <f t="shared" si="2"/>
        <v>3</v>
      </c>
      <c r="Y31" s="243">
        <f>スコア入力!AA31</f>
        <v>0.3</v>
      </c>
      <c r="Z31" s="243">
        <f>スコア入力!AB31</f>
        <v>0.29746275860111043</v>
      </c>
      <c r="AA31" s="605">
        <f t="shared" si="3"/>
        <v>0</v>
      </c>
      <c r="AB31" s="605">
        <f t="shared" si="4"/>
        <v>0</v>
      </c>
      <c r="AC31" s="243">
        <f>スコア入力!AH31</f>
        <v>0</v>
      </c>
      <c r="AD31" s="243">
        <f>スコア入力!AI31</f>
        <v>0</v>
      </c>
      <c r="AE31" s="6"/>
      <c r="AF31" s="604">
        <f>SUMPRODUCT(AF32:AF33,AH32:AH33)</f>
        <v>3</v>
      </c>
      <c r="AG31" s="604">
        <f>SUMPRODUCT(AG32:AG33,AI32:AI33)</f>
        <v>3</v>
      </c>
      <c r="AH31" s="591">
        <f>スコア入力!AC31</f>
        <v>0.29999999999999993</v>
      </c>
      <c r="AI31" s="591">
        <f>スコア入力!AE31</f>
        <v>0.29746275860111043</v>
      </c>
      <c r="AJ31" s="604">
        <f>SUMPRODUCT(AJ32:AJ33,AL32:AL33)</f>
        <v>0</v>
      </c>
      <c r="AK31" s="604">
        <f>SUMPRODUCT(AK32:AK33,AM32:AM33)</f>
        <v>0</v>
      </c>
      <c r="AL31" s="591">
        <f>スコア入力!AJ31</f>
        <v>0</v>
      </c>
      <c r="AM31" s="591">
        <f>スコア入力!AL31</f>
        <v>0</v>
      </c>
      <c r="AN31" s="586"/>
      <c r="AO31" s="586"/>
    </row>
    <row r="32" spans="2:41" ht="13.5">
      <c r="B32" s="295"/>
      <c r="C32" s="2310"/>
      <c r="D32" s="304">
        <v>1</v>
      </c>
      <c r="E32" s="324" t="s">
        <v>566</v>
      </c>
      <c r="F32" s="327"/>
      <c r="G32" s="327"/>
      <c r="H32" s="2900"/>
      <c r="I32" s="2901"/>
      <c r="J32" s="2901"/>
      <c r="K32" s="2902"/>
      <c r="L32" s="590">
        <f t="shared" si="5"/>
        <v>3</v>
      </c>
      <c r="M32" s="590">
        <f t="shared" si="6"/>
        <v>3</v>
      </c>
      <c r="N32" s="591">
        <f>スコア入力!AC32</f>
        <v>0.5</v>
      </c>
      <c r="O32" s="591">
        <f>スコア入力!AE32</f>
        <v>0.5</v>
      </c>
      <c r="P32" s="590">
        <f t="shared" si="7"/>
        <v>0</v>
      </c>
      <c r="Q32" s="590">
        <f t="shared" si="8"/>
        <v>0</v>
      </c>
      <c r="R32" s="591">
        <f>スコア入力!AJ32</f>
        <v>0</v>
      </c>
      <c r="S32" s="591">
        <f>スコア入力!AL32</f>
        <v>0</v>
      </c>
      <c r="T32" s="586"/>
      <c r="U32" s="586"/>
      <c r="W32" s="244">
        <f t="shared" si="1"/>
        <v>3</v>
      </c>
      <c r="X32" s="244">
        <f t="shared" si="2"/>
        <v>3</v>
      </c>
      <c r="Y32" s="243">
        <f>スコア入力!AA32</f>
        <v>0.50000000000000011</v>
      </c>
      <c r="Z32" s="243">
        <f>スコア入力!AB32</f>
        <v>0.5</v>
      </c>
      <c r="AA32" s="244">
        <f t="shared" si="3"/>
        <v>0</v>
      </c>
      <c r="AB32" s="244">
        <f t="shared" si="4"/>
        <v>0</v>
      </c>
      <c r="AC32" s="243">
        <f>スコア入力!AH32</f>
        <v>0</v>
      </c>
      <c r="AD32" s="243">
        <f>スコア入力!AI32</f>
        <v>0</v>
      </c>
      <c r="AE32" s="6"/>
      <c r="AF32" s="592">
        <f>スコア入力!N32</f>
        <v>3</v>
      </c>
      <c r="AG32" s="592">
        <f>スコア入力!P32</f>
        <v>3</v>
      </c>
      <c r="AH32" s="591">
        <f>スコア入力!AC32</f>
        <v>0.5</v>
      </c>
      <c r="AI32" s="591">
        <f>スコア入力!AE32</f>
        <v>0.5</v>
      </c>
      <c r="AJ32" s="592">
        <f>スコア入力!U32</f>
        <v>0</v>
      </c>
      <c r="AK32" s="592">
        <f>スコア入力!W32</f>
        <v>0</v>
      </c>
      <c r="AL32" s="591">
        <f>スコア入力!AJ32</f>
        <v>0</v>
      </c>
      <c r="AM32" s="591">
        <f>スコア入力!AL32</f>
        <v>0</v>
      </c>
      <c r="AN32" s="586"/>
      <c r="AO32" s="586"/>
    </row>
    <row r="33" spans="2:41" ht="14.25" thickBot="1">
      <c r="B33" s="2311"/>
      <c r="C33" s="2312"/>
      <c r="D33" s="304">
        <v>2</v>
      </c>
      <c r="E33" s="324" t="s">
        <v>569</v>
      </c>
      <c r="F33" s="327"/>
      <c r="G33" s="327"/>
      <c r="H33" s="2904"/>
      <c r="I33" s="2905"/>
      <c r="J33" s="2905"/>
      <c r="K33" s="2906"/>
      <c r="L33" s="593">
        <f t="shared" si="5"/>
        <v>3</v>
      </c>
      <c r="M33" s="593">
        <f t="shared" si="6"/>
        <v>3</v>
      </c>
      <c r="N33" s="591">
        <f>スコア入力!AC33</f>
        <v>0.5</v>
      </c>
      <c r="O33" s="591">
        <f>スコア入力!AE33</f>
        <v>0.5</v>
      </c>
      <c r="P33" s="593">
        <f t="shared" si="7"/>
        <v>0</v>
      </c>
      <c r="Q33" s="593">
        <f t="shared" si="8"/>
        <v>0</v>
      </c>
      <c r="R33" s="591">
        <f>スコア入力!AJ33</f>
        <v>0</v>
      </c>
      <c r="S33" s="591">
        <f>スコア入力!AL33</f>
        <v>0</v>
      </c>
      <c r="T33" s="586"/>
      <c r="U33" s="586"/>
      <c r="W33" s="244">
        <f t="shared" si="1"/>
        <v>3</v>
      </c>
      <c r="X33" s="244">
        <f t="shared" si="2"/>
        <v>3</v>
      </c>
      <c r="Y33" s="243">
        <f>スコア入力!AA33</f>
        <v>0.50000000000000011</v>
      </c>
      <c r="Z33" s="243">
        <f>スコア入力!AB33</f>
        <v>0.5</v>
      </c>
      <c r="AA33" s="244">
        <f t="shared" si="3"/>
        <v>0</v>
      </c>
      <c r="AB33" s="244">
        <f t="shared" si="4"/>
        <v>0</v>
      </c>
      <c r="AC33" s="243">
        <f>スコア入力!AH33</f>
        <v>0</v>
      </c>
      <c r="AD33" s="243">
        <f>スコア入力!AI33</f>
        <v>0</v>
      </c>
      <c r="AE33" s="6"/>
      <c r="AF33" s="594">
        <f>スコア入力!N33</f>
        <v>3</v>
      </c>
      <c r="AG33" s="594">
        <f>スコア入力!P33</f>
        <v>3</v>
      </c>
      <c r="AH33" s="591">
        <f>スコア入力!AC33</f>
        <v>0.5</v>
      </c>
      <c r="AI33" s="591">
        <f>スコア入力!AE33</f>
        <v>0.5</v>
      </c>
      <c r="AJ33" s="594">
        <f>スコア入力!U33</f>
        <v>0</v>
      </c>
      <c r="AK33" s="594">
        <f>スコア入力!W33</f>
        <v>0</v>
      </c>
      <c r="AL33" s="591">
        <f>スコア入力!AJ33</f>
        <v>0</v>
      </c>
      <c r="AM33" s="591">
        <f>スコア入力!AL33</f>
        <v>0</v>
      </c>
      <c r="AN33" s="586"/>
      <c r="AO33" s="586"/>
    </row>
    <row r="34" spans="2:41" ht="13.5">
      <c r="B34" s="395">
        <v>3</v>
      </c>
      <c r="C34" s="326" t="s">
        <v>572</v>
      </c>
      <c r="D34" s="396"/>
      <c r="E34" s="377"/>
      <c r="F34" s="584"/>
      <c r="G34" s="584"/>
      <c r="H34" s="2907"/>
      <c r="I34" s="2908"/>
      <c r="J34" s="2908"/>
      <c r="K34" s="2909"/>
      <c r="L34" s="600">
        <f t="shared" si="5"/>
        <v>3</v>
      </c>
      <c r="M34" s="600">
        <f t="shared" si="6"/>
        <v>3</v>
      </c>
      <c r="N34" s="599">
        <f>スコア入力!AC34</f>
        <v>0.25000000000000006</v>
      </c>
      <c r="O34" s="599">
        <f>スコア入力!AE34</f>
        <v>0.25025590457147923</v>
      </c>
      <c r="P34" s="600">
        <f t="shared" si="7"/>
        <v>3</v>
      </c>
      <c r="Q34" s="600">
        <f t="shared" si="8"/>
        <v>3</v>
      </c>
      <c r="R34" s="599"/>
      <c r="S34" s="599"/>
      <c r="T34" s="601">
        <f>ROUNDDOWN(AN34,1)</f>
        <v>3</v>
      </c>
      <c r="U34" s="601">
        <f>ROUNDDOWN(AO34,1)</f>
        <v>3</v>
      </c>
      <c r="W34" s="575">
        <f t="shared" si="1"/>
        <v>3</v>
      </c>
      <c r="X34" s="575">
        <f t="shared" si="2"/>
        <v>3</v>
      </c>
      <c r="Y34" s="243">
        <f>スコア入力!AA34</f>
        <v>0.25000000000000006</v>
      </c>
      <c r="Z34" s="243">
        <f>スコア入力!AB34</f>
        <v>0.25025590457147923</v>
      </c>
      <c r="AA34" s="575">
        <f t="shared" si="3"/>
        <v>3</v>
      </c>
      <c r="AB34" s="575">
        <f t="shared" si="4"/>
        <v>3</v>
      </c>
      <c r="AC34" s="243">
        <f>スコア入力!AH34</f>
        <v>1</v>
      </c>
      <c r="AD34" s="243">
        <f>スコア入力!AI34</f>
        <v>0.35738520696674958</v>
      </c>
      <c r="AE34" s="6"/>
      <c r="AF34" s="600">
        <f>AF35*AH35+AF39*AH39+AF43*AH43+AF46*AH46</f>
        <v>3</v>
      </c>
      <c r="AG34" s="600">
        <f>AG35*AI35+AG39*AI39+AG43*AI43+AG46*AI46</f>
        <v>3</v>
      </c>
      <c r="AH34" s="599">
        <f>スコア入力!AC34</f>
        <v>0.25000000000000006</v>
      </c>
      <c r="AI34" s="599">
        <f>スコア入力!AE34</f>
        <v>0.25025590457147923</v>
      </c>
      <c r="AJ34" s="600">
        <f>AJ35*AL35+AJ39*AL39+AJ43*AL43+AJ46*AL46</f>
        <v>3</v>
      </c>
      <c r="AK34" s="600">
        <f>AK35*AM35+AK39*AM39+AK43*AM43+AK46*AM46</f>
        <v>3</v>
      </c>
      <c r="AL34" s="599">
        <f>スコア入力!AJ34</f>
        <v>0.25</v>
      </c>
      <c r="AM34" s="599">
        <f>スコア入力!AL34</f>
        <v>0.64071370640713698</v>
      </c>
      <c r="AN34" s="601">
        <f>IF(AJ34=0,AF34,IF(AF34=0,AJ34,AF34*AH$6+AJ34*AL$6))</f>
        <v>3</v>
      </c>
      <c r="AO34" s="601">
        <f>IF(AK34=0,AG34,IF(AG34=0,AK34,AG34*AI$6+AK34*AM$6))</f>
        <v>3</v>
      </c>
    </row>
    <row r="35" spans="2:41" ht="14.25" thickBot="1">
      <c r="B35" s="295"/>
      <c r="C35" s="296">
        <v>3.1</v>
      </c>
      <c r="D35" s="333" t="s">
        <v>573</v>
      </c>
      <c r="E35" s="377"/>
      <c r="F35" s="377"/>
      <c r="G35" s="377"/>
      <c r="H35" s="2910"/>
      <c r="I35" s="2911"/>
      <c r="J35" s="2911"/>
      <c r="K35" s="2912"/>
      <c r="L35" s="606">
        <f t="shared" si="5"/>
        <v>3</v>
      </c>
      <c r="M35" s="587">
        <f t="shared" si="6"/>
        <v>3</v>
      </c>
      <c r="N35" s="603">
        <f>スコア入力!AC35</f>
        <v>0.48276762402088774</v>
      </c>
      <c r="O35" s="603">
        <f>スコア入力!AE35</f>
        <v>0.29848803557218639</v>
      </c>
      <c r="P35" s="587">
        <f t="shared" si="7"/>
        <v>3</v>
      </c>
      <c r="Q35" s="587">
        <f t="shared" si="8"/>
        <v>3</v>
      </c>
      <c r="R35" s="603">
        <f>スコア入力!AJ35</f>
        <v>0.3</v>
      </c>
      <c r="S35" s="603">
        <f>スコア入力!AL35</f>
        <v>1.518987341772152E-2</v>
      </c>
      <c r="T35" s="589"/>
      <c r="U35" s="589"/>
      <c r="W35" s="575">
        <f t="shared" si="1"/>
        <v>3</v>
      </c>
      <c r="X35" s="575">
        <f t="shared" si="2"/>
        <v>3</v>
      </c>
      <c r="Y35" s="243">
        <f>スコア入力!AA35</f>
        <v>0.48276762402088774</v>
      </c>
      <c r="Z35" s="243">
        <f>スコア入力!AB35</f>
        <v>0.29848803557218639</v>
      </c>
      <c r="AA35" s="575">
        <f t="shared" si="3"/>
        <v>3</v>
      </c>
      <c r="AB35" s="575">
        <f t="shared" si="4"/>
        <v>3</v>
      </c>
      <c r="AC35" s="243">
        <f>スコア入力!AH35</f>
        <v>6.2663185378590081E-3</v>
      </c>
      <c r="AD35" s="243">
        <f>スコア入力!AI35</f>
        <v>1.518987341772152E-2</v>
      </c>
      <c r="AE35" s="6"/>
      <c r="AF35" s="587">
        <f>SUMPRODUCT(AF36:AF38,AH36:AH38)</f>
        <v>3</v>
      </c>
      <c r="AG35" s="587">
        <f>SUMPRODUCT(AG36:AG38,AI36:AI38)</f>
        <v>3</v>
      </c>
      <c r="AH35" s="603">
        <f>スコア入力!AC35</f>
        <v>0.48276762402088774</v>
      </c>
      <c r="AI35" s="603">
        <f>スコア入力!AE35</f>
        <v>0.29848803557218639</v>
      </c>
      <c r="AJ35" s="587">
        <f>SUMPRODUCT(AJ36:AJ38,AL36:AL38)</f>
        <v>3</v>
      </c>
      <c r="AK35" s="587">
        <f>SUMPRODUCT(AK36:AK38,AM36:AM38)</f>
        <v>3</v>
      </c>
      <c r="AL35" s="603">
        <f>スコア入力!AJ35</f>
        <v>0.3</v>
      </c>
      <c r="AM35" s="603">
        <f>スコア入力!AL35</f>
        <v>1.518987341772152E-2</v>
      </c>
      <c r="AN35" s="589"/>
      <c r="AO35" s="589"/>
    </row>
    <row r="36" spans="2:41" ht="13.5">
      <c r="B36" s="295"/>
      <c r="C36" s="2309"/>
      <c r="D36" s="304">
        <v>1</v>
      </c>
      <c r="E36" s="324" t="s">
        <v>578</v>
      </c>
      <c r="F36" s="327"/>
      <c r="G36" s="327"/>
      <c r="H36" s="2900"/>
      <c r="I36" s="2901"/>
      <c r="J36" s="2901"/>
      <c r="K36" s="2902"/>
      <c r="L36" s="590">
        <f t="shared" si="5"/>
        <v>3</v>
      </c>
      <c r="M36" s="590">
        <f t="shared" si="6"/>
        <v>3</v>
      </c>
      <c r="N36" s="591">
        <f>スコア入力!AC36</f>
        <v>0.44334203655352478</v>
      </c>
      <c r="O36" s="591">
        <f>スコア入力!AE36</f>
        <v>0.6</v>
      </c>
      <c r="P36" s="590">
        <f t="shared" si="7"/>
        <v>3</v>
      </c>
      <c r="Q36" s="590">
        <f t="shared" si="8"/>
        <v>3</v>
      </c>
      <c r="R36" s="591">
        <f>スコア入力!AJ36</f>
        <v>0.5</v>
      </c>
      <c r="S36" s="591">
        <f>スコア入力!AL36</f>
        <v>0.5</v>
      </c>
      <c r="T36" s="586"/>
      <c r="U36" s="586"/>
      <c r="W36" s="244">
        <f t="shared" si="1"/>
        <v>3</v>
      </c>
      <c r="X36" s="244">
        <f t="shared" si="2"/>
        <v>3</v>
      </c>
      <c r="Y36" s="243">
        <f>スコア入力!AA36</f>
        <v>0.44334203655352478</v>
      </c>
      <c r="Z36" s="243">
        <f>スコア入力!AB36</f>
        <v>0.59999999999999987</v>
      </c>
      <c r="AA36" s="244">
        <f t="shared" si="3"/>
        <v>3</v>
      </c>
      <c r="AB36" s="244">
        <f t="shared" si="4"/>
        <v>3</v>
      </c>
      <c r="AC36" s="243">
        <f>スコア入力!AH36</f>
        <v>1.0443864229765013E-2</v>
      </c>
      <c r="AD36" s="243">
        <f>スコア入力!AI36</f>
        <v>0.5</v>
      </c>
      <c r="AE36" s="6"/>
      <c r="AF36" s="592">
        <f>スコア入力!N36</f>
        <v>3</v>
      </c>
      <c r="AG36" s="592">
        <f>スコア入力!P36</f>
        <v>3</v>
      </c>
      <c r="AH36" s="591">
        <f>スコア入力!AC36</f>
        <v>0.44334203655352478</v>
      </c>
      <c r="AI36" s="591">
        <f>スコア入力!AE36</f>
        <v>0.6</v>
      </c>
      <c r="AJ36" s="592">
        <f>スコア入力!U36</f>
        <v>3</v>
      </c>
      <c r="AK36" s="592">
        <f>スコア入力!W36</f>
        <v>3</v>
      </c>
      <c r="AL36" s="591">
        <f>スコア入力!AJ36</f>
        <v>0.5</v>
      </c>
      <c r="AM36" s="591">
        <f>スコア入力!AL36</f>
        <v>0.5</v>
      </c>
      <c r="AN36" s="586"/>
      <c r="AO36" s="586"/>
    </row>
    <row r="37" spans="2:41" ht="13.5">
      <c r="B37" s="295"/>
      <c r="C37" s="2309"/>
      <c r="D37" s="304">
        <v>2</v>
      </c>
      <c r="E37" s="324" t="s">
        <v>580</v>
      </c>
      <c r="F37" s="327"/>
      <c r="G37" s="327"/>
      <c r="H37" s="2900"/>
      <c r="I37" s="2901"/>
      <c r="J37" s="2901"/>
      <c r="K37" s="2902"/>
      <c r="L37" s="596">
        <f t="shared" si="5"/>
        <v>0</v>
      </c>
      <c r="M37" s="596">
        <f t="shared" si="6"/>
        <v>0</v>
      </c>
      <c r="N37" s="591">
        <f>スコア入力!AC37</f>
        <v>0</v>
      </c>
      <c r="O37" s="591">
        <f>スコア入力!AE37</f>
        <v>0</v>
      </c>
      <c r="P37" s="596">
        <f t="shared" si="7"/>
        <v>3</v>
      </c>
      <c r="Q37" s="596">
        <f t="shared" si="8"/>
        <v>3</v>
      </c>
      <c r="R37" s="591">
        <f>スコア入力!AJ37</f>
        <v>0.3</v>
      </c>
      <c r="S37" s="591">
        <f>スコア入力!AL37</f>
        <v>0.3</v>
      </c>
      <c r="T37" s="586"/>
      <c r="U37" s="586"/>
      <c r="W37" s="244">
        <f t="shared" si="1"/>
        <v>3</v>
      </c>
      <c r="X37" s="244">
        <f t="shared" si="2"/>
        <v>3</v>
      </c>
      <c r="Y37" s="243">
        <f>スコア入力!AA37</f>
        <v>0</v>
      </c>
      <c r="Z37" s="243">
        <f>スコア入力!AB37</f>
        <v>0</v>
      </c>
      <c r="AA37" s="244">
        <f t="shared" si="3"/>
        <v>3</v>
      </c>
      <c r="AB37" s="244">
        <f t="shared" si="4"/>
        <v>3</v>
      </c>
      <c r="AC37" s="243">
        <f>スコア入力!AH37</f>
        <v>6.2663185378590081E-3</v>
      </c>
      <c r="AD37" s="243">
        <f>スコア入力!AI37</f>
        <v>0.3</v>
      </c>
      <c r="AE37" s="6"/>
      <c r="AF37" s="427">
        <f>スコア入力!N37</f>
        <v>3</v>
      </c>
      <c r="AG37" s="427">
        <f>スコア入力!P37</f>
        <v>3</v>
      </c>
      <c r="AH37" s="591">
        <f>スコア入力!AC37</f>
        <v>0</v>
      </c>
      <c r="AI37" s="591">
        <f>スコア入力!AE37</f>
        <v>0</v>
      </c>
      <c r="AJ37" s="427">
        <f>スコア入力!U37</f>
        <v>3</v>
      </c>
      <c r="AK37" s="427">
        <f>スコア入力!W37</f>
        <v>3</v>
      </c>
      <c r="AL37" s="591">
        <f>スコア入力!AJ37</f>
        <v>0.3</v>
      </c>
      <c r="AM37" s="591">
        <f>スコア入力!AL37</f>
        <v>0.3</v>
      </c>
      <c r="AN37" s="586"/>
      <c r="AO37" s="586"/>
    </row>
    <row r="38" spans="2:41" ht="14.25" thickBot="1">
      <c r="B38" s="295"/>
      <c r="C38" s="2313"/>
      <c r="D38" s="304">
        <v>3</v>
      </c>
      <c r="E38" s="324" t="s">
        <v>582</v>
      </c>
      <c r="F38" s="327"/>
      <c r="G38" s="327"/>
      <c r="H38" s="2900"/>
      <c r="I38" s="2901"/>
      <c r="J38" s="2901"/>
      <c r="K38" s="2902"/>
      <c r="L38" s="593">
        <f t="shared" si="5"/>
        <v>3</v>
      </c>
      <c r="M38" s="593">
        <f t="shared" si="6"/>
        <v>3</v>
      </c>
      <c r="N38" s="591">
        <f>スコア入力!AC38</f>
        <v>0.55665796344647522</v>
      </c>
      <c r="O38" s="591">
        <f>スコア入力!AE38</f>
        <v>0.40000000000000008</v>
      </c>
      <c r="P38" s="593">
        <f t="shared" si="7"/>
        <v>3</v>
      </c>
      <c r="Q38" s="593">
        <f t="shared" si="8"/>
        <v>3</v>
      </c>
      <c r="R38" s="591">
        <f>スコア入力!AJ38</f>
        <v>0.19999999999999998</v>
      </c>
      <c r="S38" s="591">
        <f>スコア入力!AL38</f>
        <v>0.19999999999999998</v>
      </c>
      <c r="T38" s="586"/>
      <c r="U38" s="586"/>
      <c r="W38" s="244">
        <f t="shared" si="1"/>
        <v>3</v>
      </c>
      <c r="X38" s="244">
        <f t="shared" si="2"/>
        <v>3</v>
      </c>
      <c r="Y38" s="243">
        <f>スコア入力!AA38</f>
        <v>0.55665796344647522</v>
      </c>
      <c r="Z38" s="243">
        <f>スコア入力!AB38</f>
        <v>0.4</v>
      </c>
      <c r="AA38" s="244">
        <f t="shared" si="3"/>
        <v>3</v>
      </c>
      <c r="AB38" s="244">
        <f t="shared" si="4"/>
        <v>3</v>
      </c>
      <c r="AC38" s="243">
        <f>スコア入力!AH38</f>
        <v>4.1775456919060051E-3</v>
      </c>
      <c r="AD38" s="243">
        <f>スコア入力!AI38</f>
        <v>0.19999999999999998</v>
      </c>
      <c r="AE38" s="6"/>
      <c r="AF38" s="594">
        <f>スコア入力!N38</f>
        <v>3</v>
      </c>
      <c r="AG38" s="594">
        <f>スコア入力!P38</f>
        <v>3</v>
      </c>
      <c r="AH38" s="591">
        <f>スコア入力!AC38</f>
        <v>0.55665796344647522</v>
      </c>
      <c r="AI38" s="591">
        <f>スコア入力!AE38</f>
        <v>0.40000000000000008</v>
      </c>
      <c r="AJ38" s="594">
        <f>スコア入力!U38</f>
        <v>3</v>
      </c>
      <c r="AK38" s="594">
        <f>スコア入力!W38</f>
        <v>3</v>
      </c>
      <c r="AL38" s="591">
        <f>スコア入力!AJ38</f>
        <v>0.19999999999999998</v>
      </c>
      <c r="AM38" s="591">
        <f>スコア入力!AL38</f>
        <v>0.19999999999999998</v>
      </c>
      <c r="AN38" s="586"/>
      <c r="AO38" s="586"/>
    </row>
    <row r="39" spans="2:41" ht="14.25" thickBot="1">
      <c r="B39" s="338"/>
      <c r="C39" s="315">
        <v>3.2</v>
      </c>
      <c r="D39" s="297" t="s">
        <v>584</v>
      </c>
      <c r="E39" s="377"/>
      <c r="F39" s="377"/>
      <c r="G39" s="377"/>
      <c r="H39" s="2900"/>
      <c r="I39" s="2901"/>
      <c r="J39" s="2901"/>
      <c r="K39" s="2903"/>
      <c r="L39" s="595">
        <f t="shared" si="5"/>
        <v>3</v>
      </c>
      <c r="M39" s="604">
        <f t="shared" si="6"/>
        <v>3</v>
      </c>
      <c r="N39" s="585">
        <f>スコア入力!AC39</f>
        <v>0.22167101827676239</v>
      </c>
      <c r="O39" s="585">
        <f>スコア入力!AE39</f>
        <v>0.30352791699823189</v>
      </c>
      <c r="P39" s="604">
        <f t="shared" si="7"/>
        <v>3</v>
      </c>
      <c r="Q39" s="604">
        <f t="shared" si="8"/>
        <v>3</v>
      </c>
      <c r="R39" s="585">
        <f>スコア入力!AJ39</f>
        <v>0.3</v>
      </c>
      <c r="S39" s="585">
        <f>スコア入力!AL39</f>
        <v>1.518987341772152E-2</v>
      </c>
      <c r="T39" s="586"/>
      <c r="U39" s="586"/>
      <c r="W39" s="575">
        <f t="shared" si="1"/>
        <v>3</v>
      </c>
      <c r="X39" s="575">
        <f t="shared" si="2"/>
        <v>3</v>
      </c>
      <c r="Y39" s="243">
        <f>スコア入力!AA39</f>
        <v>0.22167101827676239</v>
      </c>
      <c r="Z39" s="243">
        <f>スコア入力!AB39</f>
        <v>0.30352791699823189</v>
      </c>
      <c r="AA39" s="575">
        <f t="shared" si="3"/>
        <v>3</v>
      </c>
      <c r="AB39" s="575">
        <f t="shared" si="4"/>
        <v>3</v>
      </c>
      <c r="AC39" s="243">
        <f>スコア入力!AH39</f>
        <v>6.2663185378590081E-3</v>
      </c>
      <c r="AD39" s="243">
        <f>スコア入力!AI39</f>
        <v>1.518987341772152E-2</v>
      </c>
      <c r="AE39" s="6"/>
      <c r="AF39" s="604">
        <f>SUMPRODUCT(AF40:AF42,AH40:AH42)</f>
        <v>3</v>
      </c>
      <c r="AG39" s="604">
        <f>SUMPRODUCT(AG40:AG42,AI40:AI42)</f>
        <v>3</v>
      </c>
      <c r="AH39" s="585">
        <f>スコア入力!AC39</f>
        <v>0.22167101827676239</v>
      </c>
      <c r="AI39" s="585">
        <f>スコア入力!AE39</f>
        <v>0.30352791699823189</v>
      </c>
      <c r="AJ39" s="604">
        <f>SUMPRODUCT(AJ40:AJ42,AL40:AL42)</f>
        <v>3</v>
      </c>
      <c r="AK39" s="604">
        <f>SUMPRODUCT(AK40:AK42,AM40:AM42)</f>
        <v>3</v>
      </c>
      <c r="AL39" s="585">
        <f>スコア入力!AJ39</f>
        <v>0.3</v>
      </c>
      <c r="AM39" s="585">
        <f>スコア入力!AL39</f>
        <v>1.518987341772152E-2</v>
      </c>
      <c r="AN39" s="586"/>
      <c r="AO39" s="586"/>
    </row>
    <row r="40" spans="2:41" ht="13.5" hidden="1">
      <c r="B40" s="338"/>
      <c r="C40" s="2309"/>
      <c r="D40" s="2009">
        <v>1</v>
      </c>
      <c r="E40" s="1985" t="s">
        <v>587</v>
      </c>
      <c r="F40" s="327"/>
      <c r="G40" s="327"/>
      <c r="H40" s="2900"/>
      <c r="I40" s="2901"/>
      <c r="J40" s="2901"/>
      <c r="K40" s="2902"/>
      <c r="L40" s="590">
        <f t="shared" ref="L40:M42" si="9">IF(Y40=0,0,ROUNDDOWN(AF40,1))</f>
        <v>0</v>
      </c>
      <c r="M40" s="590">
        <f t="shared" si="9"/>
        <v>0</v>
      </c>
      <c r="N40" s="591">
        <f>スコア入力!AC40</f>
        <v>0</v>
      </c>
      <c r="O40" s="591">
        <f>スコア入力!AE40</f>
        <v>0</v>
      </c>
      <c r="P40" s="590">
        <f t="shared" ref="P40:Q42" si="10">IF(AC40=0,0,ROUNDDOWN(AJ40,1))</f>
        <v>0</v>
      </c>
      <c r="Q40" s="590">
        <f t="shared" si="10"/>
        <v>0</v>
      </c>
      <c r="R40" s="591">
        <f>スコア入力!AJ40</f>
        <v>0</v>
      </c>
      <c r="S40" s="591">
        <f>スコア入力!AL40</f>
        <v>0</v>
      </c>
      <c r="T40" s="586"/>
      <c r="U40" s="586"/>
      <c r="W40" s="244">
        <f t="shared" si="1"/>
        <v>0</v>
      </c>
      <c r="X40" s="244">
        <f t="shared" si="2"/>
        <v>0</v>
      </c>
      <c r="Y40" s="243">
        <f>スコア入力!AA40</f>
        <v>0.29556135770234992</v>
      </c>
      <c r="Z40" s="243">
        <f>スコア入力!AB40</f>
        <v>0.40996260536932738</v>
      </c>
      <c r="AA40" s="244">
        <f t="shared" si="3"/>
        <v>0</v>
      </c>
      <c r="AB40" s="244">
        <f t="shared" si="4"/>
        <v>0</v>
      </c>
      <c r="AC40" s="243">
        <f>スコア入力!AH40</f>
        <v>8.3550913838120102E-3</v>
      </c>
      <c r="AD40" s="243">
        <f>スコア入力!AI40</f>
        <v>0.39999999999999997</v>
      </c>
      <c r="AE40" s="6"/>
      <c r="AF40" s="592">
        <f>スコア入力!N40</f>
        <v>0</v>
      </c>
      <c r="AG40" s="592">
        <f>スコア入力!P40</f>
        <v>0</v>
      </c>
      <c r="AH40" s="591">
        <f>スコア入力!AC40</f>
        <v>0</v>
      </c>
      <c r="AI40" s="591">
        <f>スコア入力!AE40</f>
        <v>0</v>
      </c>
      <c r="AJ40" s="592">
        <f>スコア入力!U40</f>
        <v>0</v>
      </c>
      <c r="AK40" s="592">
        <f>スコア入力!W40</f>
        <v>0</v>
      </c>
      <c r="AL40" s="591">
        <f>スコア入力!AJ40</f>
        <v>0</v>
      </c>
      <c r="AM40" s="591">
        <f>スコア入力!AL40</f>
        <v>0</v>
      </c>
      <c r="AN40" s="586"/>
      <c r="AO40" s="586"/>
    </row>
    <row r="41" spans="2:41" ht="13.5">
      <c r="B41" s="338"/>
      <c r="C41" s="2309"/>
      <c r="D41" s="304">
        <v>1</v>
      </c>
      <c r="E41" s="324" t="s">
        <v>589</v>
      </c>
      <c r="F41" s="327"/>
      <c r="G41" s="327"/>
      <c r="H41" s="2900"/>
      <c r="I41" s="2901"/>
      <c r="J41" s="2901"/>
      <c r="K41" s="2902"/>
      <c r="L41" s="590">
        <f t="shared" si="9"/>
        <v>3</v>
      </c>
      <c r="M41" s="590">
        <f t="shared" si="9"/>
        <v>3</v>
      </c>
      <c r="N41" s="591">
        <f>スコア入力!AC41</f>
        <v>1</v>
      </c>
      <c r="O41" s="591">
        <f>スコア入力!AE41</f>
        <v>1</v>
      </c>
      <c r="P41" s="590">
        <f t="shared" si="10"/>
        <v>3</v>
      </c>
      <c r="Q41" s="590">
        <f t="shared" si="10"/>
        <v>3</v>
      </c>
      <c r="R41" s="591">
        <f>スコア入力!AJ41</f>
        <v>1</v>
      </c>
      <c r="S41" s="591">
        <f>スコア入力!AL41</f>
        <v>1</v>
      </c>
      <c r="T41" s="586"/>
      <c r="U41" s="586"/>
      <c r="W41" s="244">
        <f t="shared" ref="W41:W60" si="11">AF41</f>
        <v>3</v>
      </c>
      <c r="X41" s="244">
        <f t="shared" ref="X41:X60" si="12">AG41</f>
        <v>3</v>
      </c>
      <c r="Y41" s="243">
        <f>スコア入力!AA41</f>
        <v>0.44334203655352478</v>
      </c>
      <c r="Z41" s="243">
        <f>スコア入力!AB41</f>
        <v>0.59003739463067262</v>
      </c>
      <c r="AA41" s="244">
        <f t="shared" ref="AA41:AA73" si="13">AJ41</f>
        <v>3</v>
      </c>
      <c r="AB41" s="244">
        <f t="shared" ref="AB41:AB73" si="14">AK41</f>
        <v>3</v>
      </c>
      <c r="AC41" s="243">
        <f>スコア入力!AH41</f>
        <v>1.2532637075718016E-2</v>
      </c>
      <c r="AD41" s="243">
        <f>スコア入力!AI41</f>
        <v>0.6</v>
      </c>
      <c r="AE41" s="6"/>
      <c r="AF41" s="427">
        <f>スコア入力!N41</f>
        <v>3</v>
      </c>
      <c r="AG41" s="427">
        <f>スコア入力!P41</f>
        <v>3</v>
      </c>
      <c r="AH41" s="591">
        <f>スコア入力!AC41</f>
        <v>1</v>
      </c>
      <c r="AI41" s="591">
        <f>スコア入力!AE41</f>
        <v>1</v>
      </c>
      <c r="AJ41" s="427">
        <f>スコア入力!U41</f>
        <v>3</v>
      </c>
      <c r="AK41" s="427">
        <f>スコア入力!W41</f>
        <v>3</v>
      </c>
      <c r="AL41" s="591">
        <f>スコア入力!AJ41</f>
        <v>1</v>
      </c>
      <c r="AM41" s="591">
        <f>スコア入力!AL41</f>
        <v>1</v>
      </c>
      <c r="AN41" s="586"/>
      <c r="AO41" s="586"/>
    </row>
    <row r="42" spans="2:41" ht="14.25" thickBot="1">
      <c r="B42" s="338"/>
      <c r="C42" s="2313"/>
      <c r="D42" s="304">
        <v>2</v>
      </c>
      <c r="E42" s="324" t="s">
        <v>787</v>
      </c>
      <c r="F42" s="377"/>
      <c r="G42" s="377"/>
      <c r="H42" s="2900"/>
      <c r="I42" s="2901"/>
      <c r="J42" s="2901"/>
      <c r="K42" s="2902"/>
      <c r="L42" s="596">
        <f t="shared" si="9"/>
        <v>0</v>
      </c>
      <c r="M42" s="596">
        <f t="shared" si="9"/>
        <v>0</v>
      </c>
      <c r="N42" s="591">
        <f>スコア入力!AC42</f>
        <v>0</v>
      </c>
      <c r="O42" s="591">
        <f>スコア入力!AE42</f>
        <v>0</v>
      </c>
      <c r="P42" s="596">
        <f t="shared" si="10"/>
        <v>0</v>
      </c>
      <c r="Q42" s="596">
        <f t="shared" si="10"/>
        <v>0</v>
      </c>
      <c r="R42" s="591">
        <f>スコア入力!AJ42</f>
        <v>0</v>
      </c>
      <c r="S42" s="591">
        <f>スコア入力!AL42</f>
        <v>0</v>
      </c>
      <c r="T42" s="586"/>
      <c r="U42" s="586"/>
      <c r="W42" s="244">
        <f>AF42</f>
        <v>3</v>
      </c>
      <c r="X42" s="244">
        <f>AG42</f>
        <v>3</v>
      </c>
      <c r="Y42" s="243">
        <f>スコア入力!AA42</f>
        <v>0</v>
      </c>
      <c r="Z42" s="243">
        <f>スコア入力!AB42</f>
        <v>0</v>
      </c>
      <c r="AA42" s="244">
        <f>AJ42</f>
        <v>3</v>
      </c>
      <c r="AB42" s="244">
        <f>AK42</f>
        <v>3</v>
      </c>
      <c r="AC42" s="243">
        <f>スコア入力!AH42</f>
        <v>0</v>
      </c>
      <c r="AD42" s="243">
        <f>スコア入力!AI42</f>
        <v>0</v>
      </c>
      <c r="AE42" s="6"/>
      <c r="AF42" s="594">
        <f>スコア入力!N42</f>
        <v>3</v>
      </c>
      <c r="AG42" s="594">
        <f>スコア入力!P42</f>
        <v>3</v>
      </c>
      <c r="AH42" s="591">
        <f>スコア入力!AC42</f>
        <v>0</v>
      </c>
      <c r="AI42" s="591">
        <f>スコア入力!AE42</f>
        <v>0</v>
      </c>
      <c r="AJ42" s="594">
        <f>スコア入力!U42</f>
        <v>3</v>
      </c>
      <c r="AK42" s="594">
        <f>スコア入力!W42</f>
        <v>3</v>
      </c>
      <c r="AL42" s="591">
        <f>スコア入力!AJ42</f>
        <v>0</v>
      </c>
      <c r="AM42" s="591">
        <f>スコア入力!AL42</f>
        <v>0</v>
      </c>
      <c r="AN42" s="586"/>
      <c r="AO42" s="586"/>
    </row>
    <row r="43" spans="2:41" ht="14.25" thickBot="1">
      <c r="B43" s="347"/>
      <c r="C43" s="296">
        <v>3.3</v>
      </c>
      <c r="D43" s="333" t="s">
        <v>590</v>
      </c>
      <c r="E43" s="333"/>
      <c r="F43" s="333"/>
      <c r="G43" s="333"/>
      <c r="H43" s="2900"/>
      <c r="I43" s="2901"/>
      <c r="J43" s="2901"/>
      <c r="K43" s="2903"/>
      <c r="L43" s="464">
        <f t="shared" ref="L43:L60" si="15">IF(Y43=0,0,ROUNDDOWN(AF43,1))</f>
        <v>3</v>
      </c>
      <c r="M43" s="464">
        <f t="shared" ref="M43:M60" si="16">IF(Z43=0,0,ROUNDDOWN(AG43,1))</f>
        <v>3</v>
      </c>
      <c r="N43" s="591">
        <f>スコア入力!AC43</f>
        <v>0.11083550913838119</v>
      </c>
      <c r="O43" s="591">
        <f>スコア入力!AE43</f>
        <v>0.14924401778609317</v>
      </c>
      <c r="P43" s="464">
        <f t="shared" ref="P43:P60" si="17">IF(AC43=0,0,ROUNDDOWN(AJ43,1))</f>
        <v>3</v>
      </c>
      <c r="Q43" s="464">
        <f t="shared" ref="Q43:Q60" si="18">IF(AD43=0,0,ROUNDDOWN(AK43,1))</f>
        <v>3</v>
      </c>
      <c r="R43" s="591">
        <f>スコア入力!AJ43</f>
        <v>0.15</v>
      </c>
      <c r="S43" s="591">
        <f>スコア入力!AL43</f>
        <v>0.36360759493670886</v>
      </c>
      <c r="T43" s="586"/>
      <c r="U43" s="586"/>
      <c r="W43" s="244">
        <f>AF43</f>
        <v>3</v>
      </c>
      <c r="X43" s="244">
        <f>AG43</f>
        <v>3</v>
      </c>
      <c r="Y43" s="243">
        <f>スコア入力!AA43</f>
        <v>0.11083550913838119</v>
      </c>
      <c r="Z43" s="243">
        <f>スコア入力!AB43</f>
        <v>0.14924401778609317</v>
      </c>
      <c r="AA43" s="244">
        <f>AJ43</f>
        <v>3</v>
      </c>
      <c r="AB43" s="244">
        <f>AK43</f>
        <v>3</v>
      </c>
      <c r="AC43" s="243">
        <f>スコア入力!AH43</f>
        <v>3.133159268929504E-3</v>
      </c>
      <c r="AD43" s="243">
        <f>スコア入力!AI43</f>
        <v>0.36360759493670886</v>
      </c>
      <c r="AE43" s="6"/>
      <c r="AF43" s="607">
        <f>スコア入力!N43</f>
        <v>3</v>
      </c>
      <c r="AG43" s="607">
        <f>スコア入力!P43</f>
        <v>3</v>
      </c>
      <c r="AH43" s="591">
        <f>スコア入力!AC43</f>
        <v>0.11083550913838119</v>
      </c>
      <c r="AI43" s="591">
        <f>スコア入力!AE43</f>
        <v>0.14924401778609317</v>
      </c>
      <c r="AJ43" s="607">
        <f>スコア入力!U43</f>
        <v>3</v>
      </c>
      <c r="AK43" s="607">
        <f>スコア入力!W43</f>
        <v>3</v>
      </c>
      <c r="AL43" s="591">
        <f>スコア入力!AJ43</f>
        <v>0.15</v>
      </c>
      <c r="AM43" s="591">
        <f>スコア入力!AL43</f>
        <v>0.36360759493670886</v>
      </c>
      <c r="AN43" s="586"/>
      <c r="AO43" s="586"/>
    </row>
    <row r="44" spans="2:41" ht="14.25" hidden="1" thickBot="1">
      <c r="B44" s="347"/>
      <c r="C44" s="2314"/>
      <c r="D44" s="2009">
        <v>1</v>
      </c>
      <c r="E44" s="1985" t="s">
        <v>1677</v>
      </c>
      <c r="F44" s="327"/>
      <c r="G44" s="327"/>
      <c r="H44" s="2900"/>
      <c r="I44" s="2901"/>
      <c r="J44" s="2901"/>
      <c r="K44" s="2902"/>
      <c r="L44" s="593">
        <f t="shared" si="15"/>
        <v>0</v>
      </c>
      <c r="M44" s="593">
        <f t="shared" si="16"/>
        <v>0</v>
      </c>
      <c r="N44" s="591">
        <f>スコア入力!AC44</f>
        <v>0</v>
      </c>
      <c r="O44" s="591">
        <f>スコア入力!AE44</f>
        <v>0</v>
      </c>
      <c r="P44" s="593">
        <f t="shared" si="17"/>
        <v>0</v>
      </c>
      <c r="Q44" s="593">
        <f t="shared" si="18"/>
        <v>0</v>
      </c>
      <c r="R44" s="591">
        <f>スコア入力!AJ44</f>
        <v>0</v>
      </c>
      <c r="S44" s="591">
        <f>スコア入力!AL44</f>
        <v>0</v>
      </c>
      <c r="T44" s="586"/>
      <c r="U44" s="586"/>
      <c r="W44" s="244">
        <f t="shared" si="11"/>
        <v>0</v>
      </c>
      <c r="X44" s="244">
        <f t="shared" si="12"/>
        <v>0</v>
      </c>
      <c r="Y44" s="243">
        <f>スコア入力!AA44</f>
        <v>0</v>
      </c>
      <c r="Z44" s="243">
        <f>スコア入力!AB44</f>
        <v>0</v>
      </c>
      <c r="AA44" s="244">
        <f t="shared" si="13"/>
        <v>0</v>
      </c>
      <c r="AB44" s="244">
        <f t="shared" si="14"/>
        <v>0</v>
      </c>
      <c r="AC44" s="243">
        <f>スコア入力!AH44</f>
        <v>0</v>
      </c>
      <c r="AD44" s="243">
        <f>スコア入力!AI44</f>
        <v>0</v>
      </c>
      <c r="AE44" s="6"/>
      <c r="AF44" s="592">
        <f>スコア入力!N44</f>
        <v>0</v>
      </c>
      <c r="AG44" s="592">
        <f>スコア入力!P44</f>
        <v>0</v>
      </c>
      <c r="AH44" s="591">
        <f>スコア入力!AC44</f>
        <v>0</v>
      </c>
      <c r="AI44" s="591">
        <f>スコア入力!AE44</f>
        <v>0</v>
      </c>
      <c r="AJ44" s="592">
        <f>スコア入力!U44</f>
        <v>0</v>
      </c>
      <c r="AK44" s="592">
        <f>スコア入力!W44</f>
        <v>0</v>
      </c>
      <c r="AL44" s="591">
        <f>スコア入力!AJ44</f>
        <v>0</v>
      </c>
      <c r="AM44" s="591">
        <f>スコア入力!AL44</f>
        <v>0</v>
      </c>
      <c r="AN44" s="586"/>
      <c r="AO44" s="586"/>
    </row>
    <row r="45" spans="2:41" ht="13.5" hidden="1">
      <c r="B45" s="347"/>
      <c r="C45" s="2315"/>
      <c r="D45" s="2009">
        <v>2</v>
      </c>
      <c r="E45" s="1985" t="s">
        <v>1678</v>
      </c>
      <c r="F45" s="327"/>
      <c r="G45" s="327"/>
      <c r="H45" s="2900"/>
      <c r="I45" s="2901"/>
      <c r="J45" s="2901"/>
      <c r="K45" s="2902"/>
      <c r="L45" s="596">
        <f t="shared" si="15"/>
        <v>0</v>
      </c>
      <c r="M45" s="596">
        <f t="shared" si="16"/>
        <v>0</v>
      </c>
      <c r="N45" s="591">
        <f>スコア入力!AC45</f>
        <v>0</v>
      </c>
      <c r="O45" s="591">
        <f>スコア入力!AE45</f>
        <v>0</v>
      </c>
      <c r="P45" s="596">
        <f t="shared" si="17"/>
        <v>0</v>
      </c>
      <c r="Q45" s="596">
        <f t="shared" si="18"/>
        <v>0</v>
      </c>
      <c r="R45" s="591">
        <f>スコア入力!AJ45</f>
        <v>0</v>
      </c>
      <c r="S45" s="591">
        <f>スコア入力!AL45</f>
        <v>0</v>
      </c>
      <c r="T45" s="586"/>
      <c r="U45" s="586"/>
      <c r="W45" s="244">
        <f t="shared" si="11"/>
        <v>0</v>
      </c>
      <c r="X45" s="244">
        <f t="shared" si="12"/>
        <v>0</v>
      </c>
      <c r="Y45" s="243">
        <f>スコア入力!AA45</f>
        <v>0</v>
      </c>
      <c r="Z45" s="243">
        <f>スコア入力!AB45</f>
        <v>0</v>
      </c>
      <c r="AA45" s="244">
        <f t="shared" si="13"/>
        <v>0</v>
      </c>
      <c r="AB45" s="244">
        <f t="shared" si="14"/>
        <v>0</v>
      </c>
      <c r="AC45" s="243">
        <f>スコア入力!AH45</f>
        <v>0</v>
      </c>
      <c r="AD45" s="243">
        <f>スコア入力!AI45</f>
        <v>0</v>
      </c>
      <c r="AE45" s="6"/>
      <c r="AF45" s="427">
        <f>スコア入力!N45</f>
        <v>0</v>
      </c>
      <c r="AG45" s="427">
        <f>スコア入力!P45</f>
        <v>0</v>
      </c>
      <c r="AH45" s="591">
        <f>スコア入力!AC45</f>
        <v>0</v>
      </c>
      <c r="AI45" s="591">
        <f>スコア入力!AE45</f>
        <v>0</v>
      </c>
      <c r="AJ45" s="427">
        <f>スコア入力!U45</f>
        <v>0</v>
      </c>
      <c r="AK45" s="427">
        <f>スコア入力!W45</f>
        <v>0</v>
      </c>
      <c r="AL45" s="591">
        <f>スコア入力!AJ45</f>
        <v>0</v>
      </c>
      <c r="AM45" s="591">
        <f>スコア入力!AL45</f>
        <v>0</v>
      </c>
      <c r="AN45" s="586"/>
      <c r="AO45" s="586"/>
    </row>
    <row r="46" spans="2:41" ht="14.25" thickBot="1">
      <c r="B46" s="351"/>
      <c r="C46" s="323">
        <v>3.4</v>
      </c>
      <c r="D46" s="2948" t="s">
        <v>591</v>
      </c>
      <c r="E46" s="2949"/>
      <c r="F46" s="327"/>
      <c r="G46" s="327"/>
      <c r="H46" s="2904"/>
      <c r="I46" s="2905"/>
      <c r="J46" s="2905"/>
      <c r="K46" s="2906"/>
      <c r="L46" s="465">
        <f t="shared" si="15"/>
        <v>3</v>
      </c>
      <c r="M46" s="465">
        <f t="shared" si="16"/>
        <v>3</v>
      </c>
      <c r="N46" s="591">
        <f>スコア入力!AC46</f>
        <v>0.18472584856396868</v>
      </c>
      <c r="O46" s="591">
        <f>スコア入力!AE46</f>
        <v>0.24874002964348862</v>
      </c>
      <c r="P46" s="465">
        <f t="shared" si="17"/>
        <v>3</v>
      </c>
      <c r="Q46" s="465">
        <f t="shared" si="18"/>
        <v>3</v>
      </c>
      <c r="R46" s="591">
        <f>スコア入力!AJ46</f>
        <v>0.25</v>
      </c>
      <c r="S46" s="591">
        <f>スコア入力!AL46</f>
        <v>0.60601265822784811</v>
      </c>
      <c r="T46" s="586"/>
      <c r="U46" s="586"/>
      <c r="W46" s="244">
        <f>AF46</f>
        <v>3</v>
      </c>
      <c r="X46" s="244">
        <f t="shared" si="12"/>
        <v>3</v>
      </c>
      <c r="Y46" s="243">
        <f>スコア入力!AA46</f>
        <v>0.18472584856396868</v>
      </c>
      <c r="Z46" s="243">
        <f>スコア入力!AB46</f>
        <v>0.24874002964348862</v>
      </c>
      <c r="AA46" s="244">
        <f t="shared" si="13"/>
        <v>3</v>
      </c>
      <c r="AB46" s="244">
        <f t="shared" si="14"/>
        <v>3</v>
      </c>
      <c r="AC46" s="243">
        <f>スコア入力!AH46</f>
        <v>5.2219321148825066E-3</v>
      </c>
      <c r="AD46" s="243">
        <f>スコア入力!AI46</f>
        <v>0.60601265822784811</v>
      </c>
      <c r="AE46" s="6"/>
      <c r="AF46" s="607">
        <f>スコア入力!N46</f>
        <v>3</v>
      </c>
      <c r="AG46" s="607">
        <f>スコア入力!P46</f>
        <v>3</v>
      </c>
      <c r="AH46" s="591">
        <f>スコア入力!AC46</f>
        <v>0.18472584856396868</v>
      </c>
      <c r="AI46" s="591">
        <f>スコア入力!AE46</f>
        <v>0.24874002964348862</v>
      </c>
      <c r="AJ46" s="607">
        <f>スコア入力!U46</f>
        <v>3</v>
      </c>
      <c r="AK46" s="607">
        <f>スコア入力!W46</f>
        <v>3</v>
      </c>
      <c r="AL46" s="591">
        <f>スコア入力!AJ46</f>
        <v>0.25</v>
      </c>
      <c r="AM46" s="591">
        <f>スコア入力!AL46</f>
        <v>0.60601265822784811</v>
      </c>
      <c r="AN46" s="586"/>
      <c r="AO46" s="586"/>
    </row>
    <row r="47" spans="2:41" ht="13.5">
      <c r="B47" s="395">
        <v>4</v>
      </c>
      <c r="C47" s="326" t="s">
        <v>592</v>
      </c>
      <c r="D47" s="396"/>
      <c r="E47" s="377"/>
      <c r="F47" s="584"/>
      <c r="G47" s="584"/>
      <c r="H47" s="2907"/>
      <c r="I47" s="2908"/>
      <c r="J47" s="2908"/>
      <c r="K47" s="2909"/>
      <c r="L47" s="600">
        <f t="shared" si="15"/>
        <v>3</v>
      </c>
      <c r="M47" s="600">
        <f t="shared" si="16"/>
        <v>3</v>
      </c>
      <c r="N47" s="599">
        <f>スコア入力!AC47</f>
        <v>0.25000000000000006</v>
      </c>
      <c r="O47" s="599">
        <f>スコア入力!AE47</f>
        <v>0.24923228628556227</v>
      </c>
      <c r="P47" s="600">
        <f t="shared" si="17"/>
        <v>3</v>
      </c>
      <c r="Q47" s="600">
        <f t="shared" si="18"/>
        <v>3</v>
      </c>
      <c r="R47" s="599"/>
      <c r="S47" s="599"/>
      <c r="T47" s="601">
        <f>ROUNDDOWN(AN47,1)</f>
        <v>3</v>
      </c>
      <c r="U47" s="601">
        <f>ROUNDDOWN(AO47,1)</f>
        <v>3</v>
      </c>
      <c r="W47" s="575">
        <f t="shared" si="11"/>
        <v>3</v>
      </c>
      <c r="X47" s="575">
        <f t="shared" si="12"/>
        <v>3</v>
      </c>
      <c r="Y47" s="243">
        <f>スコア入力!AA47</f>
        <v>0.25000000000000006</v>
      </c>
      <c r="Z47" s="243">
        <f>スコア入力!AB47</f>
        <v>0.24923228628556227</v>
      </c>
      <c r="AA47" s="575">
        <f t="shared" si="13"/>
        <v>3</v>
      </c>
      <c r="AB47" s="575">
        <f t="shared" si="14"/>
        <v>3</v>
      </c>
      <c r="AC47" s="243">
        <f>スコア入力!AH47</f>
        <v>1</v>
      </c>
      <c r="AD47" s="243">
        <f>スコア入力!AI47</f>
        <v>1.8095453517303781E-2</v>
      </c>
      <c r="AE47" s="6"/>
      <c r="AF47" s="600">
        <f>AF48*AH48+AF53*AH53+AF58*AH58</f>
        <v>3</v>
      </c>
      <c r="AG47" s="600">
        <f>AG48*AI48+AG53*AI53+AG58*AI58</f>
        <v>3</v>
      </c>
      <c r="AH47" s="599">
        <f>スコア入力!AC47</f>
        <v>0.25000000000000006</v>
      </c>
      <c r="AI47" s="599">
        <f>スコア入力!AE47</f>
        <v>0.24923228628556227</v>
      </c>
      <c r="AJ47" s="600">
        <f>AJ48*AL48+AJ53*AL53+AJ58*AL58</f>
        <v>3</v>
      </c>
      <c r="AK47" s="600">
        <f>AK48*AM48+AK53*AM53+AK58*AM58</f>
        <v>3</v>
      </c>
      <c r="AL47" s="599">
        <f>スコア入力!AJ47</f>
        <v>0.25</v>
      </c>
      <c r="AM47" s="599">
        <f>スコア入力!AL47</f>
        <v>3.2441200324412008E-2</v>
      </c>
      <c r="AN47" s="601">
        <f>IF(AJ47=0,AF47,IF(AF47=0,AJ47,AF47*AH$6+AJ47*AL$6))</f>
        <v>3</v>
      </c>
      <c r="AO47" s="601">
        <f>IF(AK47=0,AG47,IF(AG47=0,AK47,AG47*AI$6+AK47*AM$6))</f>
        <v>3</v>
      </c>
    </row>
    <row r="48" spans="2:41" ht="14.25" thickBot="1">
      <c r="B48" s="295"/>
      <c r="C48" s="296">
        <v>4.0999999999999996</v>
      </c>
      <c r="D48" s="333" t="s">
        <v>593</v>
      </c>
      <c r="E48" s="333"/>
      <c r="F48" s="333"/>
      <c r="G48" s="333"/>
      <c r="H48" s="2910"/>
      <c r="I48" s="2911"/>
      <c r="J48" s="2911"/>
      <c r="K48" s="2912"/>
      <c r="L48" s="606">
        <f t="shared" si="15"/>
        <v>3</v>
      </c>
      <c r="M48" s="604">
        <f t="shared" si="16"/>
        <v>3</v>
      </c>
      <c r="N48" s="585">
        <f>スコア入力!AC48</f>
        <v>0.5020887728459531</v>
      </c>
      <c r="O48" s="585">
        <f>スコア入力!AE48</f>
        <v>0.46355971842597543</v>
      </c>
      <c r="P48" s="587">
        <f t="shared" si="17"/>
        <v>3</v>
      </c>
      <c r="Q48" s="604">
        <f t="shared" si="18"/>
        <v>3</v>
      </c>
      <c r="R48" s="585">
        <f>スコア入力!AJ48</f>
        <v>0.625</v>
      </c>
      <c r="S48" s="585">
        <f>スコア入力!AL48</f>
        <v>0.625</v>
      </c>
      <c r="T48" s="586"/>
      <c r="U48" s="586"/>
      <c r="W48" s="575">
        <f t="shared" si="11"/>
        <v>3</v>
      </c>
      <c r="X48" s="575">
        <f t="shared" si="12"/>
        <v>3</v>
      </c>
      <c r="Y48" s="243">
        <f>スコア入力!AA48</f>
        <v>0.5020887728459531</v>
      </c>
      <c r="Z48" s="243">
        <f>スコア入力!AB48</f>
        <v>0.46355971842597538</v>
      </c>
      <c r="AA48" s="575">
        <f t="shared" si="13"/>
        <v>3</v>
      </c>
      <c r="AB48" s="575">
        <f t="shared" si="14"/>
        <v>3</v>
      </c>
      <c r="AC48" s="243">
        <f>スコア入力!AH48</f>
        <v>1.3054830287206266E-2</v>
      </c>
      <c r="AD48" s="243">
        <f>スコア入力!AI48</f>
        <v>0.62499999999999989</v>
      </c>
      <c r="AE48" s="6"/>
      <c r="AF48" s="604">
        <f>SUMPRODUCT(AF49:AF52,AH49:AH52)</f>
        <v>3</v>
      </c>
      <c r="AG48" s="604">
        <f>SUMPRODUCT(AG49:AG52,AI49:AI52)</f>
        <v>3</v>
      </c>
      <c r="AH48" s="585">
        <f>スコア入力!AC48</f>
        <v>0.5020887728459531</v>
      </c>
      <c r="AI48" s="585">
        <f>スコア入力!AE48</f>
        <v>0.46355971842597543</v>
      </c>
      <c r="AJ48" s="604">
        <f>SUMPRODUCT(AJ49:AJ52,AL49:AL52)</f>
        <v>3</v>
      </c>
      <c r="AK48" s="604">
        <f>SUMPRODUCT(AK49:AK52,AM49:AM52)</f>
        <v>3</v>
      </c>
      <c r="AL48" s="585">
        <f>スコア入力!AJ48</f>
        <v>0.625</v>
      </c>
      <c r="AM48" s="585">
        <f>スコア入力!AL48</f>
        <v>0.625</v>
      </c>
      <c r="AN48" s="586"/>
      <c r="AO48" s="586"/>
    </row>
    <row r="49" spans="2:41" ht="13.5">
      <c r="B49" s="295"/>
      <c r="C49" s="2309"/>
      <c r="D49" s="304">
        <v>1</v>
      </c>
      <c r="E49" s="324" t="s">
        <v>596</v>
      </c>
      <c r="F49" s="327"/>
      <c r="G49" s="327"/>
      <c r="H49" s="2900"/>
      <c r="I49" s="2901"/>
      <c r="J49" s="2901"/>
      <c r="K49" s="2902"/>
      <c r="L49" s="590">
        <f t="shared" si="15"/>
        <v>3</v>
      </c>
      <c r="M49" s="590">
        <f t="shared" si="16"/>
        <v>3</v>
      </c>
      <c r="N49" s="591">
        <f>スコア入力!AC49</f>
        <v>0.5</v>
      </c>
      <c r="O49" s="591">
        <f>スコア入力!AE49</f>
        <v>1</v>
      </c>
      <c r="P49" s="590">
        <f t="shared" si="17"/>
        <v>3</v>
      </c>
      <c r="Q49" s="590">
        <f t="shared" si="18"/>
        <v>3</v>
      </c>
      <c r="R49" s="591">
        <f>スコア入力!AJ49</f>
        <v>0.33333333333333331</v>
      </c>
      <c r="S49" s="591">
        <f>スコア入力!AL49</f>
        <v>0.5</v>
      </c>
      <c r="T49" s="586"/>
      <c r="U49" s="586"/>
      <c r="W49" s="244">
        <f t="shared" si="11"/>
        <v>3</v>
      </c>
      <c r="X49" s="244">
        <f t="shared" si="12"/>
        <v>3</v>
      </c>
      <c r="Y49" s="243">
        <f>スコア入力!AA49</f>
        <v>0.25167101827676241</v>
      </c>
      <c r="Z49" s="243">
        <f>スコア入力!AB49</f>
        <v>0.39306757754277488</v>
      </c>
      <c r="AA49" s="244">
        <f t="shared" si="13"/>
        <v>3</v>
      </c>
      <c r="AB49" s="244">
        <f t="shared" si="14"/>
        <v>3</v>
      </c>
      <c r="AC49" s="243">
        <f>スコア入力!AH49</f>
        <v>5.2219321148825066E-3</v>
      </c>
      <c r="AD49" s="243">
        <f>スコア入力!AI49</f>
        <v>0.33333333333333331</v>
      </c>
      <c r="AE49" s="6"/>
      <c r="AF49" s="592">
        <f>スコア入力!N49</f>
        <v>3</v>
      </c>
      <c r="AG49" s="592">
        <f>スコア入力!P49</f>
        <v>3</v>
      </c>
      <c r="AH49" s="591">
        <f>スコア入力!AC49</f>
        <v>0.5</v>
      </c>
      <c r="AI49" s="591">
        <f>スコア入力!AE49</f>
        <v>1</v>
      </c>
      <c r="AJ49" s="592">
        <f>スコア入力!U49</f>
        <v>3</v>
      </c>
      <c r="AK49" s="592">
        <f>スコア入力!W49</f>
        <v>3</v>
      </c>
      <c r="AL49" s="591">
        <f>スコア入力!AJ49</f>
        <v>0.33333333333333331</v>
      </c>
      <c r="AM49" s="591">
        <f>スコア入力!AL49</f>
        <v>0.5</v>
      </c>
      <c r="AN49" s="586"/>
      <c r="AO49" s="586"/>
    </row>
    <row r="50" spans="2:41" ht="14.25" thickBot="1">
      <c r="B50" s="295"/>
      <c r="C50" s="2309"/>
      <c r="D50" s="304">
        <v>2</v>
      </c>
      <c r="E50" s="324" t="s">
        <v>597</v>
      </c>
      <c r="F50" s="327"/>
      <c r="G50" s="327"/>
      <c r="H50" s="2900"/>
      <c r="I50" s="2901"/>
      <c r="J50" s="2901"/>
      <c r="K50" s="2902"/>
      <c r="L50" s="593">
        <f t="shared" si="15"/>
        <v>3</v>
      </c>
      <c r="M50" s="593">
        <f t="shared" si="16"/>
        <v>0</v>
      </c>
      <c r="N50" s="591">
        <f>スコア入力!AC50</f>
        <v>0.5</v>
      </c>
      <c r="O50" s="591">
        <f>スコア入力!AE50</f>
        <v>0</v>
      </c>
      <c r="P50" s="593">
        <f t="shared" si="17"/>
        <v>3</v>
      </c>
      <c r="Q50" s="593">
        <f t="shared" si="18"/>
        <v>0</v>
      </c>
      <c r="R50" s="591">
        <f>スコア入力!AJ50</f>
        <v>0.33333333333333331</v>
      </c>
      <c r="S50" s="591">
        <f>スコア入力!AL50</f>
        <v>0</v>
      </c>
      <c r="T50" s="586"/>
      <c r="U50" s="586"/>
      <c r="W50" s="244">
        <f t="shared" si="11"/>
        <v>3</v>
      </c>
      <c r="X50" s="244">
        <f t="shared" si="12"/>
        <v>3</v>
      </c>
      <c r="Y50" s="243">
        <f>スコア入力!AA50</f>
        <v>0.25167101827676241</v>
      </c>
      <c r="Z50" s="243">
        <f>スコア入力!AB50</f>
        <v>0</v>
      </c>
      <c r="AA50" s="244">
        <f t="shared" si="13"/>
        <v>3</v>
      </c>
      <c r="AB50" s="244">
        <f t="shared" si="14"/>
        <v>3</v>
      </c>
      <c r="AC50" s="243">
        <f>スコア入力!AH50</f>
        <v>5.2219321148825066E-3</v>
      </c>
      <c r="AD50" s="243">
        <f>スコア入力!AI50</f>
        <v>0</v>
      </c>
      <c r="AE50" s="6"/>
      <c r="AF50" s="427">
        <f>スコア入力!N50</f>
        <v>3</v>
      </c>
      <c r="AG50" s="427">
        <f>スコア入力!P50</f>
        <v>3</v>
      </c>
      <c r="AH50" s="591">
        <f>スコア入力!AC50</f>
        <v>0.5</v>
      </c>
      <c r="AI50" s="591">
        <f>スコア入力!AE50</f>
        <v>0</v>
      </c>
      <c r="AJ50" s="427">
        <f>スコア入力!U50</f>
        <v>3</v>
      </c>
      <c r="AK50" s="427">
        <f>スコア入力!W50</f>
        <v>3</v>
      </c>
      <c r="AL50" s="591">
        <f>スコア入力!AJ50</f>
        <v>0.33333333333333331</v>
      </c>
      <c r="AM50" s="591">
        <f>スコア入力!AL50</f>
        <v>0</v>
      </c>
      <c r="AN50" s="586"/>
      <c r="AO50" s="586"/>
    </row>
    <row r="51" spans="2:41" ht="13.5" hidden="1">
      <c r="B51" s="295"/>
      <c r="C51" s="2309"/>
      <c r="D51" s="2009">
        <v>3</v>
      </c>
      <c r="E51" s="1985" t="s">
        <v>598</v>
      </c>
      <c r="F51" s="327"/>
      <c r="G51" s="327"/>
      <c r="H51" s="2900"/>
      <c r="I51" s="2901"/>
      <c r="J51" s="2901"/>
      <c r="K51" s="2902"/>
      <c r="L51" s="596">
        <f t="shared" si="15"/>
        <v>0</v>
      </c>
      <c r="M51" s="596">
        <f t="shared" si="16"/>
        <v>0</v>
      </c>
      <c r="N51" s="591">
        <f>スコア入力!AC51</f>
        <v>0</v>
      </c>
      <c r="O51" s="591">
        <f>スコア入力!AE51</f>
        <v>0</v>
      </c>
      <c r="P51" s="596">
        <f t="shared" si="17"/>
        <v>0</v>
      </c>
      <c r="Q51" s="596">
        <f t="shared" si="18"/>
        <v>0</v>
      </c>
      <c r="R51" s="591">
        <f>スコア入力!AJ51</f>
        <v>0</v>
      </c>
      <c r="S51" s="591">
        <f>スコア入力!AL51</f>
        <v>0</v>
      </c>
      <c r="T51" s="586"/>
      <c r="U51" s="586"/>
      <c r="W51" s="244">
        <f t="shared" si="11"/>
        <v>0</v>
      </c>
      <c r="X51" s="244">
        <f t="shared" si="12"/>
        <v>0</v>
      </c>
      <c r="Y51" s="243">
        <f>スコア入力!AA51</f>
        <v>0.25167101827676241</v>
      </c>
      <c r="Z51" s="243">
        <f>スコア入力!AB51</f>
        <v>0.30759287650956207</v>
      </c>
      <c r="AA51" s="244">
        <f t="shared" si="13"/>
        <v>0</v>
      </c>
      <c r="AB51" s="244">
        <f t="shared" si="14"/>
        <v>0</v>
      </c>
      <c r="AC51" s="243">
        <f>スコア入力!AH51</f>
        <v>5.2219321148825066E-3</v>
      </c>
      <c r="AD51" s="243">
        <f>スコア入力!AI51</f>
        <v>0.33333333333333331</v>
      </c>
      <c r="AE51" s="6"/>
      <c r="AF51" s="427">
        <f>スコア入力!N51</f>
        <v>0</v>
      </c>
      <c r="AG51" s="427">
        <f>スコア入力!P51</f>
        <v>0</v>
      </c>
      <c r="AH51" s="591">
        <f>スコア入力!AC51</f>
        <v>0</v>
      </c>
      <c r="AI51" s="591">
        <f>スコア入力!AE51</f>
        <v>0</v>
      </c>
      <c r="AJ51" s="427">
        <f>スコア入力!U51</f>
        <v>0</v>
      </c>
      <c r="AK51" s="427">
        <f>スコア入力!W51</f>
        <v>0</v>
      </c>
      <c r="AL51" s="591">
        <f>スコア入力!AJ51</f>
        <v>0</v>
      </c>
      <c r="AM51" s="591">
        <f>スコア入力!AL51</f>
        <v>0</v>
      </c>
      <c r="AN51" s="586"/>
      <c r="AO51" s="586"/>
    </row>
    <row r="52" spans="2:41" ht="14.25" hidden="1" thickBot="1">
      <c r="B52" s="295"/>
      <c r="C52" s="2313"/>
      <c r="D52" s="2009">
        <v>4</v>
      </c>
      <c r="E52" s="1985" t="s">
        <v>599</v>
      </c>
      <c r="F52" s="377"/>
      <c r="G52" s="377"/>
      <c r="H52" s="2900"/>
      <c r="I52" s="2901"/>
      <c r="J52" s="2901"/>
      <c r="K52" s="2902"/>
      <c r="L52" s="593">
        <f t="shared" si="15"/>
        <v>0</v>
      </c>
      <c r="M52" s="593">
        <f t="shared" si="16"/>
        <v>0</v>
      </c>
      <c r="N52" s="591">
        <f>スコア入力!AC52</f>
        <v>0</v>
      </c>
      <c r="O52" s="591">
        <f>スコア入力!AE52</f>
        <v>0</v>
      </c>
      <c r="P52" s="593">
        <f t="shared" si="17"/>
        <v>3</v>
      </c>
      <c r="Q52" s="593">
        <f t="shared" si="18"/>
        <v>3</v>
      </c>
      <c r="R52" s="591">
        <f>スコア入力!AJ52</f>
        <v>0.33333333333333331</v>
      </c>
      <c r="S52" s="591">
        <f>スコア入力!AL52</f>
        <v>0.5</v>
      </c>
      <c r="T52" s="586"/>
      <c r="U52" s="586"/>
      <c r="W52" s="244">
        <f t="shared" si="11"/>
        <v>0</v>
      </c>
      <c r="X52" s="244">
        <f t="shared" si="12"/>
        <v>0</v>
      </c>
      <c r="Y52" s="243">
        <f>スコア入力!AA52</f>
        <v>0.24477806788511752</v>
      </c>
      <c r="Z52" s="243">
        <f>スコア入力!AB52</f>
        <v>0.29933954594766304</v>
      </c>
      <c r="AA52" s="244">
        <f t="shared" si="13"/>
        <v>3</v>
      </c>
      <c r="AB52" s="244">
        <f t="shared" si="14"/>
        <v>3</v>
      </c>
      <c r="AC52" s="243">
        <f>スコア入力!AH52</f>
        <v>5.2219321148825066E-3</v>
      </c>
      <c r="AD52" s="243">
        <f>スコア入力!AI52</f>
        <v>0.33333333333333331</v>
      </c>
      <c r="AE52" s="6"/>
      <c r="AF52" s="594">
        <f>スコア入力!N52</f>
        <v>0</v>
      </c>
      <c r="AG52" s="594">
        <f>スコア入力!P52</f>
        <v>0</v>
      </c>
      <c r="AH52" s="591">
        <f>スコア入力!AC52</f>
        <v>0</v>
      </c>
      <c r="AI52" s="591">
        <f>スコア入力!AE52</f>
        <v>0</v>
      </c>
      <c r="AJ52" s="594">
        <f>スコア入力!U52</f>
        <v>3</v>
      </c>
      <c r="AK52" s="594">
        <f>スコア入力!W52</f>
        <v>3</v>
      </c>
      <c r="AL52" s="591">
        <f>スコア入力!AJ52</f>
        <v>0.33333333333333331</v>
      </c>
      <c r="AM52" s="591">
        <f>スコア入力!AL52</f>
        <v>0.5</v>
      </c>
      <c r="AN52" s="586"/>
      <c r="AO52" s="586"/>
    </row>
    <row r="53" spans="2:41" ht="14.25" thickBot="1">
      <c r="B53" s="338"/>
      <c r="C53" s="296">
        <v>4.2</v>
      </c>
      <c r="D53" s="333" t="s">
        <v>600</v>
      </c>
      <c r="E53" s="377"/>
      <c r="F53" s="327"/>
      <c r="G53" s="327"/>
      <c r="H53" s="2900"/>
      <c r="I53" s="2901"/>
      <c r="J53" s="2901"/>
      <c r="K53" s="2903"/>
      <c r="L53" s="595">
        <f t="shared" si="15"/>
        <v>3</v>
      </c>
      <c r="M53" s="604">
        <f t="shared" si="16"/>
        <v>3</v>
      </c>
      <c r="N53" s="585">
        <f>スコア入力!AC53</f>
        <v>0.30208877284595298</v>
      </c>
      <c r="O53" s="585">
        <f>スコア入力!AE53</f>
        <v>0.32985639242903286</v>
      </c>
      <c r="P53" s="604">
        <f t="shared" si="17"/>
        <v>3</v>
      </c>
      <c r="Q53" s="604">
        <f t="shared" si="18"/>
        <v>3</v>
      </c>
      <c r="R53" s="585">
        <f>スコア入力!AJ53</f>
        <v>0.37500000000000006</v>
      </c>
      <c r="S53" s="585">
        <f>スコア入力!AL53</f>
        <v>0.375</v>
      </c>
      <c r="T53" s="586"/>
      <c r="U53" s="586"/>
      <c r="W53" s="575">
        <f t="shared" si="11"/>
        <v>3</v>
      </c>
      <c r="X53" s="575">
        <f t="shared" si="12"/>
        <v>3</v>
      </c>
      <c r="Y53" s="243">
        <f>スコア入力!AA53</f>
        <v>0.30208877284595298</v>
      </c>
      <c r="Z53" s="243">
        <f>スコア入力!AB53</f>
        <v>0.32985639242903281</v>
      </c>
      <c r="AA53" s="575">
        <f t="shared" si="13"/>
        <v>3</v>
      </c>
      <c r="AB53" s="575">
        <f t="shared" si="14"/>
        <v>3</v>
      </c>
      <c r="AC53" s="243">
        <f>スコア入力!AH53</f>
        <v>7.8328981723237608E-3</v>
      </c>
      <c r="AD53" s="243">
        <f>スコア入力!AI53</f>
        <v>0.37499999999999994</v>
      </c>
      <c r="AE53" s="6"/>
      <c r="AF53" s="604">
        <f>SUMPRODUCT(AF54:AF57,AH54:AH57)</f>
        <v>3</v>
      </c>
      <c r="AG53" s="604">
        <f>SUMPRODUCT(AG54:AG57,AI54:AI57)</f>
        <v>3</v>
      </c>
      <c r="AH53" s="585">
        <f>スコア入力!AC53</f>
        <v>0.30208877284595298</v>
      </c>
      <c r="AI53" s="585">
        <f>スコア入力!AE53</f>
        <v>0.32985639242903286</v>
      </c>
      <c r="AJ53" s="604">
        <f>SUMPRODUCT(AJ54:AJ57,AL54:AL57)</f>
        <v>3</v>
      </c>
      <c r="AK53" s="604">
        <f>SUMPRODUCT(AK54:AK57,AM54:AM57)</f>
        <v>3</v>
      </c>
      <c r="AL53" s="585">
        <f>スコア入力!AJ53</f>
        <v>0.37500000000000006</v>
      </c>
      <c r="AM53" s="585">
        <f>スコア入力!AL53</f>
        <v>0.375</v>
      </c>
      <c r="AN53" s="586"/>
      <c r="AO53" s="586"/>
    </row>
    <row r="54" spans="2:41" ht="13.5">
      <c r="B54" s="338"/>
      <c r="C54" s="2314"/>
      <c r="D54" s="304">
        <v>1</v>
      </c>
      <c r="E54" s="324" t="s">
        <v>603</v>
      </c>
      <c r="F54" s="608"/>
      <c r="G54" s="608"/>
      <c r="H54" s="2900"/>
      <c r="I54" s="2901"/>
      <c r="J54" s="2901"/>
      <c r="K54" s="2902"/>
      <c r="L54" s="590">
        <f t="shared" si="15"/>
        <v>3</v>
      </c>
      <c r="M54" s="590">
        <f t="shared" si="16"/>
        <v>3</v>
      </c>
      <c r="N54" s="591">
        <f>スコア入力!AC54</f>
        <v>0.36339365173539012</v>
      </c>
      <c r="O54" s="591">
        <f>スコア入力!AE54</f>
        <v>0.33794295592048401</v>
      </c>
      <c r="P54" s="590">
        <f t="shared" si="17"/>
        <v>0</v>
      </c>
      <c r="Q54" s="590">
        <f t="shared" si="18"/>
        <v>3</v>
      </c>
      <c r="R54" s="591">
        <f>スコア入力!AJ54</f>
        <v>0</v>
      </c>
      <c r="S54" s="591">
        <f>スコア入力!AL54</f>
        <v>0.33333333333333331</v>
      </c>
      <c r="T54" s="586"/>
      <c r="U54" s="586"/>
      <c r="W54" s="244">
        <f t="shared" si="11"/>
        <v>3</v>
      </c>
      <c r="X54" s="244">
        <f t="shared" si="12"/>
        <v>3</v>
      </c>
      <c r="Y54" s="243">
        <f>スコア入力!AA54</f>
        <v>0.26653611836379465</v>
      </c>
      <c r="Z54" s="243">
        <f>スコア入力!AB54</f>
        <v>0.25184256746245715</v>
      </c>
      <c r="AA54" s="244">
        <f t="shared" si="13"/>
        <v>3</v>
      </c>
      <c r="AB54" s="244">
        <f t="shared" si="14"/>
        <v>3</v>
      </c>
      <c r="AC54" s="243">
        <f>スコア入力!AH54</f>
        <v>0</v>
      </c>
      <c r="AD54" s="243">
        <f>スコア入力!AI54</f>
        <v>0.25</v>
      </c>
      <c r="AE54" s="6"/>
      <c r="AF54" s="592">
        <f>スコア入力!N54</f>
        <v>3</v>
      </c>
      <c r="AG54" s="592">
        <f>スコア入力!P54</f>
        <v>3</v>
      </c>
      <c r="AH54" s="591">
        <f>スコア入力!AC54</f>
        <v>0.36339365173539012</v>
      </c>
      <c r="AI54" s="591">
        <f>スコア入力!AE54</f>
        <v>0.33794295592048401</v>
      </c>
      <c r="AJ54" s="592">
        <f>スコア入力!U54</f>
        <v>3</v>
      </c>
      <c r="AK54" s="592">
        <f>スコア入力!W54</f>
        <v>3</v>
      </c>
      <c r="AL54" s="591">
        <f>スコア入力!AJ54</f>
        <v>0</v>
      </c>
      <c r="AM54" s="591">
        <f>スコア入力!AL54</f>
        <v>0.33333333333333331</v>
      </c>
      <c r="AN54" s="586"/>
      <c r="AO54" s="586"/>
    </row>
    <row r="55" spans="2:41" ht="13.5">
      <c r="B55" s="338"/>
      <c r="C55" s="2314"/>
      <c r="D55" s="304">
        <v>2</v>
      </c>
      <c r="E55" s="324" t="s">
        <v>604</v>
      </c>
      <c r="F55" s="327"/>
      <c r="G55" s="327"/>
      <c r="H55" s="2900"/>
      <c r="I55" s="2901"/>
      <c r="J55" s="2901"/>
      <c r="K55" s="2902"/>
      <c r="L55" s="596">
        <f t="shared" si="15"/>
        <v>3</v>
      </c>
      <c r="M55" s="596">
        <f t="shared" si="16"/>
        <v>3</v>
      </c>
      <c r="N55" s="591">
        <f>スコア入力!AC55</f>
        <v>0.24473450014832393</v>
      </c>
      <c r="O55" s="591">
        <f>スコア入力!AE55</f>
        <v>0.32411408815903198</v>
      </c>
      <c r="P55" s="596">
        <f t="shared" si="17"/>
        <v>3</v>
      </c>
      <c r="Q55" s="596">
        <f t="shared" si="18"/>
        <v>3</v>
      </c>
      <c r="R55" s="591">
        <f>スコア入力!AJ55</f>
        <v>0.5</v>
      </c>
      <c r="S55" s="591">
        <f>スコア入力!AL55</f>
        <v>0.33333333333333331</v>
      </c>
      <c r="T55" s="586"/>
      <c r="U55" s="586"/>
      <c r="W55" s="244">
        <f t="shared" si="11"/>
        <v>3</v>
      </c>
      <c r="X55" s="244">
        <f t="shared" si="12"/>
        <v>3</v>
      </c>
      <c r="Y55" s="243">
        <f>スコア入力!AA55</f>
        <v>0.17950391644908617</v>
      </c>
      <c r="Z55" s="243">
        <f>スコア入力!AB55</f>
        <v>0.24153698925427475</v>
      </c>
      <c r="AA55" s="244">
        <f t="shared" si="13"/>
        <v>3</v>
      </c>
      <c r="AB55" s="244">
        <f t="shared" si="14"/>
        <v>3</v>
      </c>
      <c r="AC55" s="243">
        <f>スコア入力!AH55</f>
        <v>6.8929503916449093E-3</v>
      </c>
      <c r="AD55" s="243">
        <f>スコア入力!AI55</f>
        <v>0.25</v>
      </c>
      <c r="AE55" s="6"/>
      <c r="AF55" s="427">
        <f>スコア入力!N55</f>
        <v>3</v>
      </c>
      <c r="AG55" s="427">
        <f>スコア入力!P55</f>
        <v>3</v>
      </c>
      <c r="AH55" s="591">
        <f>スコア入力!AC55</f>
        <v>0.24473450014832393</v>
      </c>
      <c r="AI55" s="591">
        <f>スコア入力!AE55</f>
        <v>0.32411408815903198</v>
      </c>
      <c r="AJ55" s="427">
        <f>スコア入力!U55</f>
        <v>3</v>
      </c>
      <c r="AK55" s="427">
        <f>スコア入力!W55</f>
        <v>3</v>
      </c>
      <c r="AL55" s="591">
        <f>スコア入力!AJ55</f>
        <v>0.5</v>
      </c>
      <c r="AM55" s="591">
        <f>スコア入力!AL55</f>
        <v>0.33333333333333331</v>
      </c>
      <c r="AN55" s="586"/>
      <c r="AO55" s="586"/>
    </row>
    <row r="56" spans="2:41" ht="14.25" thickBot="1">
      <c r="B56" s="338"/>
      <c r="C56" s="2314"/>
      <c r="D56" s="304">
        <v>3</v>
      </c>
      <c r="E56" s="324" t="s">
        <v>605</v>
      </c>
      <c r="F56" s="327"/>
      <c r="G56" s="327"/>
      <c r="H56" s="2900"/>
      <c r="I56" s="2901"/>
      <c r="J56" s="2901"/>
      <c r="K56" s="2902"/>
      <c r="L56" s="593">
        <f t="shared" si="15"/>
        <v>3</v>
      </c>
      <c r="M56" s="593">
        <f t="shared" si="16"/>
        <v>3</v>
      </c>
      <c r="N56" s="591">
        <f>スコア入力!AC56</f>
        <v>0.391871848116286</v>
      </c>
      <c r="O56" s="591">
        <f>スコア入力!AE56</f>
        <v>0.33794295592048401</v>
      </c>
      <c r="P56" s="593">
        <f t="shared" si="17"/>
        <v>3</v>
      </c>
      <c r="Q56" s="593">
        <f t="shared" si="18"/>
        <v>3</v>
      </c>
      <c r="R56" s="591">
        <f>スコア入力!AJ56</f>
        <v>0.5</v>
      </c>
      <c r="S56" s="591">
        <f>スコア入力!AL56</f>
        <v>0.33333333333333331</v>
      </c>
      <c r="T56" s="586"/>
      <c r="U56" s="586"/>
      <c r="W56" s="244">
        <f t="shared" si="11"/>
        <v>3</v>
      </c>
      <c r="X56" s="244">
        <f t="shared" si="12"/>
        <v>3</v>
      </c>
      <c r="Y56" s="243">
        <f>スコア入力!AA56</f>
        <v>0.28742384682332467</v>
      </c>
      <c r="Z56" s="243">
        <f>スコア入力!AB56</f>
        <v>0.25184256746245715</v>
      </c>
      <c r="AA56" s="244">
        <f t="shared" si="13"/>
        <v>3</v>
      </c>
      <c r="AB56" s="244">
        <f t="shared" si="14"/>
        <v>3</v>
      </c>
      <c r="AC56" s="243">
        <f>スコア入力!AH56</f>
        <v>6.8929503916449093E-3</v>
      </c>
      <c r="AD56" s="243">
        <f>スコア入力!AI56</f>
        <v>0.25</v>
      </c>
      <c r="AE56" s="6"/>
      <c r="AF56" s="427">
        <f>スコア入力!N56</f>
        <v>3</v>
      </c>
      <c r="AG56" s="427">
        <f>スコア入力!P56</f>
        <v>3</v>
      </c>
      <c r="AH56" s="591">
        <f>スコア入力!AC56</f>
        <v>0.391871848116286</v>
      </c>
      <c r="AI56" s="591">
        <f>スコア入力!AE56</f>
        <v>0.33794295592048401</v>
      </c>
      <c r="AJ56" s="427">
        <f>スコア入力!U56</f>
        <v>3</v>
      </c>
      <c r="AK56" s="427">
        <f>スコア入力!W56</f>
        <v>3</v>
      </c>
      <c r="AL56" s="591">
        <f>スコア入力!AJ56</f>
        <v>0.5</v>
      </c>
      <c r="AM56" s="591">
        <f>スコア入力!AL56</f>
        <v>0.33333333333333331</v>
      </c>
      <c r="AN56" s="586"/>
      <c r="AO56" s="586"/>
    </row>
    <row r="57" spans="2:41" ht="14.25" hidden="1" thickBot="1">
      <c r="B57" s="338"/>
      <c r="C57" s="2315"/>
      <c r="D57" s="2009">
        <v>4</v>
      </c>
      <c r="E57" s="1985" t="s">
        <v>606</v>
      </c>
      <c r="F57" s="327"/>
      <c r="G57" s="327"/>
      <c r="H57" s="2900"/>
      <c r="I57" s="2901"/>
      <c r="J57" s="2901"/>
      <c r="K57" s="2902"/>
      <c r="L57" s="593">
        <f t="shared" si="15"/>
        <v>0</v>
      </c>
      <c r="M57" s="593">
        <f t="shared" si="16"/>
        <v>0</v>
      </c>
      <c r="N57" s="591">
        <f>スコア入力!AC57</f>
        <v>0</v>
      </c>
      <c r="O57" s="591">
        <f>スコア入力!AE57</f>
        <v>0</v>
      </c>
      <c r="P57" s="593">
        <f t="shared" si="17"/>
        <v>0</v>
      </c>
      <c r="Q57" s="593">
        <f t="shared" si="18"/>
        <v>0</v>
      </c>
      <c r="R57" s="591">
        <f>スコア入力!AJ57</f>
        <v>0</v>
      </c>
      <c r="S57" s="591">
        <f>スコア入力!AL57</f>
        <v>0</v>
      </c>
      <c r="T57" s="586"/>
      <c r="U57" s="586"/>
      <c r="W57" s="244">
        <f t="shared" si="11"/>
        <v>0</v>
      </c>
      <c r="X57" s="244">
        <f t="shared" si="12"/>
        <v>0</v>
      </c>
      <c r="Y57" s="243">
        <f>スコア入力!AA57</f>
        <v>0.26653611836379465</v>
      </c>
      <c r="Z57" s="243">
        <f>スコア入力!AB57</f>
        <v>0.25477787582081102</v>
      </c>
      <c r="AA57" s="244">
        <f t="shared" si="13"/>
        <v>0</v>
      </c>
      <c r="AB57" s="244">
        <f t="shared" si="14"/>
        <v>0</v>
      </c>
      <c r="AC57" s="243">
        <f>スコア入力!AH57</f>
        <v>6.8929503916449093E-3</v>
      </c>
      <c r="AD57" s="243">
        <f>スコア入力!AI57</f>
        <v>0.25</v>
      </c>
      <c r="AE57" s="6"/>
      <c r="AF57" s="594">
        <f>スコア入力!N57</f>
        <v>0</v>
      </c>
      <c r="AG57" s="594">
        <f>スコア入力!P57</f>
        <v>0</v>
      </c>
      <c r="AH57" s="591">
        <f>スコア入力!AC57</f>
        <v>0</v>
      </c>
      <c r="AI57" s="591">
        <f>スコア入力!AE57</f>
        <v>0</v>
      </c>
      <c r="AJ57" s="594">
        <f>スコア入力!U57</f>
        <v>0</v>
      </c>
      <c r="AK57" s="594">
        <f>スコア入力!W57</f>
        <v>0</v>
      </c>
      <c r="AL57" s="591">
        <f>スコア入力!AJ57</f>
        <v>0</v>
      </c>
      <c r="AM57" s="591">
        <f>スコア入力!AL57</f>
        <v>0</v>
      </c>
      <c r="AN57" s="586"/>
      <c r="AO57" s="586"/>
    </row>
    <row r="58" spans="2:41" ht="14.25" thickBot="1">
      <c r="B58" s="338"/>
      <c r="C58" s="296">
        <v>4.3</v>
      </c>
      <c r="D58" s="333" t="s">
        <v>608</v>
      </c>
      <c r="E58" s="377"/>
      <c r="F58" s="377"/>
      <c r="G58" s="377"/>
      <c r="H58" s="2900"/>
      <c r="I58" s="2901"/>
      <c r="J58" s="2901"/>
      <c r="K58" s="2903"/>
      <c r="L58" s="595">
        <f t="shared" si="15"/>
        <v>3</v>
      </c>
      <c r="M58" s="604">
        <f t="shared" si="16"/>
        <v>3</v>
      </c>
      <c r="N58" s="585">
        <f>スコア入力!AC58</f>
        <v>0.19582245430809403</v>
      </c>
      <c r="O58" s="585">
        <f>スコア入力!AE58</f>
        <v>0.20658388914499176</v>
      </c>
      <c r="P58" s="604">
        <f t="shared" si="17"/>
        <v>0</v>
      </c>
      <c r="Q58" s="604">
        <f t="shared" si="18"/>
        <v>0</v>
      </c>
      <c r="R58" s="585">
        <f>スコア入力!AJ58</f>
        <v>0</v>
      </c>
      <c r="S58" s="585">
        <f>スコア入力!AL58</f>
        <v>0</v>
      </c>
      <c r="T58" s="586"/>
      <c r="U58" s="586"/>
      <c r="W58" s="575">
        <f t="shared" si="11"/>
        <v>3</v>
      </c>
      <c r="X58" s="575">
        <f t="shared" si="12"/>
        <v>3</v>
      </c>
      <c r="Y58" s="243">
        <f>スコア入力!AA58</f>
        <v>0.19582245430809403</v>
      </c>
      <c r="Z58" s="243">
        <f>スコア入力!AB58</f>
        <v>0.20658388914499173</v>
      </c>
      <c r="AA58" s="575">
        <f t="shared" si="13"/>
        <v>0</v>
      </c>
      <c r="AB58" s="575">
        <f t="shared" si="14"/>
        <v>0</v>
      </c>
      <c r="AC58" s="243">
        <f>スコア入力!AH58</f>
        <v>0</v>
      </c>
      <c r="AD58" s="243">
        <f>スコア入力!AI58</f>
        <v>0</v>
      </c>
      <c r="AE58" s="6"/>
      <c r="AF58" s="604">
        <f>SUMPRODUCT(AF59:AF60,AH59:AH60)</f>
        <v>3</v>
      </c>
      <c r="AG58" s="604">
        <f>SUMPRODUCT(AG59:AG60,AI59:AI60)</f>
        <v>3</v>
      </c>
      <c r="AH58" s="585">
        <f>スコア入力!AC58</f>
        <v>0.19582245430809403</v>
      </c>
      <c r="AI58" s="585">
        <f>スコア入力!AE58</f>
        <v>0.20658388914499176</v>
      </c>
      <c r="AJ58" s="604">
        <f>SUMPRODUCT(AJ59:AJ60,AL59:AL60)</f>
        <v>0</v>
      </c>
      <c r="AK58" s="604">
        <f>SUMPRODUCT(AK59:AK60,AM59:AM60)</f>
        <v>0</v>
      </c>
      <c r="AL58" s="585">
        <f>スコア入力!AJ58</f>
        <v>0</v>
      </c>
      <c r="AM58" s="585">
        <f>スコア入力!AL58</f>
        <v>0</v>
      </c>
      <c r="AN58" s="586"/>
      <c r="AO58" s="586"/>
    </row>
    <row r="59" spans="2:41" ht="13.5">
      <c r="B59" s="338"/>
      <c r="C59" s="2314"/>
      <c r="D59" s="304">
        <v>1</v>
      </c>
      <c r="E59" s="324" t="s">
        <v>611</v>
      </c>
      <c r="F59" s="327"/>
      <c r="G59" s="327"/>
      <c r="H59" s="2900"/>
      <c r="I59" s="2901"/>
      <c r="J59" s="2901"/>
      <c r="K59" s="2902"/>
      <c r="L59" s="590">
        <f t="shared" si="15"/>
        <v>3</v>
      </c>
      <c r="M59" s="590">
        <f t="shared" si="16"/>
        <v>3</v>
      </c>
      <c r="N59" s="591">
        <f>スコア入力!AC59</f>
        <v>0.5</v>
      </c>
      <c r="O59" s="591">
        <f>スコア入力!AE59</f>
        <v>0.5</v>
      </c>
      <c r="P59" s="590">
        <f t="shared" si="17"/>
        <v>0</v>
      </c>
      <c r="Q59" s="590">
        <f t="shared" si="18"/>
        <v>0</v>
      </c>
      <c r="R59" s="591">
        <f>スコア入力!AJ59</f>
        <v>0</v>
      </c>
      <c r="S59" s="591">
        <f>スコア入力!AL59</f>
        <v>0</v>
      </c>
      <c r="T59" s="586"/>
      <c r="U59" s="586"/>
      <c r="W59" s="244">
        <f t="shared" si="11"/>
        <v>3</v>
      </c>
      <c r="X59" s="244">
        <f t="shared" si="12"/>
        <v>3</v>
      </c>
      <c r="Y59" s="243">
        <f>スコア入力!AA59</f>
        <v>0.48955613577023505</v>
      </c>
      <c r="Z59" s="243">
        <f>スコア入力!AB59</f>
        <v>0.5</v>
      </c>
      <c r="AA59" s="244">
        <f t="shared" si="13"/>
        <v>3</v>
      </c>
      <c r="AB59" s="244">
        <f t="shared" si="14"/>
        <v>3</v>
      </c>
      <c r="AC59" s="243">
        <f>スコア入力!AH59</f>
        <v>0</v>
      </c>
      <c r="AD59" s="243">
        <f>スコア入力!AI59</f>
        <v>0</v>
      </c>
      <c r="AE59" s="6"/>
      <c r="AF59" s="592">
        <f>スコア入力!N59</f>
        <v>3</v>
      </c>
      <c r="AG59" s="592">
        <f>スコア入力!P59</f>
        <v>3</v>
      </c>
      <c r="AH59" s="591">
        <f>スコア入力!AC59</f>
        <v>0.5</v>
      </c>
      <c r="AI59" s="591">
        <f>スコア入力!AE59</f>
        <v>0.5</v>
      </c>
      <c r="AJ59" s="592">
        <f>スコア入力!U59</f>
        <v>3</v>
      </c>
      <c r="AK59" s="592">
        <f>スコア入力!W59</f>
        <v>3</v>
      </c>
      <c r="AL59" s="591">
        <f>スコア入力!AJ59</f>
        <v>0</v>
      </c>
      <c r="AM59" s="591">
        <f>スコア入力!AL59</f>
        <v>0</v>
      </c>
      <c r="AN59" s="586"/>
      <c r="AO59" s="586"/>
    </row>
    <row r="60" spans="2:41" ht="14.25" thickBot="1">
      <c r="B60" s="338"/>
      <c r="C60" s="2314"/>
      <c r="D60" s="398">
        <v>2</v>
      </c>
      <c r="E60" s="297" t="s">
        <v>612</v>
      </c>
      <c r="F60" s="609"/>
      <c r="G60" s="609"/>
      <c r="H60" s="2913"/>
      <c r="I60" s="2914"/>
      <c r="J60" s="2914"/>
      <c r="K60" s="2915"/>
      <c r="L60" s="593">
        <f t="shared" si="15"/>
        <v>3</v>
      </c>
      <c r="M60" s="593">
        <f t="shared" si="16"/>
        <v>3</v>
      </c>
      <c r="N60" s="610">
        <f>スコア入力!AC60</f>
        <v>0.5</v>
      </c>
      <c r="O60" s="610">
        <f>スコア入力!AE60</f>
        <v>0.5</v>
      </c>
      <c r="P60" s="593">
        <f t="shared" si="17"/>
        <v>0</v>
      </c>
      <c r="Q60" s="593">
        <f t="shared" si="18"/>
        <v>0</v>
      </c>
      <c r="R60" s="610">
        <f>スコア入力!AJ60</f>
        <v>0</v>
      </c>
      <c r="S60" s="610">
        <f>スコア入力!AL60</f>
        <v>0</v>
      </c>
      <c r="T60" s="611"/>
      <c r="U60" s="611"/>
      <c r="W60" s="244">
        <f t="shared" si="11"/>
        <v>3</v>
      </c>
      <c r="X60" s="244">
        <f t="shared" si="12"/>
        <v>3</v>
      </c>
      <c r="Y60" s="243">
        <f>スコア入力!AA60</f>
        <v>0.48955613577023505</v>
      </c>
      <c r="Z60" s="243">
        <f>スコア入力!AB60</f>
        <v>0.5</v>
      </c>
      <c r="AA60" s="244">
        <f t="shared" si="13"/>
        <v>3</v>
      </c>
      <c r="AB60" s="244">
        <f t="shared" si="14"/>
        <v>3</v>
      </c>
      <c r="AC60" s="243">
        <f>スコア入力!AH60</f>
        <v>0</v>
      </c>
      <c r="AD60" s="243">
        <f>スコア入力!AI60</f>
        <v>0</v>
      </c>
      <c r="AE60" s="6"/>
      <c r="AF60" s="594">
        <f>スコア入力!N60</f>
        <v>3</v>
      </c>
      <c r="AG60" s="594">
        <f>スコア入力!P60</f>
        <v>3</v>
      </c>
      <c r="AH60" s="610">
        <f>スコア入力!AC60</f>
        <v>0.5</v>
      </c>
      <c r="AI60" s="610">
        <f>スコア入力!AE60</f>
        <v>0.5</v>
      </c>
      <c r="AJ60" s="594">
        <f>スコア入力!U60</f>
        <v>3</v>
      </c>
      <c r="AK60" s="594">
        <f>スコア入力!W60</f>
        <v>3</v>
      </c>
      <c r="AL60" s="610">
        <f>スコア入力!AJ60</f>
        <v>0</v>
      </c>
      <c r="AM60" s="610">
        <f>スコア入力!AL60</f>
        <v>0</v>
      </c>
      <c r="AN60" s="611"/>
      <c r="AO60" s="611"/>
    </row>
    <row r="61" spans="2:41" ht="15.75" thickBot="1">
      <c r="B61" s="360" t="s">
        <v>614</v>
      </c>
      <c r="C61" s="361"/>
      <c r="D61" s="361" t="s">
        <v>615</v>
      </c>
      <c r="E61" s="361"/>
      <c r="F61" s="612"/>
      <c r="G61" s="612"/>
      <c r="H61" s="2916"/>
      <c r="I61" s="2917"/>
      <c r="J61" s="2917"/>
      <c r="K61" s="2918"/>
      <c r="L61" s="613"/>
      <c r="M61" s="613"/>
      <c r="N61" s="578">
        <f>スコア入力!AC61</f>
        <v>0.3</v>
      </c>
      <c r="O61" s="578">
        <f>スコア入力!AE61</f>
        <v>0.3</v>
      </c>
      <c r="P61" s="613"/>
      <c r="Q61" s="613"/>
      <c r="R61" s="578"/>
      <c r="S61" s="578"/>
      <c r="T61" s="614">
        <f>ROUNDDOWN(AN61,1)</f>
        <v>3</v>
      </c>
      <c r="U61" s="614">
        <f>ROUNDDOWN(AO61,1)</f>
        <v>3</v>
      </c>
      <c r="W61" s="575">
        <f>$AN61</f>
        <v>3.0562499999999999</v>
      </c>
      <c r="X61" s="575">
        <f>$AO61</f>
        <v>3.0000000000000009</v>
      </c>
      <c r="Y61" s="243">
        <f>スコア入力!AA61</f>
        <v>0.3</v>
      </c>
      <c r="Z61" s="243">
        <f>スコア入力!AB61</f>
        <v>0.3</v>
      </c>
      <c r="AA61" s="575">
        <f t="shared" si="13"/>
        <v>0</v>
      </c>
      <c r="AB61" s="575">
        <f t="shared" si="14"/>
        <v>0</v>
      </c>
      <c r="AC61" s="243">
        <f>スコア入力!AH61</f>
        <v>0</v>
      </c>
      <c r="AD61" s="243">
        <f>スコア入力!AI61</f>
        <v>0</v>
      </c>
      <c r="AE61" s="6"/>
      <c r="AF61" s="613"/>
      <c r="AG61" s="613"/>
      <c r="AH61" s="578">
        <f>スコア入力!AC61</f>
        <v>0.3</v>
      </c>
      <c r="AI61" s="578">
        <f>スコア入力!AE61</f>
        <v>0.3</v>
      </c>
      <c r="AJ61" s="613"/>
      <c r="AK61" s="613"/>
      <c r="AL61" s="578">
        <f>スコア入力!AJ61</f>
        <v>0</v>
      </c>
      <c r="AM61" s="578">
        <f>スコア入力!AL61</f>
        <v>0</v>
      </c>
      <c r="AN61" s="614">
        <f>AN62*AH62+AN75*AH75+AN97*AH97</f>
        <v>3.0562499999999999</v>
      </c>
      <c r="AO61" s="614">
        <f>AO62*AI62+AO75*AI75+AO97*AI97</f>
        <v>3.0000000000000009</v>
      </c>
    </row>
    <row r="62" spans="2:41" ht="13.5">
      <c r="B62" s="283">
        <v>1</v>
      </c>
      <c r="C62" s="369" t="s">
        <v>616</v>
      </c>
      <c r="D62" s="370"/>
      <c r="E62" s="584"/>
      <c r="F62" s="584"/>
      <c r="G62" s="584"/>
      <c r="H62" s="2897"/>
      <c r="I62" s="2898"/>
      <c r="J62" s="2898"/>
      <c r="K62" s="2899"/>
      <c r="L62" s="615">
        <f t="shared" ref="L62:L108" si="19">IF(Y62=0,0,ROUNDDOWN(AF62,1))</f>
        <v>3</v>
      </c>
      <c r="M62" s="600">
        <f t="shared" ref="M62:M108" si="20">IF(Z62=0,0,ROUNDDOWN(AG62,1))</f>
        <v>3</v>
      </c>
      <c r="N62" s="616">
        <f>スコア入力!AC62</f>
        <v>0.40000000000000008</v>
      </c>
      <c r="O62" s="616">
        <f>スコア入力!AE62</f>
        <v>0.40073760919006418</v>
      </c>
      <c r="P62" s="600">
        <f t="shared" ref="P62:P108" si="21">IF(AC62=0,0,ROUNDDOWN(AJ62,1))</f>
        <v>3</v>
      </c>
      <c r="Q62" s="600">
        <f t="shared" ref="Q62:Q108" si="22">IF(AD62=0,0,ROUNDDOWN(AK62,1))</f>
        <v>3</v>
      </c>
      <c r="R62" s="616"/>
      <c r="S62" s="616"/>
      <c r="T62" s="617">
        <f>ROUNDDOWN(AN62,1)</f>
        <v>3</v>
      </c>
      <c r="U62" s="617">
        <f>ROUNDDOWN(AO62,1)</f>
        <v>3</v>
      </c>
      <c r="W62" s="575">
        <f t="shared" ref="W62:W108" si="23">AF62</f>
        <v>3</v>
      </c>
      <c r="X62" s="575">
        <f t="shared" ref="X62:X108" si="24">AG62</f>
        <v>3</v>
      </c>
      <c r="Y62" s="243">
        <f>スコア入力!AA62</f>
        <v>0.40000000000000008</v>
      </c>
      <c r="Z62" s="243">
        <f>スコア入力!AB62</f>
        <v>0.40073760919006418</v>
      </c>
      <c r="AA62" s="575">
        <f t="shared" si="13"/>
        <v>3</v>
      </c>
      <c r="AB62" s="575">
        <f t="shared" si="14"/>
        <v>3</v>
      </c>
      <c r="AC62" s="243">
        <f>スコア入力!AH62</f>
        <v>1</v>
      </c>
      <c r="AD62" s="243">
        <f>スコア入力!AI62</f>
        <v>3.9312039312039311E-2</v>
      </c>
      <c r="AE62" s="6"/>
      <c r="AF62" s="600">
        <f>AF63*AH63+AF67*AH67+AF71*AH71</f>
        <v>3</v>
      </c>
      <c r="AG62" s="600">
        <f>AG63*AI63+AG67*AI67+AG71*AI71</f>
        <v>3</v>
      </c>
      <c r="AH62" s="616">
        <f>スコア入力!AC62</f>
        <v>0.40000000000000008</v>
      </c>
      <c r="AI62" s="616">
        <f>スコア入力!AE62</f>
        <v>0.40073760919006418</v>
      </c>
      <c r="AJ62" s="600">
        <f>AJ63*AL63+AJ67*AL67+AJ71*AL71</f>
        <v>3</v>
      </c>
      <c r="AK62" s="600">
        <f>AK63*AM63+AK67*AM67+AK71*AM71</f>
        <v>3</v>
      </c>
      <c r="AL62" s="616">
        <f>スコア入力!AJ62</f>
        <v>0.5</v>
      </c>
      <c r="AM62" s="616">
        <f>スコア入力!AL62</f>
        <v>3.9312039312039311E-2</v>
      </c>
      <c r="AN62" s="617">
        <f>IF(AJ62=0,AF62,IF(AF62=0,AJ62,AF62*AH$6+AJ62*AL$6))</f>
        <v>3</v>
      </c>
      <c r="AO62" s="617">
        <f>IF(AK62=0,AG62,IF(AG62=0,AK62,AG62*AI$6+AK62*AM$6))</f>
        <v>3</v>
      </c>
    </row>
    <row r="63" spans="2:41" ht="14.25" thickBot="1">
      <c r="B63" s="338"/>
      <c r="C63" s="315">
        <v>1.1000000000000001</v>
      </c>
      <c r="D63" s="297" t="s">
        <v>617</v>
      </c>
      <c r="E63" s="377"/>
      <c r="F63" s="377"/>
      <c r="G63" s="377"/>
      <c r="H63" s="2900"/>
      <c r="I63" s="2901"/>
      <c r="J63" s="2901"/>
      <c r="K63" s="2901"/>
      <c r="L63" s="606">
        <f t="shared" si="19"/>
        <v>3</v>
      </c>
      <c r="M63" s="604">
        <f t="shared" si="20"/>
        <v>3</v>
      </c>
      <c r="N63" s="585">
        <f>スコア入力!AC63</f>
        <v>0.40000000000000008</v>
      </c>
      <c r="O63" s="585">
        <f>スコア入力!AE63</f>
        <v>0.4</v>
      </c>
      <c r="P63" s="604">
        <f t="shared" si="21"/>
        <v>0</v>
      </c>
      <c r="Q63" s="604">
        <f t="shared" si="22"/>
        <v>0</v>
      </c>
      <c r="R63" s="585">
        <f>スコア入力!AJ63</f>
        <v>0</v>
      </c>
      <c r="S63" s="585">
        <f>スコア入力!AL63</f>
        <v>0</v>
      </c>
      <c r="T63" s="586"/>
      <c r="U63" s="586"/>
      <c r="W63" s="575">
        <f t="shared" si="23"/>
        <v>3</v>
      </c>
      <c r="X63" s="575">
        <f t="shared" si="24"/>
        <v>3</v>
      </c>
      <c r="Y63" s="243">
        <f>スコア入力!AA63</f>
        <v>0.40000000000000008</v>
      </c>
      <c r="Z63" s="243">
        <f>スコア入力!AB63</f>
        <v>0.40000000000000013</v>
      </c>
      <c r="AA63" s="575">
        <f t="shared" si="13"/>
        <v>0</v>
      </c>
      <c r="AB63" s="575">
        <f t="shared" si="14"/>
        <v>0</v>
      </c>
      <c r="AC63" s="243">
        <f>スコア入力!AH63</f>
        <v>1.2532637075718016E-2</v>
      </c>
      <c r="AD63" s="243">
        <f>スコア入力!AI63</f>
        <v>0.60000000000000009</v>
      </c>
      <c r="AE63" s="6"/>
      <c r="AF63" s="604">
        <f>SUMPRODUCT(AF64:AF66,AH64:AH66)</f>
        <v>3</v>
      </c>
      <c r="AG63" s="604">
        <f>SUMPRODUCT(AG64:AG66,AI64:AI66)</f>
        <v>3</v>
      </c>
      <c r="AH63" s="585">
        <f>スコア入力!AC63</f>
        <v>0.40000000000000008</v>
      </c>
      <c r="AI63" s="585">
        <f>スコア入力!AE63</f>
        <v>0.4</v>
      </c>
      <c r="AJ63" s="604">
        <f>SUMPRODUCT(AJ64:AJ66,AL64:AL66)</f>
        <v>0</v>
      </c>
      <c r="AK63" s="604">
        <f>SUMPRODUCT(AK64:AK66,AM64:AM66)</f>
        <v>0</v>
      </c>
      <c r="AL63" s="585">
        <f>スコア入力!AJ63</f>
        <v>0</v>
      </c>
      <c r="AM63" s="585">
        <f>スコア入力!AL63</f>
        <v>0</v>
      </c>
      <c r="AN63" s="586"/>
      <c r="AO63" s="586"/>
    </row>
    <row r="64" spans="2:41" ht="13.5">
      <c r="B64" s="338"/>
      <c r="C64" s="303"/>
      <c r="D64" s="304">
        <v>1</v>
      </c>
      <c r="E64" s="324" t="s">
        <v>619</v>
      </c>
      <c r="F64" s="327"/>
      <c r="G64" s="327"/>
      <c r="H64" s="2900"/>
      <c r="I64" s="2901"/>
      <c r="J64" s="2901"/>
      <c r="K64" s="2902"/>
      <c r="L64" s="590">
        <f t="shared" si="19"/>
        <v>3</v>
      </c>
      <c r="M64" s="590">
        <f t="shared" si="20"/>
        <v>3</v>
      </c>
      <c r="N64" s="591">
        <f>スコア入力!AC64</f>
        <v>0.23933855526544823</v>
      </c>
      <c r="O64" s="591">
        <f>スコア入力!AE64</f>
        <v>0.32637075718015668</v>
      </c>
      <c r="P64" s="590">
        <f t="shared" si="21"/>
        <v>0</v>
      </c>
      <c r="Q64" s="590">
        <f t="shared" si="22"/>
        <v>0</v>
      </c>
      <c r="R64" s="591">
        <f>スコア入力!AJ64</f>
        <v>0</v>
      </c>
      <c r="S64" s="591">
        <f>スコア入力!AL64</f>
        <v>0</v>
      </c>
      <c r="T64" s="586"/>
      <c r="U64" s="586"/>
      <c r="W64" s="244">
        <f t="shared" si="23"/>
        <v>3</v>
      </c>
      <c r="X64" s="244">
        <f t="shared" si="24"/>
        <v>3</v>
      </c>
      <c r="Y64" s="243">
        <f>スコア入力!AA64</f>
        <v>0.23933855526544823</v>
      </c>
      <c r="Z64" s="243">
        <f>スコア入力!AB64</f>
        <v>0.32637075718015662</v>
      </c>
      <c r="AA64" s="244">
        <f t="shared" si="13"/>
        <v>3</v>
      </c>
      <c r="AB64" s="244">
        <f t="shared" si="14"/>
        <v>3</v>
      </c>
      <c r="AC64" s="243">
        <f>スコア入力!AH64</f>
        <v>0</v>
      </c>
      <c r="AD64" s="243">
        <f>スコア入力!AI64</f>
        <v>0</v>
      </c>
      <c r="AE64" s="6"/>
      <c r="AF64" s="592">
        <f>スコア入力!N64</f>
        <v>3</v>
      </c>
      <c r="AG64" s="592">
        <f>スコア入力!P64</f>
        <v>3</v>
      </c>
      <c r="AH64" s="591">
        <f>スコア入力!AC64</f>
        <v>0.23933855526544823</v>
      </c>
      <c r="AI64" s="591">
        <f>スコア入力!AE64</f>
        <v>0.32637075718015668</v>
      </c>
      <c r="AJ64" s="592">
        <f>スコア入力!U64</f>
        <v>3</v>
      </c>
      <c r="AK64" s="592">
        <f>スコア入力!W64</f>
        <v>3</v>
      </c>
      <c r="AL64" s="591">
        <f>スコア入力!AJ64</f>
        <v>0</v>
      </c>
      <c r="AM64" s="591">
        <f>スコア入力!AL64</f>
        <v>0</v>
      </c>
      <c r="AN64" s="586"/>
      <c r="AO64" s="586"/>
    </row>
    <row r="65" spans="2:41" ht="13.5">
      <c r="B65" s="338"/>
      <c r="C65" s="303"/>
      <c r="D65" s="304">
        <v>2</v>
      </c>
      <c r="E65" s="324" t="s">
        <v>620</v>
      </c>
      <c r="F65" s="327"/>
      <c r="G65" s="327"/>
      <c r="H65" s="2900"/>
      <c r="I65" s="2901"/>
      <c r="J65" s="2901"/>
      <c r="K65" s="2902"/>
      <c r="L65" s="596">
        <f t="shared" si="19"/>
        <v>3</v>
      </c>
      <c r="M65" s="596">
        <f t="shared" si="20"/>
        <v>3</v>
      </c>
      <c r="N65" s="591">
        <f>スコア入力!AC65</f>
        <v>0.23933855526544823</v>
      </c>
      <c r="O65" s="591">
        <f>スコア入力!AE65</f>
        <v>0.32637075718015668</v>
      </c>
      <c r="P65" s="596">
        <f t="shared" si="21"/>
        <v>0</v>
      </c>
      <c r="Q65" s="596">
        <f t="shared" si="22"/>
        <v>0</v>
      </c>
      <c r="R65" s="591">
        <f>スコア入力!AJ65</f>
        <v>0</v>
      </c>
      <c r="S65" s="591">
        <f>スコア入力!AL65</f>
        <v>0</v>
      </c>
      <c r="T65" s="586"/>
      <c r="U65" s="586"/>
      <c r="W65" s="244">
        <f t="shared" si="23"/>
        <v>3</v>
      </c>
      <c r="X65" s="244">
        <f t="shared" si="24"/>
        <v>3</v>
      </c>
      <c r="Y65" s="243">
        <f>スコア入力!AA65</f>
        <v>0.23933855526544823</v>
      </c>
      <c r="Z65" s="243">
        <f>スコア入力!AB65</f>
        <v>0.32637075718015662</v>
      </c>
      <c r="AA65" s="244">
        <f t="shared" si="13"/>
        <v>0</v>
      </c>
      <c r="AB65" s="244">
        <f t="shared" si="14"/>
        <v>0</v>
      </c>
      <c r="AC65" s="243">
        <f>スコア入力!AH65</f>
        <v>2.0887728459530026E-2</v>
      </c>
      <c r="AD65" s="243">
        <f>スコア入力!AI65</f>
        <v>1</v>
      </c>
      <c r="AE65" s="6"/>
      <c r="AF65" s="427">
        <f>スコア入力!N65</f>
        <v>3</v>
      </c>
      <c r="AG65" s="427">
        <f>スコア入力!P65</f>
        <v>3</v>
      </c>
      <c r="AH65" s="591">
        <f>スコア入力!AC65</f>
        <v>0.23933855526544823</v>
      </c>
      <c r="AI65" s="591">
        <f>スコア入力!AE65</f>
        <v>0.32637075718015668</v>
      </c>
      <c r="AJ65" s="427">
        <f>スコア入力!U65</f>
        <v>0</v>
      </c>
      <c r="AK65" s="427">
        <f>スコア入力!W65</f>
        <v>0</v>
      </c>
      <c r="AL65" s="591">
        <f>スコア入力!AJ65</f>
        <v>0</v>
      </c>
      <c r="AM65" s="591">
        <f>スコア入力!AL65</f>
        <v>0</v>
      </c>
      <c r="AN65" s="586"/>
      <c r="AO65" s="586"/>
    </row>
    <row r="66" spans="2:41" ht="14.25" thickBot="1">
      <c r="B66" s="338"/>
      <c r="C66" s="310"/>
      <c r="D66" s="304">
        <v>3</v>
      </c>
      <c r="E66" s="324" t="s">
        <v>621</v>
      </c>
      <c r="F66" s="327"/>
      <c r="G66" s="327"/>
      <c r="H66" s="2900"/>
      <c r="I66" s="2901"/>
      <c r="J66" s="2901"/>
      <c r="K66" s="2902"/>
      <c r="L66" s="593">
        <f t="shared" si="19"/>
        <v>3</v>
      </c>
      <c r="M66" s="593">
        <f t="shared" si="20"/>
        <v>3</v>
      </c>
      <c r="N66" s="591">
        <f>スコア入力!AC66</f>
        <v>0.52132288946910366</v>
      </c>
      <c r="O66" s="591">
        <f>スコア入力!AE66</f>
        <v>0.3472584856396867</v>
      </c>
      <c r="P66" s="593">
        <f t="shared" si="21"/>
        <v>0</v>
      </c>
      <c r="Q66" s="593">
        <f t="shared" si="22"/>
        <v>0</v>
      </c>
      <c r="R66" s="591">
        <f>スコア入力!AJ66</f>
        <v>0</v>
      </c>
      <c r="S66" s="591">
        <f>スコア入力!AL66</f>
        <v>0</v>
      </c>
      <c r="T66" s="586"/>
      <c r="U66" s="586"/>
      <c r="W66" s="244">
        <f t="shared" si="23"/>
        <v>3</v>
      </c>
      <c r="X66" s="244">
        <f t="shared" si="24"/>
        <v>3</v>
      </c>
      <c r="Y66" s="243">
        <f>スコア入力!AA66</f>
        <v>0.52132288946910366</v>
      </c>
      <c r="Z66" s="243">
        <f>スコア入力!AB66</f>
        <v>0.34725848563968664</v>
      </c>
      <c r="AA66" s="244">
        <f t="shared" si="13"/>
        <v>0</v>
      </c>
      <c r="AB66" s="244">
        <f t="shared" si="14"/>
        <v>0</v>
      </c>
      <c r="AC66" s="243">
        <f>スコア入力!AH66</f>
        <v>0</v>
      </c>
      <c r="AD66" s="243">
        <f>スコア入力!AI66</f>
        <v>0</v>
      </c>
      <c r="AE66" s="6"/>
      <c r="AF66" s="594">
        <f>スコア入力!N66</f>
        <v>3</v>
      </c>
      <c r="AG66" s="594">
        <f>スコア入力!P66</f>
        <v>3</v>
      </c>
      <c r="AH66" s="591">
        <f>スコア入力!AC66</f>
        <v>0.52132288946910366</v>
      </c>
      <c r="AI66" s="591">
        <f>スコア入力!AE66</f>
        <v>0.3472584856396867</v>
      </c>
      <c r="AJ66" s="594">
        <f>スコア入力!U66</f>
        <v>0</v>
      </c>
      <c r="AK66" s="594">
        <f>スコア入力!W66</f>
        <v>0</v>
      </c>
      <c r="AL66" s="591">
        <f>スコア入力!AJ66</f>
        <v>0</v>
      </c>
      <c r="AM66" s="591">
        <f>スコア入力!AL66</f>
        <v>0</v>
      </c>
      <c r="AN66" s="586"/>
      <c r="AO66" s="586"/>
    </row>
    <row r="67" spans="2:41" ht="14.25" thickBot="1">
      <c r="B67" s="338"/>
      <c r="C67" s="296">
        <v>1.2</v>
      </c>
      <c r="D67" s="297" t="s">
        <v>622</v>
      </c>
      <c r="E67" s="377"/>
      <c r="F67" s="377"/>
      <c r="G67" s="377"/>
      <c r="H67" s="2900"/>
      <c r="I67" s="2901"/>
      <c r="J67" s="2901"/>
      <c r="K67" s="2901"/>
      <c r="L67" s="595">
        <f t="shared" si="19"/>
        <v>3</v>
      </c>
      <c r="M67" s="604">
        <f t="shared" si="20"/>
        <v>3</v>
      </c>
      <c r="N67" s="585">
        <f>スコア入力!AC67</f>
        <v>0.3</v>
      </c>
      <c r="O67" s="585">
        <f>スコア入力!AE67</f>
        <v>0.29999999999999993</v>
      </c>
      <c r="P67" s="604">
        <f t="shared" si="21"/>
        <v>3</v>
      </c>
      <c r="Q67" s="604">
        <f t="shared" si="22"/>
        <v>3</v>
      </c>
      <c r="R67" s="585">
        <f>スコア入力!AJ67</f>
        <v>1</v>
      </c>
      <c r="S67" s="585">
        <f>スコア入力!AL67</f>
        <v>1</v>
      </c>
      <c r="T67" s="586"/>
      <c r="U67" s="586"/>
      <c r="W67" s="575">
        <f t="shared" si="23"/>
        <v>3</v>
      </c>
      <c r="X67" s="575">
        <f t="shared" si="24"/>
        <v>3</v>
      </c>
      <c r="Y67" s="243">
        <f>スコア入力!AA67</f>
        <v>0.3</v>
      </c>
      <c r="Z67" s="243">
        <f>スコア入力!AB67</f>
        <v>0.3</v>
      </c>
      <c r="AA67" s="575">
        <f t="shared" si="13"/>
        <v>3</v>
      </c>
      <c r="AB67" s="575">
        <f t="shared" si="14"/>
        <v>3</v>
      </c>
      <c r="AC67" s="243">
        <f>スコア入力!AH67</f>
        <v>8.3550913838120102E-3</v>
      </c>
      <c r="AD67" s="243">
        <f>スコア入力!AI67</f>
        <v>0.4</v>
      </c>
      <c r="AE67" s="6"/>
      <c r="AF67" s="604">
        <f>SUMPRODUCT(AF68:AF70,AH68:AH70)</f>
        <v>3</v>
      </c>
      <c r="AG67" s="604">
        <f>SUMPRODUCT(AG68:AG70,AI68:AI70)</f>
        <v>3</v>
      </c>
      <c r="AH67" s="585">
        <f>スコア入力!AC67</f>
        <v>0.3</v>
      </c>
      <c r="AI67" s="585">
        <f>スコア入力!AE67</f>
        <v>0.29999999999999993</v>
      </c>
      <c r="AJ67" s="604">
        <f>SUMPRODUCT(AJ68:AJ70,AL68:AL70)</f>
        <v>3</v>
      </c>
      <c r="AK67" s="604">
        <f>SUMPRODUCT(AK68:AK70,AM68:AM70)</f>
        <v>3</v>
      </c>
      <c r="AL67" s="585">
        <f>スコア入力!AJ67</f>
        <v>1</v>
      </c>
      <c r="AM67" s="585">
        <f>スコア入力!AL67</f>
        <v>1</v>
      </c>
      <c r="AN67" s="586"/>
      <c r="AO67" s="586"/>
    </row>
    <row r="68" spans="2:41" ht="13.5">
      <c r="B68" s="338"/>
      <c r="C68" s="303"/>
      <c r="D68" s="304">
        <v>1</v>
      </c>
      <c r="E68" s="324" t="s">
        <v>625</v>
      </c>
      <c r="F68" s="327"/>
      <c r="G68" s="327"/>
      <c r="H68" s="2900"/>
      <c r="I68" s="2901"/>
      <c r="J68" s="2901"/>
      <c r="K68" s="2902"/>
      <c r="L68" s="590">
        <f t="shared" si="19"/>
        <v>3</v>
      </c>
      <c r="M68" s="590">
        <f t="shared" si="20"/>
        <v>3</v>
      </c>
      <c r="N68" s="591">
        <f>スコア入力!AC68</f>
        <v>0.23933855526544823</v>
      </c>
      <c r="O68" s="591">
        <f>スコア入力!AE68</f>
        <v>0.32637075718015668</v>
      </c>
      <c r="P68" s="590">
        <f t="shared" si="21"/>
        <v>0</v>
      </c>
      <c r="Q68" s="590">
        <f t="shared" si="22"/>
        <v>3</v>
      </c>
      <c r="R68" s="591">
        <f>スコア入力!AJ68</f>
        <v>0</v>
      </c>
      <c r="S68" s="591">
        <f>スコア入力!AL68</f>
        <v>0.5</v>
      </c>
      <c r="T68" s="586"/>
      <c r="U68" s="586"/>
      <c r="W68" s="244">
        <f t="shared" si="23"/>
        <v>3</v>
      </c>
      <c r="X68" s="244">
        <f t="shared" si="24"/>
        <v>3</v>
      </c>
      <c r="Y68" s="243">
        <f>スコア入力!AA68</f>
        <v>0.23933855526544823</v>
      </c>
      <c r="Z68" s="243">
        <f>スコア入力!AB68</f>
        <v>0.32637075718015668</v>
      </c>
      <c r="AA68" s="244">
        <f t="shared" si="13"/>
        <v>3</v>
      </c>
      <c r="AB68" s="244">
        <f t="shared" si="14"/>
        <v>3</v>
      </c>
      <c r="AC68" s="243">
        <f>スコア入力!AH68</f>
        <v>0</v>
      </c>
      <c r="AD68" s="243">
        <f>スコア入力!AI68</f>
        <v>0.5</v>
      </c>
      <c r="AE68" s="6"/>
      <c r="AF68" s="592">
        <f>スコア入力!N68</f>
        <v>3</v>
      </c>
      <c r="AG68" s="592">
        <f>スコア入力!P68</f>
        <v>3</v>
      </c>
      <c r="AH68" s="591">
        <f>スコア入力!AC68</f>
        <v>0.23933855526544823</v>
      </c>
      <c r="AI68" s="591">
        <f>スコア入力!AE68</f>
        <v>0.32637075718015668</v>
      </c>
      <c r="AJ68" s="592">
        <f>スコア入力!U68</f>
        <v>3</v>
      </c>
      <c r="AK68" s="592">
        <f>スコア入力!W68</f>
        <v>3</v>
      </c>
      <c r="AL68" s="591">
        <f>スコア入力!AJ68</f>
        <v>0</v>
      </c>
      <c r="AM68" s="591">
        <f>スコア入力!AL68</f>
        <v>0.5</v>
      </c>
      <c r="AN68" s="586"/>
      <c r="AO68" s="586"/>
    </row>
    <row r="69" spans="2:41" ht="13.5">
      <c r="B69" s="338"/>
      <c r="C69" s="303"/>
      <c r="D69" s="304">
        <v>2</v>
      </c>
      <c r="E69" s="324" t="s">
        <v>626</v>
      </c>
      <c r="F69" s="327"/>
      <c r="G69" s="327"/>
      <c r="H69" s="2900"/>
      <c r="I69" s="2901"/>
      <c r="J69" s="2901"/>
      <c r="K69" s="2902"/>
      <c r="L69" s="596">
        <f t="shared" si="19"/>
        <v>3</v>
      </c>
      <c r="M69" s="596">
        <f t="shared" si="20"/>
        <v>3</v>
      </c>
      <c r="N69" s="591">
        <f>スコア入力!AC69</f>
        <v>0.23933855526544823</v>
      </c>
      <c r="O69" s="591">
        <f>スコア入力!AE69</f>
        <v>0.32637075718015668</v>
      </c>
      <c r="P69" s="596">
        <f t="shared" si="21"/>
        <v>0</v>
      </c>
      <c r="Q69" s="596">
        <f t="shared" si="22"/>
        <v>0</v>
      </c>
      <c r="R69" s="591">
        <f>スコア入力!AJ69</f>
        <v>0</v>
      </c>
      <c r="S69" s="591">
        <f>スコア入力!AL69</f>
        <v>0</v>
      </c>
      <c r="T69" s="586"/>
      <c r="U69" s="586"/>
      <c r="W69" s="244">
        <f t="shared" si="23"/>
        <v>3</v>
      </c>
      <c r="X69" s="244">
        <f t="shared" si="24"/>
        <v>3</v>
      </c>
      <c r="Y69" s="243">
        <f>スコア入力!AA69</f>
        <v>0.23933855526544823</v>
      </c>
      <c r="Z69" s="243">
        <f>スコア入力!AB69</f>
        <v>0.32637075718015668</v>
      </c>
      <c r="AA69" s="244">
        <f t="shared" si="13"/>
        <v>3</v>
      </c>
      <c r="AB69" s="244">
        <f t="shared" si="14"/>
        <v>3</v>
      </c>
      <c r="AC69" s="243">
        <f>スコア入力!AH69</f>
        <v>0</v>
      </c>
      <c r="AD69" s="243">
        <f>スコア入力!AI69</f>
        <v>0</v>
      </c>
      <c r="AE69" s="6"/>
      <c r="AF69" s="427">
        <f>スコア入力!N69</f>
        <v>3</v>
      </c>
      <c r="AG69" s="427">
        <f>スコア入力!P69</f>
        <v>3</v>
      </c>
      <c r="AH69" s="591">
        <f>スコア入力!AC69</f>
        <v>0.23933855526544823</v>
      </c>
      <c r="AI69" s="591">
        <f>スコア入力!AE69</f>
        <v>0.32637075718015668</v>
      </c>
      <c r="AJ69" s="427">
        <f>スコア入力!U69</f>
        <v>3</v>
      </c>
      <c r="AK69" s="427">
        <f>スコア入力!W69</f>
        <v>3</v>
      </c>
      <c r="AL69" s="591">
        <f>スコア入力!AJ69</f>
        <v>0</v>
      </c>
      <c r="AM69" s="591">
        <f>スコア入力!AL69</f>
        <v>0</v>
      </c>
      <c r="AN69" s="586"/>
      <c r="AO69" s="586"/>
    </row>
    <row r="70" spans="2:41" ht="14.25" thickBot="1">
      <c r="B70" s="338"/>
      <c r="C70" s="310"/>
      <c r="D70" s="304">
        <v>3</v>
      </c>
      <c r="E70" s="324" t="s">
        <v>627</v>
      </c>
      <c r="F70" s="327"/>
      <c r="G70" s="327"/>
      <c r="H70" s="2900"/>
      <c r="I70" s="2901"/>
      <c r="J70" s="2901"/>
      <c r="K70" s="2902"/>
      <c r="L70" s="593">
        <f t="shared" si="19"/>
        <v>3</v>
      </c>
      <c r="M70" s="593">
        <f t="shared" si="20"/>
        <v>3</v>
      </c>
      <c r="N70" s="591">
        <f>スコア入力!AC70</f>
        <v>0.52132288946910366</v>
      </c>
      <c r="O70" s="591">
        <f>スコア入力!AE70</f>
        <v>0.3472584856396867</v>
      </c>
      <c r="P70" s="593">
        <f t="shared" si="21"/>
        <v>3</v>
      </c>
      <c r="Q70" s="593">
        <f t="shared" si="22"/>
        <v>3</v>
      </c>
      <c r="R70" s="591">
        <f>スコア入力!AJ70</f>
        <v>1</v>
      </c>
      <c r="S70" s="591">
        <f>スコア入力!AL70</f>
        <v>0.5</v>
      </c>
      <c r="T70" s="586"/>
      <c r="U70" s="586"/>
      <c r="W70" s="244">
        <f t="shared" si="23"/>
        <v>3</v>
      </c>
      <c r="X70" s="244">
        <f t="shared" si="24"/>
        <v>3</v>
      </c>
      <c r="Y70" s="243">
        <f>スコア入力!AA70</f>
        <v>0.52132288946910366</v>
      </c>
      <c r="Z70" s="243">
        <f>スコア入力!AB70</f>
        <v>0.3472584856396867</v>
      </c>
      <c r="AA70" s="244">
        <f t="shared" si="13"/>
        <v>3</v>
      </c>
      <c r="AB70" s="244">
        <f t="shared" si="14"/>
        <v>3</v>
      </c>
      <c r="AC70" s="243">
        <f>スコア入力!AH70</f>
        <v>2.0887728459530026E-2</v>
      </c>
      <c r="AD70" s="243">
        <f>スコア入力!AI70</f>
        <v>0.5</v>
      </c>
      <c r="AE70" s="6"/>
      <c r="AF70" s="594">
        <f>スコア入力!N70</f>
        <v>3</v>
      </c>
      <c r="AG70" s="594">
        <f>スコア入力!P70</f>
        <v>3</v>
      </c>
      <c r="AH70" s="591">
        <f>スコア入力!AC70</f>
        <v>0.52132288946910366</v>
      </c>
      <c r="AI70" s="591">
        <f>スコア入力!AE70</f>
        <v>0.3472584856396867</v>
      </c>
      <c r="AJ70" s="594">
        <f>スコア入力!U70</f>
        <v>3</v>
      </c>
      <c r="AK70" s="594">
        <f>スコア入力!W70</f>
        <v>3</v>
      </c>
      <c r="AL70" s="591">
        <f>スコア入力!AJ70</f>
        <v>1</v>
      </c>
      <c r="AM70" s="591">
        <f>スコア入力!AL70</f>
        <v>0.5</v>
      </c>
      <c r="AN70" s="586"/>
      <c r="AO70" s="586"/>
    </row>
    <row r="71" spans="2:41" ht="14.25" thickBot="1">
      <c r="B71" s="338"/>
      <c r="C71" s="296">
        <v>1.3</v>
      </c>
      <c r="D71" s="297" t="s">
        <v>628</v>
      </c>
      <c r="E71" s="377"/>
      <c r="F71" s="377"/>
      <c r="G71" s="377"/>
      <c r="H71" s="2900"/>
      <c r="I71" s="2901"/>
      <c r="J71" s="2901"/>
      <c r="K71" s="2901"/>
      <c r="L71" s="595">
        <f t="shared" si="19"/>
        <v>3</v>
      </c>
      <c r="M71" s="604">
        <f t="shared" si="20"/>
        <v>3</v>
      </c>
      <c r="N71" s="585">
        <f>スコア入力!AC71</f>
        <v>0.3</v>
      </c>
      <c r="O71" s="585">
        <f>スコア入力!AE71</f>
        <v>0.29999999999999993</v>
      </c>
      <c r="P71" s="604">
        <f t="shared" si="21"/>
        <v>0</v>
      </c>
      <c r="Q71" s="604">
        <f t="shared" si="22"/>
        <v>0</v>
      </c>
      <c r="R71" s="585">
        <f>スコア入力!AJ71</f>
        <v>0</v>
      </c>
      <c r="S71" s="585">
        <f>スコア入力!AL71</f>
        <v>0</v>
      </c>
      <c r="T71" s="586"/>
      <c r="U71" s="586"/>
      <c r="W71" s="575">
        <f t="shared" si="23"/>
        <v>3.0000000000000004</v>
      </c>
      <c r="X71" s="575">
        <f t="shared" si="24"/>
        <v>3</v>
      </c>
      <c r="Y71" s="243">
        <f>スコア入力!AA71</f>
        <v>0.3</v>
      </c>
      <c r="Z71" s="243">
        <f>スコア入力!AB71</f>
        <v>0.3</v>
      </c>
      <c r="AA71" s="575">
        <f t="shared" si="13"/>
        <v>0</v>
      </c>
      <c r="AB71" s="575">
        <f t="shared" si="14"/>
        <v>0</v>
      </c>
      <c r="AC71" s="243">
        <f>スコア入力!AH71</f>
        <v>0</v>
      </c>
      <c r="AD71" s="243">
        <f>スコア入力!AI71</f>
        <v>0</v>
      </c>
      <c r="AE71" s="6"/>
      <c r="AF71" s="604">
        <f>SUMPRODUCT(AF72:AF74,AH72:AH74)</f>
        <v>3.0000000000000004</v>
      </c>
      <c r="AG71" s="604">
        <f>SUMPRODUCT(AG72:AG74,AI72:AI74)</f>
        <v>3</v>
      </c>
      <c r="AH71" s="585">
        <f>スコア入力!AC71</f>
        <v>0.3</v>
      </c>
      <c r="AI71" s="585">
        <f>スコア入力!AE71</f>
        <v>0.29999999999999993</v>
      </c>
      <c r="AJ71" s="604">
        <f>SUMPRODUCT(AJ72:AJ74,AL72:AL74)</f>
        <v>0</v>
      </c>
      <c r="AK71" s="604">
        <f>SUMPRODUCT(AK72:AK74,AM72:AM74)</f>
        <v>0</v>
      </c>
      <c r="AL71" s="585">
        <f>スコア入力!AJ71</f>
        <v>0</v>
      </c>
      <c r="AM71" s="585">
        <f>スコア入力!AL71</f>
        <v>0</v>
      </c>
      <c r="AN71" s="586"/>
      <c r="AO71" s="586"/>
    </row>
    <row r="72" spans="2:41" ht="13.5">
      <c r="B72" s="338"/>
      <c r="C72" s="303"/>
      <c r="D72" s="304">
        <v>1</v>
      </c>
      <c r="E72" s="2952" t="s">
        <v>179</v>
      </c>
      <c r="F72" s="2953"/>
      <c r="G72" s="327"/>
      <c r="H72" s="2900"/>
      <c r="I72" s="2901"/>
      <c r="J72" s="2901"/>
      <c r="K72" s="2902"/>
      <c r="L72" s="590">
        <f t="shared" si="19"/>
        <v>3</v>
      </c>
      <c r="M72" s="590">
        <f t="shared" si="20"/>
        <v>3</v>
      </c>
      <c r="N72" s="591">
        <f>スコア入力!AC72</f>
        <v>0.50000000000000011</v>
      </c>
      <c r="O72" s="591">
        <f>スコア入力!AE72</f>
        <v>0.5</v>
      </c>
      <c r="P72" s="590">
        <f t="shared" si="21"/>
        <v>0</v>
      </c>
      <c r="Q72" s="590">
        <f t="shared" si="22"/>
        <v>0</v>
      </c>
      <c r="R72" s="591">
        <f>スコア入力!AJ72</f>
        <v>0</v>
      </c>
      <c r="S72" s="591">
        <f>スコア入力!AL72</f>
        <v>0</v>
      </c>
      <c r="T72" s="586"/>
      <c r="U72" s="586"/>
      <c r="W72" s="244">
        <f t="shared" si="23"/>
        <v>3</v>
      </c>
      <c r="X72" s="244">
        <f t="shared" si="24"/>
        <v>3</v>
      </c>
      <c r="Y72" s="243">
        <f>スコア入力!AA72</f>
        <v>0.50000000000000011</v>
      </c>
      <c r="Z72" s="243">
        <f>スコア入力!AB72</f>
        <v>0.5</v>
      </c>
      <c r="AA72" s="244">
        <f t="shared" si="13"/>
        <v>0</v>
      </c>
      <c r="AB72" s="244">
        <f t="shared" si="14"/>
        <v>0</v>
      </c>
      <c r="AC72" s="243">
        <f>スコア入力!AH72</f>
        <v>0</v>
      </c>
      <c r="AD72" s="243">
        <f>スコア入力!AI72</f>
        <v>0</v>
      </c>
      <c r="AE72" s="6"/>
      <c r="AF72" s="592">
        <f>スコア入力!N72</f>
        <v>3</v>
      </c>
      <c r="AG72" s="592">
        <f>スコア入力!P72</f>
        <v>3</v>
      </c>
      <c r="AH72" s="591">
        <f>スコア入力!AC72</f>
        <v>0.50000000000000011</v>
      </c>
      <c r="AI72" s="591">
        <f>スコア入力!AE72</f>
        <v>0.5</v>
      </c>
      <c r="AJ72" s="592">
        <f>スコア入力!U72</f>
        <v>0</v>
      </c>
      <c r="AK72" s="592">
        <f>スコア入力!W72</f>
        <v>0</v>
      </c>
      <c r="AL72" s="591">
        <f>スコア入力!AJ72</f>
        <v>0</v>
      </c>
      <c r="AM72" s="591">
        <f>スコア入力!AL72</f>
        <v>0</v>
      </c>
      <c r="AN72" s="586"/>
      <c r="AO72" s="586"/>
    </row>
    <row r="73" spans="2:41" ht="13.5">
      <c r="B73" s="338"/>
      <c r="C73" s="303"/>
      <c r="D73" s="304">
        <v>2</v>
      </c>
      <c r="E73" s="2952" t="s">
        <v>630</v>
      </c>
      <c r="F73" s="2953"/>
      <c r="G73" s="327"/>
      <c r="H73" s="2900"/>
      <c r="I73" s="2901"/>
      <c r="J73" s="2901"/>
      <c r="K73" s="2902"/>
      <c r="L73" s="596">
        <f t="shared" si="19"/>
        <v>3</v>
      </c>
      <c r="M73" s="596">
        <f t="shared" si="20"/>
        <v>3</v>
      </c>
      <c r="N73" s="591">
        <f>スコア入力!AC73</f>
        <v>0.3</v>
      </c>
      <c r="O73" s="591">
        <f>スコア入力!AE73</f>
        <v>0.5</v>
      </c>
      <c r="P73" s="596">
        <f t="shared" si="21"/>
        <v>0</v>
      </c>
      <c r="Q73" s="596">
        <f t="shared" si="22"/>
        <v>0</v>
      </c>
      <c r="R73" s="591">
        <f>スコア入力!AJ73</f>
        <v>0</v>
      </c>
      <c r="S73" s="591">
        <f>スコア入力!AL73</f>
        <v>0</v>
      </c>
      <c r="T73" s="586"/>
      <c r="U73" s="586"/>
      <c r="W73" s="244">
        <f t="shared" si="23"/>
        <v>3</v>
      </c>
      <c r="X73" s="244">
        <f t="shared" si="24"/>
        <v>3</v>
      </c>
      <c r="Y73" s="243">
        <f>スコア入力!AA73</f>
        <v>0.3</v>
      </c>
      <c r="Z73" s="243">
        <f>スコア入力!AB73</f>
        <v>0.5</v>
      </c>
      <c r="AA73" s="244">
        <f t="shared" si="13"/>
        <v>0</v>
      </c>
      <c r="AB73" s="244">
        <f t="shared" si="14"/>
        <v>0</v>
      </c>
      <c r="AC73" s="243">
        <f>スコア入力!AH73</f>
        <v>0</v>
      </c>
      <c r="AD73" s="243">
        <f>スコア入力!AI73</f>
        <v>0</v>
      </c>
      <c r="AE73" s="6"/>
      <c r="AF73" s="427">
        <f>スコア入力!N73</f>
        <v>3</v>
      </c>
      <c r="AG73" s="427">
        <f>スコア入力!P73</f>
        <v>3</v>
      </c>
      <c r="AH73" s="591">
        <f>スコア入力!AC73</f>
        <v>0.3</v>
      </c>
      <c r="AI73" s="591">
        <f>スコア入力!AE73</f>
        <v>0.5</v>
      </c>
      <c r="AJ73" s="427">
        <f>スコア入力!U73</f>
        <v>0</v>
      </c>
      <c r="AK73" s="427">
        <f>スコア入力!W73</f>
        <v>0</v>
      </c>
      <c r="AL73" s="591">
        <f>スコア入力!AJ73</f>
        <v>0</v>
      </c>
      <c r="AM73" s="591">
        <f>スコア入力!AL73</f>
        <v>0</v>
      </c>
      <c r="AN73" s="586"/>
      <c r="AO73" s="586"/>
    </row>
    <row r="74" spans="2:41" ht="14.25" thickBot="1">
      <c r="B74" s="380"/>
      <c r="C74" s="310"/>
      <c r="D74" s="304">
        <v>3</v>
      </c>
      <c r="E74" s="2954" t="s">
        <v>631</v>
      </c>
      <c r="F74" s="2953"/>
      <c r="G74" s="327"/>
      <c r="H74" s="2900"/>
      <c r="I74" s="2901"/>
      <c r="J74" s="2901"/>
      <c r="K74" s="2902"/>
      <c r="L74" s="593">
        <f t="shared" si="19"/>
        <v>3</v>
      </c>
      <c r="M74" s="593">
        <f t="shared" si="20"/>
        <v>0</v>
      </c>
      <c r="N74" s="591">
        <f>スコア入力!AC74</f>
        <v>0.20000000000000004</v>
      </c>
      <c r="O74" s="591">
        <f>スコア入力!AE74</f>
        <v>0</v>
      </c>
      <c r="P74" s="593">
        <f t="shared" si="21"/>
        <v>0</v>
      </c>
      <c r="Q74" s="593">
        <f t="shared" si="22"/>
        <v>0</v>
      </c>
      <c r="R74" s="591">
        <f>スコア入力!AJ74</f>
        <v>0</v>
      </c>
      <c r="S74" s="591">
        <f>スコア入力!AL74</f>
        <v>0</v>
      </c>
      <c r="T74" s="586"/>
      <c r="U74" s="586"/>
      <c r="W74" s="244">
        <f t="shared" si="23"/>
        <v>3</v>
      </c>
      <c r="X74" s="244">
        <f t="shared" si="24"/>
        <v>3</v>
      </c>
      <c r="Y74" s="243">
        <f>スコア入力!AA74</f>
        <v>0.20000000000000004</v>
      </c>
      <c r="Z74" s="243">
        <f>スコア入力!AB74</f>
        <v>0</v>
      </c>
      <c r="AA74" s="244">
        <f t="shared" ref="AA74:AA105" si="25">AJ74</f>
        <v>0</v>
      </c>
      <c r="AB74" s="244">
        <f t="shared" ref="AB74:AB105" si="26">AK74</f>
        <v>0</v>
      </c>
      <c r="AC74" s="243">
        <f>スコア入力!AH74</f>
        <v>0</v>
      </c>
      <c r="AD74" s="243">
        <f>スコア入力!AI74</f>
        <v>0</v>
      </c>
      <c r="AE74" s="6"/>
      <c r="AF74" s="594">
        <f>スコア入力!N74</f>
        <v>3</v>
      </c>
      <c r="AG74" s="594">
        <f>スコア入力!P74</f>
        <v>3</v>
      </c>
      <c r="AH74" s="591">
        <f>スコア入力!AC74</f>
        <v>0.20000000000000004</v>
      </c>
      <c r="AI74" s="591">
        <f>スコア入力!AE74</f>
        <v>0</v>
      </c>
      <c r="AJ74" s="594">
        <f>スコア入力!U74</f>
        <v>0</v>
      </c>
      <c r="AK74" s="594">
        <f>スコア入力!W74</f>
        <v>0</v>
      </c>
      <c r="AL74" s="591">
        <f>スコア入力!AJ74</f>
        <v>0</v>
      </c>
      <c r="AM74" s="591">
        <f>スコア入力!AL74</f>
        <v>0</v>
      </c>
      <c r="AN74" s="586"/>
      <c r="AO74" s="586"/>
    </row>
    <row r="75" spans="2:41" ht="13.5">
      <c r="B75" s="283">
        <v>2</v>
      </c>
      <c r="C75" s="326" t="s">
        <v>632</v>
      </c>
      <c r="D75" s="285"/>
      <c r="E75" s="285"/>
      <c r="F75" s="584"/>
      <c r="G75" s="584"/>
      <c r="H75" s="2919"/>
      <c r="I75" s="2920"/>
      <c r="J75" s="2920"/>
      <c r="K75" s="2921"/>
      <c r="L75" s="597">
        <f t="shared" si="19"/>
        <v>3.1</v>
      </c>
      <c r="M75" s="600">
        <f t="shared" si="20"/>
        <v>3</v>
      </c>
      <c r="N75" s="599">
        <f>スコア入力!AC75</f>
        <v>0.3</v>
      </c>
      <c r="O75" s="599">
        <f>スコア入力!AE75</f>
        <v>0.30055320689254822</v>
      </c>
      <c r="P75" s="600">
        <f t="shared" si="21"/>
        <v>0</v>
      </c>
      <c r="Q75" s="600">
        <f t="shared" si="22"/>
        <v>0</v>
      </c>
      <c r="R75" s="599"/>
      <c r="S75" s="599"/>
      <c r="T75" s="601">
        <f>ROUNDDOWN(AN75,1)</f>
        <v>3.1</v>
      </c>
      <c r="U75" s="601">
        <f>ROUNDDOWN(AO75,1)</f>
        <v>3</v>
      </c>
      <c r="W75" s="575">
        <f t="shared" si="23"/>
        <v>3.1875</v>
      </c>
      <c r="X75" s="575">
        <f t="shared" si="24"/>
        <v>3.0000000000000004</v>
      </c>
      <c r="Y75" s="243">
        <f>スコア入力!AA75</f>
        <v>0.3</v>
      </c>
      <c r="Z75" s="243">
        <f>スコア入力!AB75</f>
        <v>0.30055320689254822</v>
      </c>
      <c r="AA75" s="575">
        <f t="shared" si="25"/>
        <v>0</v>
      </c>
      <c r="AB75" s="575">
        <f t="shared" si="26"/>
        <v>0</v>
      </c>
      <c r="AC75" s="243">
        <f>スコア入力!AH75</f>
        <v>1</v>
      </c>
      <c r="AD75" s="243">
        <f>スコア入力!AI75</f>
        <v>0</v>
      </c>
      <c r="AE75" s="6"/>
      <c r="AF75" s="600">
        <f>AF76*AH76+AF79*AH79+AF90*AH90+AF86*AH86</f>
        <v>3.1875</v>
      </c>
      <c r="AG75" s="600">
        <f>AG76*AI76+AG79*AI79+AG90*AI90+AG86*AI86</f>
        <v>3.0000000000000004</v>
      </c>
      <c r="AH75" s="599">
        <f>スコア入力!AC75</f>
        <v>0.3</v>
      </c>
      <c r="AI75" s="599">
        <f>スコア入力!AE75</f>
        <v>0.30055320689254822</v>
      </c>
      <c r="AJ75" s="600">
        <f>AJ76*AL76+AJ79*AL79+AJ90*AL90+AJ86*AL86</f>
        <v>0</v>
      </c>
      <c r="AK75" s="600">
        <f>AK76*AM76+AK79*AM79+AK90*AM90+AK86*AM86</f>
        <v>0</v>
      </c>
      <c r="AL75" s="599">
        <f>スコア入力!AJ75</f>
        <v>0</v>
      </c>
      <c r="AM75" s="599">
        <f>スコア入力!AL75</f>
        <v>0</v>
      </c>
      <c r="AN75" s="601">
        <f>IF(AJ75=0,AF75,IF(AF75=0,AJ75,AF75*AH$6+AJ75*AL$6))</f>
        <v>3.1875</v>
      </c>
      <c r="AO75" s="601">
        <f>IF(AK75=0,AG75,IF(AG75=0,AK75,AG75*AI$6+AK75*AM$6))</f>
        <v>3.0000000000000004</v>
      </c>
    </row>
    <row r="76" spans="2:41" ht="14.25" thickBot="1">
      <c r="B76" s="338"/>
      <c r="C76" s="296">
        <v>2.1</v>
      </c>
      <c r="D76" s="333" t="s">
        <v>635</v>
      </c>
      <c r="E76" s="377"/>
      <c r="F76" s="377"/>
      <c r="G76" s="377"/>
      <c r="H76" s="2900"/>
      <c r="I76" s="2901"/>
      <c r="J76" s="2901"/>
      <c r="K76" s="2901"/>
      <c r="L76" s="606">
        <f t="shared" si="19"/>
        <v>3</v>
      </c>
      <c r="M76" s="604">
        <f t="shared" si="20"/>
        <v>3</v>
      </c>
      <c r="N76" s="585">
        <f>スコア入力!AC76</f>
        <v>0.25</v>
      </c>
      <c r="O76" s="585">
        <f>スコア入力!AE76</f>
        <v>0.5</v>
      </c>
      <c r="P76" s="604">
        <f t="shared" si="21"/>
        <v>0</v>
      </c>
      <c r="Q76" s="604">
        <f t="shared" si="22"/>
        <v>0</v>
      </c>
      <c r="R76" s="585">
        <f>スコア入力!AJ76</f>
        <v>0</v>
      </c>
      <c r="S76" s="585">
        <f>スコア入力!AL76</f>
        <v>0</v>
      </c>
      <c r="T76" s="586"/>
      <c r="U76" s="586"/>
      <c r="W76" s="575">
        <f t="shared" si="23"/>
        <v>3</v>
      </c>
      <c r="X76" s="575">
        <f t="shared" si="24"/>
        <v>3.0000000000000004</v>
      </c>
      <c r="Y76" s="243">
        <f>スコア入力!AA76</f>
        <v>0.25000000000000006</v>
      </c>
      <c r="Z76" s="243">
        <f>スコア入力!AB76</f>
        <v>0.49999999999999983</v>
      </c>
      <c r="AA76" s="575">
        <f t="shared" si="25"/>
        <v>0</v>
      </c>
      <c r="AB76" s="575">
        <f t="shared" si="26"/>
        <v>0</v>
      </c>
      <c r="AC76" s="243">
        <f>スコア入力!AH76</f>
        <v>0</v>
      </c>
      <c r="AD76" s="243">
        <f>スコア入力!AI76</f>
        <v>0</v>
      </c>
      <c r="AE76" s="6"/>
      <c r="AF76" s="604">
        <f>SUMPRODUCT(AF77:AF78,AH77:AH78)</f>
        <v>3</v>
      </c>
      <c r="AG76" s="604">
        <f>SUMPRODUCT(AG77:AG78,AI77:AI78)</f>
        <v>3.0000000000000004</v>
      </c>
      <c r="AH76" s="585">
        <f>スコア入力!AC76</f>
        <v>0.25</v>
      </c>
      <c r="AI76" s="585">
        <f>スコア入力!AE76</f>
        <v>0.5</v>
      </c>
      <c r="AJ76" s="604">
        <f>SUMPRODUCT(AJ77:AJ78,AL77:AL78)</f>
        <v>0</v>
      </c>
      <c r="AK76" s="604">
        <f>SUMPRODUCT(AK77:AK78,AM77:AM78)</f>
        <v>0</v>
      </c>
      <c r="AL76" s="585">
        <f>スコア入力!AJ76</f>
        <v>0</v>
      </c>
      <c r="AM76" s="585">
        <f>スコア入力!AL76</f>
        <v>0</v>
      </c>
      <c r="AN76" s="586"/>
      <c r="AO76" s="586"/>
    </row>
    <row r="77" spans="2:41" ht="13.5">
      <c r="B77" s="338"/>
      <c r="C77" s="337"/>
      <c r="D77" s="304">
        <v>1</v>
      </c>
      <c r="E77" s="324" t="s">
        <v>638</v>
      </c>
      <c r="F77" s="327"/>
      <c r="G77" s="327"/>
      <c r="H77" s="2900"/>
      <c r="I77" s="2901"/>
      <c r="J77" s="2901"/>
      <c r="K77" s="2902"/>
      <c r="L77" s="590">
        <f t="shared" si="19"/>
        <v>3</v>
      </c>
      <c r="M77" s="590">
        <f t="shared" si="20"/>
        <v>3</v>
      </c>
      <c r="N77" s="585">
        <f>スコア入力!AC77</f>
        <v>0.79999999999999993</v>
      </c>
      <c r="O77" s="585">
        <f>スコア入力!AE77</f>
        <v>0.8</v>
      </c>
      <c r="P77" s="590">
        <f t="shared" si="21"/>
        <v>0</v>
      </c>
      <c r="Q77" s="590">
        <f t="shared" si="22"/>
        <v>0</v>
      </c>
      <c r="R77" s="585">
        <f>スコア入力!AJ77</f>
        <v>0</v>
      </c>
      <c r="S77" s="585">
        <f>スコア入力!AL77</f>
        <v>0</v>
      </c>
      <c r="T77" s="586"/>
      <c r="U77" s="586"/>
      <c r="W77" s="244">
        <f t="shared" si="23"/>
        <v>3</v>
      </c>
      <c r="X77" s="244">
        <f t="shared" si="24"/>
        <v>3</v>
      </c>
      <c r="Y77" s="243">
        <f>スコア入力!AA77</f>
        <v>0.80000000000000016</v>
      </c>
      <c r="Z77" s="243">
        <f>スコア入力!AB77</f>
        <v>0.8</v>
      </c>
      <c r="AA77" s="244">
        <f t="shared" si="25"/>
        <v>0</v>
      </c>
      <c r="AB77" s="244">
        <f t="shared" si="26"/>
        <v>0</v>
      </c>
      <c r="AC77" s="243">
        <f>スコア入力!AH77</f>
        <v>0</v>
      </c>
      <c r="AD77" s="243">
        <f>スコア入力!AI77</f>
        <v>0</v>
      </c>
      <c r="AE77" s="6"/>
      <c r="AF77" s="592">
        <f>スコア入力!N77</f>
        <v>3</v>
      </c>
      <c r="AG77" s="592">
        <f>スコア入力!P77</f>
        <v>3</v>
      </c>
      <c r="AH77" s="585">
        <f>スコア入力!AC77</f>
        <v>0.79999999999999993</v>
      </c>
      <c r="AI77" s="585">
        <f>スコア入力!AE77</f>
        <v>0.8</v>
      </c>
      <c r="AJ77" s="592">
        <f>スコア入力!U77</f>
        <v>0</v>
      </c>
      <c r="AK77" s="592">
        <f>スコア入力!W77</f>
        <v>0</v>
      </c>
      <c r="AL77" s="585">
        <f>スコア入力!AJ77</f>
        <v>0</v>
      </c>
      <c r="AM77" s="585">
        <f>スコア入力!AL77</f>
        <v>0</v>
      </c>
      <c r="AN77" s="586"/>
      <c r="AO77" s="586"/>
    </row>
    <row r="78" spans="2:41" ht="14.25" thickBot="1">
      <c r="B78" s="338"/>
      <c r="C78" s="346"/>
      <c r="D78" s="304">
        <v>2</v>
      </c>
      <c r="E78" s="324" t="s">
        <v>639</v>
      </c>
      <c r="F78" s="327"/>
      <c r="G78" s="327"/>
      <c r="H78" s="2900"/>
      <c r="I78" s="2901"/>
      <c r="J78" s="2901"/>
      <c r="K78" s="2902"/>
      <c r="L78" s="593">
        <f t="shared" si="19"/>
        <v>3</v>
      </c>
      <c r="M78" s="593">
        <f t="shared" si="20"/>
        <v>3</v>
      </c>
      <c r="N78" s="585">
        <f>スコア入力!AC78</f>
        <v>0.19999999999999998</v>
      </c>
      <c r="O78" s="585">
        <f>スコア入力!AE78</f>
        <v>0.2</v>
      </c>
      <c r="P78" s="593">
        <f t="shared" si="21"/>
        <v>0</v>
      </c>
      <c r="Q78" s="593">
        <f t="shared" si="22"/>
        <v>0</v>
      </c>
      <c r="R78" s="585">
        <f>スコア入力!AJ78</f>
        <v>0</v>
      </c>
      <c r="S78" s="585">
        <f>スコア入力!AL78</f>
        <v>0</v>
      </c>
      <c r="T78" s="586"/>
      <c r="U78" s="586"/>
      <c r="W78" s="244">
        <f t="shared" si="23"/>
        <v>3</v>
      </c>
      <c r="X78" s="244">
        <f t="shared" si="24"/>
        <v>3</v>
      </c>
      <c r="Y78" s="243">
        <f>スコア入力!AA78</f>
        <v>0.20000000000000004</v>
      </c>
      <c r="Z78" s="243">
        <f>スコア入力!AB78</f>
        <v>0.2</v>
      </c>
      <c r="AA78" s="244">
        <f t="shared" si="25"/>
        <v>0</v>
      </c>
      <c r="AB78" s="244">
        <f t="shared" si="26"/>
        <v>0</v>
      </c>
      <c r="AC78" s="243">
        <f>スコア入力!AH78</f>
        <v>0</v>
      </c>
      <c r="AD78" s="243">
        <f>スコア入力!AI78</f>
        <v>0</v>
      </c>
      <c r="AE78" s="6"/>
      <c r="AF78" s="594">
        <f>スコア入力!N78</f>
        <v>3</v>
      </c>
      <c r="AG78" s="594">
        <f>スコア入力!P78</f>
        <v>3</v>
      </c>
      <c r="AH78" s="585">
        <f>スコア入力!AC78</f>
        <v>0.19999999999999998</v>
      </c>
      <c r="AI78" s="585">
        <f>スコア入力!AE78</f>
        <v>0.2</v>
      </c>
      <c r="AJ78" s="594">
        <f>スコア入力!U78</f>
        <v>0</v>
      </c>
      <c r="AK78" s="594">
        <f>スコア入力!W78</f>
        <v>0</v>
      </c>
      <c r="AL78" s="585">
        <f>スコア入力!AJ78</f>
        <v>0</v>
      </c>
      <c r="AM78" s="585">
        <f>スコア入力!AL78</f>
        <v>0</v>
      </c>
      <c r="AN78" s="586"/>
      <c r="AO78" s="586"/>
    </row>
    <row r="79" spans="2:41" ht="14.25" thickBot="1">
      <c r="B79" s="338"/>
      <c r="C79" s="315">
        <v>2.2000000000000002</v>
      </c>
      <c r="D79" s="333" t="s">
        <v>641</v>
      </c>
      <c r="E79" s="377"/>
      <c r="F79" s="377"/>
      <c r="G79" s="377"/>
      <c r="H79" s="2900"/>
      <c r="I79" s="2901"/>
      <c r="J79" s="2901"/>
      <c r="K79" s="2901"/>
      <c r="L79" s="595">
        <f t="shared" si="19"/>
        <v>3</v>
      </c>
      <c r="M79" s="604">
        <f t="shared" si="20"/>
        <v>3</v>
      </c>
      <c r="N79" s="585">
        <f>スコア入力!AC79</f>
        <v>0.25</v>
      </c>
      <c r="O79" s="585">
        <f>スコア入力!AE79</f>
        <v>0.3</v>
      </c>
      <c r="P79" s="604">
        <f t="shared" si="21"/>
        <v>0</v>
      </c>
      <c r="Q79" s="604">
        <f t="shared" si="22"/>
        <v>0</v>
      </c>
      <c r="R79" s="585">
        <f>スコア入力!AJ79</f>
        <v>0</v>
      </c>
      <c r="S79" s="585">
        <f>スコア入力!AL79</f>
        <v>0</v>
      </c>
      <c r="T79" s="586"/>
      <c r="U79" s="586"/>
      <c r="W79" s="575">
        <f t="shared" si="23"/>
        <v>3</v>
      </c>
      <c r="X79" s="575">
        <f t="shared" si="24"/>
        <v>3.0000000000000004</v>
      </c>
      <c r="Y79" s="243">
        <f>スコア入力!AA79</f>
        <v>0.25000000000000006</v>
      </c>
      <c r="Z79" s="243">
        <f>スコア入力!AB79</f>
        <v>0.29999999999999988</v>
      </c>
      <c r="AA79" s="575">
        <f t="shared" si="25"/>
        <v>0</v>
      </c>
      <c r="AB79" s="575">
        <f t="shared" si="26"/>
        <v>0</v>
      </c>
      <c r="AC79" s="243">
        <f>スコア入力!AH79</f>
        <v>0</v>
      </c>
      <c r="AD79" s="243">
        <f>スコア入力!AI79</f>
        <v>0</v>
      </c>
      <c r="AE79" s="6"/>
      <c r="AF79" s="604">
        <f>SUMPRODUCT(AF80:AF85,AH80:AH85)</f>
        <v>3</v>
      </c>
      <c r="AG79" s="604">
        <f>SUMPRODUCT(AG80:AG85,AI80:AI85)</f>
        <v>3.0000000000000004</v>
      </c>
      <c r="AH79" s="585">
        <f>スコア入力!AC79</f>
        <v>0.25</v>
      </c>
      <c r="AI79" s="585">
        <f>スコア入力!AE79</f>
        <v>0.3</v>
      </c>
      <c r="AJ79" s="604">
        <f>SUMPRODUCT(AJ80:AJ85,AL80:AL85)</f>
        <v>0</v>
      </c>
      <c r="AK79" s="604">
        <f>SUMPRODUCT(AK80:AK85,AM80:AM85)</f>
        <v>0</v>
      </c>
      <c r="AL79" s="585">
        <f>スコア入力!AJ79</f>
        <v>0</v>
      </c>
      <c r="AM79" s="585">
        <f>スコア入力!AL79</f>
        <v>0</v>
      </c>
      <c r="AN79" s="586"/>
      <c r="AO79" s="586"/>
    </row>
    <row r="80" spans="2:41" ht="13.5">
      <c r="B80" s="338"/>
      <c r="C80" s="337"/>
      <c r="D80" s="304">
        <v>1</v>
      </c>
      <c r="E80" s="324" t="s">
        <v>643</v>
      </c>
      <c r="F80" s="327"/>
      <c r="G80" s="327"/>
      <c r="H80" s="2900"/>
      <c r="I80" s="2901"/>
      <c r="J80" s="2901"/>
      <c r="K80" s="2902"/>
      <c r="L80" s="590">
        <f t="shared" si="19"/>
        <v>3</v>
      </c>
      <c r="M80" s="590">
        <f t="shared" si="20"/>
        <v>3</v>
      </c>
      <c r="N80" s="585">
        <f>スコア入力!AC80</f>
        <v>0.25</v>
      </c>
      <c r="O80" s="585">
        <f>スコア入力!AE80</f>
        <v>0.2</v>
      </c>
      <c r="P80" s="590">
        <f t="shared" si="21"/>
        <v>0</v>
      </c>
      <c r="Q80" s="590">
        <f t="shared" si="22"/>
        <v>0</v>
      </c>
      <c r="R80" s="585">
        <f>スコア入力!AJ80</f>
        <v>0</v>
      </c>
      <c r="S80" s="585">
        <f>スコア入力!AL80</f>
        <v>0</v>
      </c>
      <c r="T80" s="586"/>
      <c r="U80" s="586"/>
      <c r="W80" s="244">
        <f t="shared" si="23"/>
        <v>3</v>
      </c>
      <c r="X80" s="244">
        <f t="shared" si="24"/>
        <v>3</v>
      </c>
      <c r="Y80" s="243">
        <f>スコア入力!AA80</f>
        <v>0.20000000000000004</v>
      </c>
      <c r="Z80" s="243">
        <f>スコア入力!AB80</f>
        <v>0.2</v>
      </c>
      <c r="AA80" s="244">
        <f t="shared" si="25"/>
        <v>0</v>
      </c>
      <c r="AB80" s="244">
        <f t="shared" si="26"/>
        <v>0</v>
      </c>
      <c r="AC80" s="243">
        <f>スコア入力!AH80</f>
        <v>0</v>
      </c>
      <c r="AD80" s="243">
        <f>スコア入力!AI80</f>
        <v>0</v>
      </c>
      <c r="AE80" s="6"/>
      <c r="AF80" s="592">
        <f>スコア入力!N80</f>
        <v>3</v>
      </c>
      <c r="AG80" s="592">
        <f>スコア入力!P80</f>
        <v>3</v>
      </c>
      <c r="AH80" s="585">
        <f>スコア入力!AC80</f>
        <v>0.25</v>
      </c>
      <c r="AI80" s="585">
        <f>スコア入力!AE80</f>
        <v>0.2</v>
      </c>
      <c r="AJ80" s="592">
        <f>スコア入力!U80</f>
        <v>0</v>
      </c>
      <c r="AK80" s="592">
        <f>スコア入力!W80</f>
        <v>0</v>
      </c>
      <c r="AL80" s="585">
        <f>スコア入力!AJ80</f>
        <v>0</v>
      </c>
      <c r="AM80" s="585">
        <f>スコア入力!AL80</f>
        <v>0</v>
      </c>
      <c r="AN80" s="586"/>
      <c r="AO80" s="586"/>
    </row>
    <row r="81" spans="2:41" ht="13.5">
      <c r="B81" s="338"/>
      <c r="C81" s="337"/>
      <c r="D81" s="304">
        <v>2</v>
      </c>
      <c r="E81" s="324" t="s">
        <v>644</v>
      </c>
      <c r="F81" s="327"/>
      <c r="G81" s="327"/>
      <c r="H81" s="2900"/>
      <c r="I81" s="2901"/>
      <c r="J81" s="2901"/>
      <c r="K81" s="2902"/>
      <c r="L81" s="596">
        <f t="shared" si="19"/>
        <v>3</v>
      </c>
      <c r="M81" s="596">
        <f t="shared" si="20"/>
        <v>3</v>
      </c>
      <c r="N81" s="585">
        <f>スコア入力!AC81</f>
        <v>0.25</v>
      </c>
      <c r="O81" s="585">
        <f>スコア入力!AE81</f>
        <v>0.2</v>
      </c>
      <c r="P81" s="596">
        <f t="shared" si="21"/>
        <v>0</v>
      </c>
      <c r="Q81" s="596">
        <f t="shared" si="22"/>
        <v>0</v>
      </c>
      <c r="R81" s="585">
        <f>スコア入力!AJ81</f>
        <v>0</v>
      </c>
      <c r="S81" s="585">
        <f>スコア入力!AL81</f>
        <v>0</v>
      </c>
      <c r="T81" s="586"/>
      <c r="U81" s="586"/>
      <c r="W81" s="244">
        <f t="shared" si="23"/>
        <v>3</v>
      </c>
      <c r="X81" s="244">
        <f t="shared" si="24"/>
        <v>3</v>
      </c>
      <c r="Y81" s="243">
        <f>スコア入力!AA81</f>
        <v>0.20000000000000004</v>
      </c>
      <c r="Z81" s="243">
        <f>スコア入力!AB81</f>
        <v>0.2</v>
      </c>
      <c r="AA81" s="244">
        <f t="shared" si="25"/>
        <v>0</v>
      </c>
      <c r="AB81" s="244">
        <f t="shared" si="26"/>
        <v>0</v>
      </c>
      <c r="AC81" s="243">
        <f>スコア入力!AH81</f>
        <v>0</v>
      </c>
      <c r="AD81" s="243">
        <f>スコア入力!AI81</f>
        <v>0</v>
      </c>
      <c r="AE81" s="6"/>
      <c r="AF81" s="427">
        <f>スコア入力!N81</f>
        <v>3</v>
      </c>
      <c r="AG81" s="427">
        <f>スコア入力!P81</f>
        <v>3</v>
      </c>
      <c r="AH81" s="585">
        <f>スコア入力!AC81</f>
        <v>0.25</v>
      </c>
      <c r="AI81" s="585">
        <f>スコア入力!AE81</f>
        <v>0.2</v>
      </c>
      <c r="AJ81" s="427">
        <f>スコア入力!U81</f>
        <v>0</v>
      </c>
      <c r="AK81" s="427">
        <f>スコア入力!W81</f>
        <v>0</v>
      </c>
      <c r="AL81" s="585">
        <f>スコア入力!AJ81</f>
        <v>0</v>
      </c>
      <c r="AM81" s="585">
        <f>スコア入力!AL81</f>
        <v>0</v>
      </c>
      <c r="AN81" s="586"/>
      <c r="AO81" s="586"/>
    </row>
    <row r="82" spans="2:41" ht="13.5">
      <c r="B82" s="338"/>
      <c r="C82" s="337"/>
      <c r="D82" s="304">
        <v>3</v>
      </c>
      <c r="E82" s="324" t="s">
        <v>645</v>
      </c>
      <c r="F82" s="327"/>
      <c r="G82" s="327"/>
      <c r="H82" s="2900"/>
      <c r="I82" s="2901"/>
      <c r="J82" s="2901"/>
      <c r="K82" s="2902"/>
      <c r="L82" s="596">
        <f t="shared" si="19"/>
        <v>0</v>
      </c>
      <c r="M82" s="596">
        <f t="shared" si="20"/>
        <v>3</v>
      </c>
      <c r="N82" s="585">
        <f>スコア入力!AC82</f>
        <v>0</v>
      </c>
      <c r="O82" s="585">
        <f>スコア入力!AE82</f>
        <v>0.1</v>
      </c>
      <c r="P82" s="596">
        <f t="shared" si="21"/>
        <v>0</v>
      </c>
      <c r="Q82" s="596">
        <f t="shared" si="22"/>
        <v>0</v>
      </c>
      <c r="R82" s="585">
        <f>スコア入力!AJ82</f>
        <v>0</v>
      </c>
      <c r="S82" s="585">
        <f>スコア入力!AL82</f>
        <v>0</v>
      </c>
      <c r="T82" s="586"/>
      <c r="U82" s="586"/>
      <c r="W82" s="244">
        <f t="shared" si="23"/>
        <v>0</v>
      </c>
      <c r="X82" s="244">
        <f t="shared" si="24"/>
        <v>3</v>
      </c>
      <c r="Y82" s="243">
        <f>スコア入力!AA82</f>
        <v>0</v>
      </c>
      <c r="Z82" s="243">
        <f>スコア入力!AB82</f>
        <v>0.1</v>
      </c>
      <c r="AA82" s="244">
        <f t="shared" si="25"/>
        <v>0</v>
      </c>
      <c r="AB82" s="244">
        <f t="shared" si="26"/>
        <v>0</v>
      </c>
      <c r="AC82" s="243">
        <f>スコア入力!AH82</f>
        <v>0</v>
      </c>
      <c r="AD82" s="243">
        <f>スコア入力!AI82</f>
        <v>0</v>
      </c>
      <c r="AE82" s="6"/>
      <c r="AF82" s="427">
        <f>スコア入力!N82</f>
        <v>0</v>
      </c>
      <c r="AG82" s="427">
        <f>スコア入力!P82</f>
        <v>3</v>
      </c>
      <c r="AH82" s="585">
        <f>スコア入力!AC82</f>
        <v>0</v>
      </c>
      <c r="AI82" s="585">
        <f>スコア入力!AE82</f>
        <v>0.1</v>
      </c>
      <c r="AJ82" s="427">
        <f>スコア入力!U82</f>
        <v>0</v>
      </c>
      <c r="AK82" s="427">
        <f>スコア入力!W82</f>
        <v>0</v>
      </c>
      <c r="AL82" s="585">
        <f>スコア入力!AJ82</f>
        <v>0</v>
      </c>
      <c r="AM82" s="585">
        <f>スコア入力!AL82</f>
        <v>0</v>
      </c>
      <c r="AN82" s="586"/>
      <c r="AO82" s="586"/>
    </row>
    <row r="83" spans="2:41" ht="13.5">
      <c r="B83" s="338"/>
      <c r="C83" s="337"/>
      <c r="D83" s="304">
        <v>4</v>
      </c>
      <c r="E83" s="324" t="s">
        <v>646</v>
      </c>
      <c r="F83" s="327"/>
      <c r="G83" s="327"/>
      <c r="H83" s="2900"/>
      <c r="I83" s="2901"/>
      <c r="J83" s="2901"/>
      <c r="K83" s="2902"/>
      <c r="L83" s="596">
        <f t="shared" si="19"/>
        <v>3</v>
      </c>
      <c r="M83" s="596">
        <f t="shared" si="20"/>
        <v>3</v>
      </c>
      <c r="N83" s="585">
        <f>スコア入力!AC83</f>
        <v>0.125</v>
      </c>
      <c r="O83" s="585">
        <f>スコア入力!AE83</f>
        <v>0.1</v>
      </c>
      <c r="P83" s="596">
        <f t="shared" si="21"/>
        <v>0</v>
      </c>
      <c r="Q83" s="596">
        <f t="shared" si="22"/>
        <v>0</v>
      </c>
      <c r="R83" s="585">
        <f>スコア入力!AJ83</f>
        <v>0</v>
      </c>
      <c r="S83" s="585">
        <f>スコア入力!AL83</f>
        <v>0</v>
      </c>
      <c r="T83" s="586"/>
      <c r="U83" s="586"/>
      <c r="W83" s="244">
        <f t="shared" si="23"/>
        <v>3</v>
      </c>
      <c r="X83" s="244">
        <f t="shared" si="24"/>
        <v>3</v>
      </c>
      <c r="Y83" s="243">
        <f>スコア入力!AA83</f>
        <v>0.10000000000000002</v>
      </c>
      <c r="Z83" s="243">
        <f>スコア入力!AB83</f>
        <v>0.1</v>
      </c>
      <c r="AA83" s="244">
        <f t="shared" si="25"/>
        <v>0</v>
      </c>
      <c r="AB83" s="244">
        <f t="shared" si="26"/>
        <v>0</v>
      </c>
      <c r="AC83" s="243">
        <f>スコア入力!AH83</f>
        <v>0</v>
      </c>
      <c r="AD83" s="243">
        <f>スコア入力!AI83</f>
        <v>0</v>
      </c>
      <c r="AE83" s="6"/>
      <c r="AF83" s="427">
        <f>スコア入力!N83</f>
        <v>3</v>
      </c>
      <c r="AG83" s="427">
        <f>スコア入力!P83</f>
        <v>3</v>
      </c>
      <c r="AH83" s="585">
        <f>スコア入力!AC83</f>
        <v>0.125</v>
      </c>
      <c r="AI83" s="585">
        <f>スコア入力!AE83</f>
        <v>0.1</v>
      </c>
      <c r="AJ83" s="427">
        <f>スコア入力!U83</f>
        <v>0</v>
      </c>
      <c r="AK83" s="427">
        <f>スコア入力!W83</f>
        <v>0</v>
      </c>
      <c r="AL83" s="585">
        <f>スコア入力!AJ83</f>
        <v>0</v>
      </c>
      <c r="AM83" s="585">
        <f>スコア入力!AL83</f>
        <v>0</v>
      </c>
      <c r="AN83" s="586"/>
      <c r="AO83" s="586"/>
    </row>
    <row r="84" spans="2:41" ht="13.5">
      <c r="B84" s="338"/>
      <c r="C84" s="337"/>
      <c r="D84" s="304">
        <v>5</v>
      </c>
      <c r="E84" s="324" t="s">
        <v>647</v>
      </c>
      <c r="F84" s="327"/>
      <c r="G84" s="327"/>
      <c r="H84" s="2900"/>
      <c r="I84" s="2901"/>
      <c r="J84" s="2901"/>
      <c r="K84" s="2902"/>
      <c r="L84" s="596">
        <f t="shared" si="19"/>
        <v>3</v>
      </c>
      <c r="M84" s="596">
        <f t="shared" si="20"/>
        <v>3</v>
      </c>
      <c r="N84" s="585">
        <f>スコア入力!AC84</f>
        <v>0.125</v>
      </c>
      <c r="O84" s="585">
        <f>スコア入力!AE84</f>
        <v>0.2</v>
      </c>
      <c r="P84" s="596">
        <f t="shared" si="21"/>
        <v>0</v>
      </c>
      <c r="Q84" s="596">
        <f t="shared" si="22"/>
        <v>0</v>
      </c>
      <c r="R84" s="585">
        <f>スコア入力!AJ84</f>
        <v>0</v>
      </c>
      <c r="S84" s="585">
        <f>スコア入力!AL84</f>
        <v>0</v>
      </c>
      <c r="T84" s="586"/>
      <c r="U84" s="586"/>
      <c r="W84" s="244">
        <f t="shared" si="23"/>
        <v>3</v>
      </c>
      <c r="X84" s="244">
        <f t="shared" si="24"/>
        <v>3</v>
      </c>
      <c r="Y84" s="243">
        <f>スコア入力!AA84</f>
        <v>0.10000000000000002</v>
      </c>
      <c r="Z84" s="243">
        <f>スコア入力!AB84</f>
        <v>0.2</v>
      </c>
      <c r="AA84" s="244">
        <f t="shared" si="25"/>
        <v>0</v>
      </c>
      <c r="AB84" s="244">
        <f t="shared" si="26"/>
        <v>0</v>
      </c>
      <c r="AC84" s="243">
        <f>スコア入力!AH84</f>
        <v>0</v>
      </c>
      <c r="AD84" s="243">
        <f>スコア入力!AI84</f>
        <v>0</v>
      </c>
      <c r="AE84" s="6"/>
      <c r="AF84" s="427">
        <f>スコア入力!N84</f>
        <v>3</v>
      </c>
      <c r="AG84" s="427">
        <f>スコア入力!P84</f>
        <v>3</v>
      </c>
      <c r="AH84" s="585">
        <f>スコア入力!AC84</f>
        <v>0.125</v>
      </c>
      <c r="AI84" s="585">
        <f>スコア入力!AE84</f>
        <v>0.2</v>
      </c>
      <c r="AJ84" s="427">
        <f>スコア入力!U84</f>
        <v>0</v>
      </c>
      <c r="AK84" s="427">
        <f>スコア入力!W84</f>
        <v>0</v>
      </c>
      <c r="AL84" s="585">
        <f>スコア入力!AJ84</f>
        <v>0</v>
      </c>
      <c r="AM84" s="585">
        <f>スコア入力!AL84</f>
        <v>0</v>
      </c>
      <c r="AN84" s="586"/>
      <c r="AO84" s="586"/>
    </row>
    <row r="85" spans="2:41" ht="14.25" thickBot="1">
      <c r="B85" s="338"/>
      <c r="C85" s="346"/>
      <c r="D85" s="304">
        <v>6</v>
      </c>
      <c r="E85" s="324" t="s">
        <v>648</v>
      </c>
      <c r="F85" s="327"/>
      <c r="G85" s="327"/>
      <c r="H85" s="2900"/>
      <c r="I85" s="2901"/>
      <c r="J85" s="2901"/>
      <c r="K85" s="2902"/>
      <c r="L85" s="593">
        <f t="shared" si="19"/>
        <v>3</v>
      </c>
      <c r="M85" s="593">
        <f t="shared" si="20"/>
        <v>3</v>
      </c>
      <c r="N85" s="2351">
        <f>スコア入力!AC85</f>
        <v>0.25</v>
      </c>
      <c r="O85" s="585">
        <f>スコア入力!AE85</f>
        <v>0.2</v>
      </c>
      <c r="P85" s="593">
        <f t="shared" si="21"/>
        <v>0</v>
      </c>
      <c r="Q85" s="593">
        <f t="shared" si="22"/>
        <v>0</v>
      </c>
      <c r="R85" s="585">
        <f>スコア入力!AJ85</f>
        <v>0</v>
      </c>
      <c r="S85" s="585">
        <f>スコア入力!AL85</f>
        <v>0</v>
      </c>
      <c r="T85" s="586"/>
      <c r="U85" s="586"/>
      <c r="W85" s="244">
        <f t="shared" si="23"/>
        <v>3</v>
      </c>
      <c r="X85" s="244">
        <f t="shared" si="24"/>
        <v>3</v>
      </c>
      <c r="Y85" s="243">
        <f>スコア入力!AA85</f>
        <v>0.20000000000000004</v>
      </c>
      <c r="Z85" s="243">
        <f>スコア入力!AB85</f>
        <v>0.2</v>
      </c>
      <c r="AA85" s="244">
        <f t="shared" si="25"/>
        <v>0</v>
      </c>
      <c r="AB85" s="244">
        <f t="shared" si="26"/>
        <v>0</v>
      </c>
      <c r="AC85" s="243">
        <f>スコア入力!AH85</f>
        <v>0</v>
      </c>
      <c r="AD85" s="243">
        <f>スコア入力!AI85</f>
        <v>0</v>
      </c>
      <c r="AE85" s="6"/>
      <c r="AF85" s="594">
        <f>スコア入力!N85</f>
        <v>3</v>
      </c>
      <c r="AG85" s="594">
        <f>スコア入力!P85</f>
        <v>3</v>
      </c>
      <c r="AH85" s="585">
        <f>スコア入力!AC85</f>
        <v>0.25</v>
      </c>
      <c r="AI85" s="585">
        <f>スコア入力!AE85</f>
        <v>0.2</v>
      </c>
      <c r="AJ85" s="594">
        <f>スコア入力!U85</f>
        <v>0</v>
      </c>
      <c r="AK85" s="594">
        <f>スコア入力!W85</f>
        <v>0</v>
      </c>
      <c r="AL85" s="585">
        <f>スコア入力!AJ85</f>
        <v>0</v>
      </c>
      <c r="AM85" s="585">
        <f>スコア入力!AL85</f>
        <v>0</v>
      </c>
      <c r="AN85" s="586"/>
      <c r="AO85" s="586"/>
    </row>
    <row r="86" spans="2:41" ht="14.25" thickBot="1">
      <c r="B86" s="338"/>
      <c r="C86" s="296">
        <v>2.2999999999999998</v>
      </c>
      <c r="D86" s="297" t="s">
        <v>649</v>
      </c>
      <c r="E86" s="618"/>
      <c r="F86" s="619"/>
      <c r="G86" s="619"/>
      <c r="H86" s="2900"/>
      <c r="I86" s="2901"/>
      <c r="J86" s="2901"/>
      <c r="K86" s="2902"/>
      <c r="L86" s="595">
        <f t="shared" si="19"/>
        <v>3.7</v>
      </c>
      <c r="M86" s="620">
        <f t="shared" si="20"/>
        <v>0</v>
      </c>
      <c r="N86" s="585">
        <f>スコア入力!AC86</f>
        <v>0.25</v>
      </c>
      <c r="O86" s="585">
        <f>スコア入力!AE86</f>
        <v>0</v>
      </c>
      <c r="P86" s="2349">
        <f t="shared" si="21"/>
        <v>0</v>
      </c>
      <c r="Q86" s="2350">
        <f t="shared" si="22"/>
        <v>0</v>
      </c>
      <c r="R86" s="585">
        <f>スコア入力!AJ86</f>
        <v>0</v>
      </c>
      <c r="S86" s="585">
        <f>スコア入力!AL86</f>
        <v>0</v>
      </c>
      <c r="T86" s="586"/>
      <c r="U86" s="586"/>
      <c r="W86" s="575">
        <f t="shared" si="23"/>
        <v>3.75</v>
      </c>
      <c r="X86" s="575">
        <f t="shared" si="24"/>
        <v>0</v>
      </c>
      <c r="Y86" s="243">
        <f>スコア入力!AA86</f>
        <v>0.25000000000000006</v>
      </c>
      <c r="Z86" s="243">
        <f>スコア入力!AB86</f>
        <v>0</v>
      </c>
      <c r="AA86" s="575">
        <f t="shared" si="25"/>
        <v>0</v>
      </c>
      <c r="AB86" s="575">
        <f t="shared" si="26"/>
        <v>0</v>
      </c>
      <c r="AC86" s="243">
        <f>スコア入力!AH86</f>
        <v>0</v>
      </c>
      <c r="AD86" s="243">
        <f>スコア入力!AI86</f>
        <v>0</v>
      </c>
      <c r="AE86" s="6"/>
      <c r="AF86" s="604">
        <f>SUMPRODUCT(AF87:AF89,AH87:AH89)</f>
        <v>3.75</v>
      </c>
      <c r="AG86" s="604">
        <f>SUMPRODUCT(AG87:AG89,AI87:AI89)</f>
        <v>0</v>
      </c>
      <c r="AH86" s="585">
        <f>スコア入力!AC86</f>
        <v>0.25</v>
      </c>
      <c r="AI86" s="585">
        <f>スコア入力!AE86</f>
        <v>0</v>
      </c>
      <c r="AJ86" s="604">
        <f>SUMPRODUCT(AJ87:AJ89,AL87:AL89)</f>
        <v>0</v>
      </c>
      <c r="AK86" s="604">
        <f>SUMPRODUCT(AK87:AK89,AM87:AM89)</f>
        <v>0</v>
      </c>
      <c r="AL86" s="585">
        <f>スコア入力!AJ86</f>
        <v>0</v>
      </c>
      <c r="AM86" s="585">
        <f>スコア入力!AL86</f>
        <v>0</v>
      </c>
      <c r="AN86" s="586"/>
      <c r="AO86" s="586"/>
    </row>
    <row r="87" spans="2:41" ht="13.5">
      <c r="B87" s="338"/>
      <c r="C87" s="621"/>
      <c r="D87" s="622">
        <v>1</v>
      </c>
      <c r="E87" s="623" t="s">
        <v>650</v>
      </c>
      <c r="F87" s="619"/>
      <c r="G87" s="619"/>
      <c r="H87" s="2900"/>
      <c r="I87" s="2901"/>
      <c r="J87" s="2901"/>
      <c r="K87" s="2902"/>
      <c r="L87" s="590">
        <f t="shared" si="19"/>
        <v>3</v>
      </c>
      <c r="M87" s="590">
        <f t="shared" si="20"/>
        <v>0</v>
      </c>
      <c r="N87" s="585">
        <f>スコア入力!AC87</f>
        <v>0.41666666666666663</v>
      </c>
      <c r="O87" s="585">
        <f>スコア入力!AE87</f>
        <v>0</v>
      </c>
      <c r="P87" s="590">
        <f t="shared" si="21"/>
        <v>0</v>
      </c>
      <c r="Q87" s="590">
        <f t="shared" si="22"/>
        <v>0</v>
      </c>
      <c r="R87" s="585">
        <f>スコア入力!AJ87</f>
        <v>0</v>
      </c>
      <c r="S87" s="585">
        <f>スコア入力!AL87</f>
        <v>0</v>
      </c>
      <c r="T87" s="586"/>
      <c r="U87" s="586"/>
      <c r="W87" s="244">
        <f t="shared" si="23"/>
        <v>3</v>
      </c>
      <c r="X87" s="244">
        <f t="shared" si="24"/>
        <v>3</v>
      </c>
      <c r="Y87" s="243">
        <f>スコア入力!AA87</f>
        <v>0.33333333333333337</v>
      </c>
      <c r="Z87" s="243">
        <f>スコア入力!AB87</f>
        <v>0</v>
      </c>
      <c r="AA87" s="244">
        <f t="shared" si="25"/>
        <v>0</v>
      </c>
      <c r="AB87" s="244">
        <f t="shared" si="26"/>
        <v>0</v>
      </c>
      <c r="AC87" s="243">
        <f>スコア入力!AH87</f>
        <v>0</v>
      </c>
      <c r="AD87" s="243">
        <f>スコア入力!AI87</f>
        <v>0</v>
      </c>
      <c r="AE87" s="6"/>
      <c r="AF87" s="592">
        <f>スコア入力!N87</f>
        <v>3</v>
      </c>
      <c r="AG87" s="592">
        <f>スコア入力!P87</f>
        <v>3</v>
      </c>
      <c r="AH87" s="585">
        <f>スコア入力!AC87</f>
        <v>0.41666666666666663</v>
      </c>
      <c r="AI87" s="585">
        <f>スコア入力!AE87</f>
        <v>0</v>
      </c>
      <c r="AJ87" s="592">
        <f>スコア入力!U87</f>
        <v>0</v>
      </c>
      <c r="AK87" s="592">
        <f>スコア入力!W87</f>
        <v>0</v>
      </c>
      <c r="AL87" s="585">
        <f>スコア入力!AJ87</f>
        <v>0</v>
      </c>
      <c r="AM87" s="585">
        <f>スコア入力!AL87</f>
        <v>0</v>
      </c>
      <c r="AN87" s="586"/>
      <c r="AO87" s="586"/>
    </row>
    <row r="88" spans="2:41" ht="13.5">
      <c r="B88" s="338"/>
      <c r="C88" s="621"/>
      <c r="D88" s="622">
        <v>2</v>
      </c>
      <c r="E88" s="623" t="s">
        <v>651</v>
      </c>
      <c r="F88" s="619"/>
      <c r="G88" s="619"/>
      <c r="H88" s="2900"/>
      <c r="I88" s="2901"/>
      <c r="J88" s="2901"/>
      <c r="K88" s="2902"/>
      <c r="L88" s="596">
        <f t="shared" si="19"/>
        <v>3</v>
      </c>
      <c r="M88" s="596">
        <f t="shared" si="20"/>
        <v>0</v>
      </c>
      <c r="N88" s="585">
        <f>スコア入力!AC88</f>
        <v>0.41666666666666663</v>
      </c>
      <c r="O88" s="585">
        <f>スコア入力!AE88</f>
        <v>0</v>
      </c>
      <c r="P88" s="596">
        <f t="shared" si="21"/>
        <v>0</v>
      </c>
      <c r="Q88" s="596">
        <f t="shared" si="22"/>
        <v>0</v>
      </c>
      <c r="R88" s="585">
        <f>スコア入力!AJ88</f>
        <v>0</v>
      </c>
      <c r="S88" s="585">
        <f>スコア入力!AL88</f>
        <v>0</v>
      </c>
      <c r="T88" s="586"/>
      <c r="U88" s="586"/>
      <c r="W88" s="244">
        <f t="shared" si="23"/>
        <v>3</v>
      </c>
      <c r="X88" s="244">
        <f t="shared" si="24"/>
        <v>3</v>
      </c>
      <c r="Y88" s="243">
        <f>スコア入力!AA88</f>
        <v>0.33333333333333337</v>
      </c>
      <c r="Z88" s="243">
        <f>スコア入力!AB88</f>
        <v>0</v>
      </c>
      <c r="AA88" s="244">
        <f t="shared" si="25"/>
        <v>0</v>
      </c>
      <c r="AB88" s="244">
        <f t="shared" si="26"/>
        <v>0</v>
      </c>
      <c r="AC88" s="243">
        <f>スコア入力!AH88</f>
        <v>0</v>
      </c>
      <c r="AD88" s="243">
        <f>スコア入力!AI88</f>
        <v>0</v>
      </c>
      <c r="AE88" s="6"/>
      <c r="AF88" s="427">
        <f>スコア入力!N88</f>
        <v>3</v>
      </c>
      <c r="AG88" s="427">
        <f>スコア入力!P88</f>
        <v>3</v>
      </c>
      <c r="AH88" s="585">
        <f>スコア入力!AC88</f>
        <v>0.41666666666666663</v>
      </c>
      <c r="AI88" s="585">
        <f>スコア入力!AE88</f>
        <v>0</v>
      </c>
      <c r="AJ88" s="427">
        <f>スコア入力!U88</f>
        <v>0</v>
      </c>
      <c r="AK88" s="427">
        <f>スコア入力!W88</f>
        <v>0</v>
      </c>
      <c r="AL88" s="585">
        <f>スコア入力!AJ88</f>
        <v>0</v>
      </c>
      <c r="AM88" s="585">
        <f>スコア入力!AL88</f>
        <v>0</v>
      </c>
      <c r="AN88" s="586"/>
      <c r="AO88" s="586"/>
    </row>
    <row r="89" spans="2:41" ht="14.25" thickBot="1">
      <c r="B89" s="338"/>
      <c r="C89" s="621"/>
      <c r="D89" s="622">
        <v>3</v>
      </c>
      <c r="E89" s="623" t="s">
        <v>652</v>
      </c>
      <c r="F89" s="619"/>
      <c r="G89" s="619"/>
      <c r="H89" s="2900"/>
      <c r="I89" s="2901"/>
      <c r="J89" s="2901"/>
      <c r="K89" s="2902"/>
      <c r="L89" s="593">
        <f t="shared" si="19"/>
        <v>3</v>
      </c>
      <c r="M89" s="593">
        <f t="shared" si="20"/>
        <v>0</v>
      </c>
      <c r="N89" s="585">
        <f>スコア入力!AC89</f>
        <v>0.41666666666666663</v>
      </c>
      <c r="O89" s="585">
        <f>スコア入力!AE89</f>
        <v>0</v>
      </c>
      <c r="P89" s="593">
        <f t="shared" si="21"/>
        <v>0</v>
      </c>
      <c r="Q89" s="593">
        <f t="shared" si="22"/>
        <v>0</v>
      </c>
      <c r="R89" s="585">
        <f>スコア入力!AJ89</f>
        <v>0</v>
      </c>
      <c r="S89" s="585">
        <f>スコア入力!AL89</f>
        <v>0</v>
      </c>
      <c r="T89" s="586"/>
      <c r="U89" s="586"/>
      <c r="W89" s="244">
        <f t="shared" si="23"/>
        <v>3</v>
      </c>
      <c r="X89" s="244">
        <f t="shared" si="24"/>
        <v>3</v>
      </c>
      <c r="Y89" s="243">
        <f>スコア入力!AA89</f>
        <v>0.33333333333333337</v>
      </c>
      <c r="Z89" s="243">
        <f>スコア入力!AB89</f>
        <v>0</v>
      </c>
      <c r="AA89" s="244">
        <f t="shared" si="25"/>
        <v>0</v>
      </c>
      <c r="AB89" s="244">
        <f t="shared" si="26"/>
        <v>0</v>
      </c>
      <c r="AC89" s="243">
        <f>スコア入力!AH89</f>
        <v>0</v>
      </c>
      <c r="AD89" s="243">
        <f>スコア入力!AI89</f>
        <v>0</v>
      </c>
      <c r="AE89" s="6"/>
      <c r="AF89" s="594">
        <f>スコア入力!N89</f>
        <v>3</v>
      </c>
      <c r="AG89" s="594">
        <f>スコア入力!P89</f>
        <v>3</v>
      </c>
      <c r="AH89" s="585">
        <f>スコア入力!AC89</f>
        <v>0.41666666666666663</v>
      </c>
      <c r="AI89" s="585">
        <f>スコア入力!AE89</f>
        <v>0</v>
      </c>
      <c r="AJ89" s="594">
        <f>スコア入力!U89</f>
        <v>0</v>
      </c>
      <c r="AK89" s="594">
        <f>スコア入力!W89</f>
        <v>0</v>
      </c>
      <c r="AL89" s="585">
        <f>スコア入力!AJ89</f>
        <v>0</v>
      </c>
      <c r="AM89" s="585">
        <f>スコア入力!AL89</f>
        <v>0</v>
      </c>
      <c r="AN89" s="586"/>
      <c r="AO89" s="586"/>
    </row>
    <row r="90" spans="2:41" ht="14.25" thickBot="1">
      <c r="B90" s="338"/>
      <c r="C90" s="296">
        <v>2.4</v>
      </c>
      <c r="D90" s="624" t="s">
        <v>653</v>
      </c>
      <c r="E90" s="324"/>
      <c r="F90" s="377"/>
      <c r="G90" s="377"/>
      <c r="H90" s="2900"/>
      <c r="I90" s="2901"/>
      <c r="J90" s="2901"/>
      <c r="K90" s="2902"/>
      <c r="L90" s="595">
        <f t="shared" si="19"/>
        <v>3</v>
      </c>
      <c r="M90" s="604">
        <f t="shared" si="20"/>
        <v>3</v>
      </c>
      <c r="N90" s="585">
        <f>スコア入力!AC90</f>
        <v>0.25</v>
      </c>
      <c r="O90" s="585">
        <f>スコア入力!AE90</f>
        <v>0.20000000000000004</v>
      </c>
      <c r="P90" s="625">
        <f t="shared" si="21"/>
        <v>0</v>
      </c>
      <c r="Q90" s="604">
        <f t="shared" si="22"/>
        <v>0</v>
      </c>
      <c r="R90" s="585">
        <f>スコア入力!AJ90</f>
        <v>0</v>
      </c>
      <c r="S90" s="585">
        <f>スコア入力!AL90</f>
        <v>0</v>
      </c>
      <c r="T90" s="586"/>
      <c r="U90" s="586"/>
      <c r="W90" s="575">
        <f t="shared" si="23"/>
        <v>3</v>
      </c>
      <c r="X90" s="575">
        <f t="shared" si="24"/>
        <v>3.0000000000000004</v>
      </c>
      <c r="Y90" s="243">
        <f>スコア入力!AA90</f>
        <v>0.25000000000000006</v>
      </c>
      <c r="Z90" s="243">
        <f>スコア入力!AB90</f>
        <v>0.19999999999999998</v>
      </c>
      <c r="AA90" s="575">
        <f t="shared" si="25"/>
        <v>0</v>
      </c>
      <c r="AB90" s="575">
        <f t="shared" si="26"/>
        <v>0</v>
      </c>
      <c r="AC90" s="243">
        <f>スコア入力!AH90</f>
        <v>0</v>
      </c>
      <c r="AD90" s="243">
        <f>スコア入力!AI90</f>
        <v>0</v>
      </c>
      <c r="AE90" s="6"/>
      <c r="AF90" s="604">
        <f>SUMPRODUCT(AF91:AF95,AH91:AH95)</f>
        <v>3</v>
      </c>
      <c r="AG90" s="604">
        <f>SUMPRODUCT(AG91:AG95,AI91:AI95)</f>
        <v>3.0000000000000004</v>
      </c>
      <c r="AH90" s="585">
        <f>スコア入力!AC90</f>
        <v>0.25</v>
      </c>
      <c r="AI90" s="585">
        <f>スコア入力!AE90</f>
        <v>0.20000000000000004</v>
      </c>
      <c r="AJ90" s="604">
        <f>SUMPRODUCT(AJ91:AJ95,AL91:AL95)</f>
        <v>0</v>
      </c>
      <c r="AK90" s="604">
        <f>SUMPRODUCT(AK91:AK95,AM91:AM95)</f>
        <v>0</v>
      </c>
      <c r="AL90" s="585">
        <f>スコア入力!AJ90</f>
        <v>0</v>
      </c>
      <c r="AM90" s="585">
        <f>スコア入力!AL90</f>
        <v>0</v>
      </c>
      <c r="AN90" s="586"/>
      <c r="AO90" s="586"/>
    </row>
    <row r="91" spans="2:41" ht="13.5">
      <c r="B91" s="338"/>
      <c r="C91" s="337"/>
      <c r="D91" s="304">
        <v>1</v>
      </c>
      <c r="E91" s="324" t="s">
        <v>654</v>
      </c>
      <c r="F91" s="327"/>
      <c r="G91" s="327"/>
      <c r="H91" s="2900"/>
      <c r="I91" s="2901"/>
      <c r="J91" s="2901"/>
      <c r="K91" s="2902"/>
      <c r="L91" s="590">
        <f t="shared" si="19"/>
        <v>3</v>
      </c>
      <c r="M91" s="590">
        <f t="shared" si="20"/>
        <v>3</v>
      </c>
      <c r="N91" s="585">
        <f>スコア入力!AC91</f>
        <v>0.19999999999999998</v>
      </c>
      <c r="O91" s="585">
        <f>スコア入力!AE91</f>
        <v>0.2</v>
      </c>
      <c r="P91" s="590">
        <f t="shared" si="21"/>
        <v>0</v>
      </c>
      <c r="Q91" s="590">
        <f t="shared" si="22"/>
        <v>0</v>
      </c>
      <c r="R91" s="585">
        <f>スコア入力!AJ91</f>
        <v>0</v>
      </c>
      <c r="S91" s="585">
        <f>スコア入力!AL91</f>
        <v>0</v>
      </c>
      <c r="T91" s="586"/>
      <c r="U91" s="586"/>
      <c r="W91" s="244">
        <f t="shared" si="23"/>
        <v>3</v>
      </c>
      <c r="X91" s="244">
        <f t="shared" si="24"/>
        <v>3</v>
      </c>
      <c r="Y91" s="243">
        <f>スコア入力!AA91</f>
        <v>0.20000000000000004</v>
      </c>
      <c r="Z91" s="243">
        <f>スコア入力!AB91</f>
        <v>0.2</v>
      </c>
      <c r="AA91" s="244">
        <f t="shared" si="25"/>
        <v>0</v>
      </c>
      <c r="AB91" s="244">
        <f t="shared" si="26"/>
        <v>0</v>
      </c>
      <c r="AC91" s="243">
        <f>スコア入力!AH91</f>
        <v>0</v>
      </c>
      <c r="AD91" s="243">
        <f>スコア入力!AI91</f>
        <v>0</v>
      </c>
      <c r="AE91" s="6"/>
      <c r="AF91" s="592">
        <f>スコア入力!N91</f>
        <v>3</v>
      </c>
      <c r="AG91" s="592">
        <f>スコア入力!P91</f>
        <v>3</v>
      </c>
      <c r="AH91" s="585">
        <f>スコア入力!AC91</f>
        <v>0.19999999999999998</v>
      </c>
      <c r="AI91" s="585">
        <f>スコア入力!AE91</f>
        <v>0.2</v>
      </c>
      <c r="AJ91" s="592">
        <f>スコア入力!U91</f>
        <v>0</v>
      </c>
      <c r="AK91" s="592">
        <f>スコア入力!W91</f>
        <v>0</v>
      </c>
      <c r="AL91" s="585">
        <f>スコア入力!AJ91</f>
        <v>0</v>
      </c>
      <c r="AM91" s="585">
        <f>スコア入力!AL91</f>
        <v>0</v>
      </c>
      <c r="AN91" s="586"/>
      <c r="AO91" s="586"/>
    </row>
    <row r="92" spans="2:41" ht="13.5">
      <c r="B92" s="295"/>
      <c r="C92" s="337"/>
      <c r="D92" s="304">
        <v>2</v>
      </c>
      <c r="E92" s="324" t="s">
        <v>655</v>
      </c>
      <c r="F92" s="327"/>
      <c r="G92" s="327"/>
      <c r="H92" s="2900"/>
      <c r="I92" s="2901"/>
      <c r="J92" s="2901"/>
      <c r="K92" s="2902"/>
      <c r="L92" s="596">
        <f t="shared" si="19"/>
        <v>3</v>
      </c>
      <c r="M92" s="596">
        <f t="shared" si="20"/>
        <v>3</v>
      </c>
      <c r="N92" s="585">
        <f>スコア入力!AC92</f>
        <v>0.19999999999999998</v>
      </c>
      <c r="O92" s="585">
        <f>スコア入力!AE92</f>
        <v>0.2</v>
      </c>
      <c r="P92" s="596">
        <f t="shared" si="21"/>
        <v>0</v>
      </c>
      <c r="Q92" s="596">
        <f t="shared" si="22"/>
        <v>0</v>
      </c>
      <c r="R92" s="585">
        <f>スコア入力!AJ92</f>
        <v>0</v>
      </c>
      <c r="S92" s="585">
        <f>スコア入力!AL92</f>
        <v>0</v>
      </c>
      <c r="T92" s="586"/>
      <c r="U92" s="586"/>
      <c r="W92" s="244">
        <f t="shared" si="23"/>
        <v>3</v>
      </c>
      <c r="X92" s="244">
        <f t="shared" si="24"/>
        <v>3</v>
      </c>
      <c r="Y92" s="243">
        <f>スコア入力!AA92</f>
        <v>0.20000000000000004</v>
      </c>
      <c r="Z92" s="243">
        <f>スコア入力!AB92</f>
        <v>0.2</v>
      </c>
      <c r="AA92" s="244">
        <f t="shared" si="25"/>
        <v>0</v>
      </c>
      <c r="AB92" s="244">
        <f t="shared" si="26"/>
        <v>0</v>
      </c>
      <c r="AC92" s="243">
        <f>スコア入力!AH92</f>
        <v>0</v>
      </c>
      <c r="AD92" s="243">
        <f>スコア入力!AI92</f>
        <v>0</v>
      </c>
      <c r="AE92" s="6"/>
      <c r="AF92" s="427">
        <f>スコア入力!N92</f>
        <v>3</v>
      </c>
      <c r="AG92" s="427">
        <f>スコア入力!P92</f>
        <v>3</v>
      </c>
      <c r="AH92" s="585">
        <f>スコア入力!AC92</f>
        <v>0.19999999999999998</v>
      </c>
      <c r="AI92" s="585">
        <f>スコア入力!AE92</f>
        <v>0.2</v>
      </c>
      <c r="AJ92" s="427">
        <f>スコア入力!U92</f>
        <v>0</v>
      </c>
      <c r="AK92" s="427">
        <f>スコア入力!W92</f>
        <v>0</v>
      </c>
      <c r="AL92" s="585">
        <f>スコア入力!AJ92</f>
        <v>0</v>
      </c>
      <c r="AM92" s="585">
        <f>スコア入力!AL92</f>
        <v>0</v>
      </c>
      <c r="AN92" s="586"/>
      <c r="AO92" s="586"/>
    </row>
    <row r="93" spans="2:41" ht="13.5">
      <c r="B93" s="295"/>
      <c r="C93" s="337"/>
      <c r="D93" s="304">
        <v>3</v>
      </c>
      <c r="E93" s="324" t="s">
        <v>656</v>
      </c>
      <c r="F93" s="327"/>
      <c r="G93" s="327"/>
      <c r="H93" s="2900"/>
      <c r="I93" s="2901"/>
      <c r="J93" s="2901"/>
      <c r="K93" s="2902"/>
      <c r="L93" s="596">
        <f t="shared" si="19"/>
        <v>3</v>
      </c>
      <c r="M93" s="596">
        <f t="shared" si="20"/>
        <v>3</v>
      </c>
      <c r="N93" s="585">
        <f>スコア入力!AC93</f>
        <v>0.19999999999999998</v>
      </c>
      <c r="O93" s="585">
        <f>スコア入力!AE93</f>
        <v>0.2</v>
      </c>
      <c r="P93" s="596">
        <f t="shared" si="21"/>
        <v>0</v>
      </c>
      <c r="Q93" s="596">
        <f t="shared" si="22"/>
        <v>0</v>
      </c>
      <c r="R93" s="585">
        <f>スコア入力!AJ93</f>
        <v>0</v>
      </c>
      <c r="S93" s="585">
        <f>スコア入力!AL93</f>
        <v>0</v>
      </c>
      <c r="T93" s="586"/>
      <c r="U93" s="586"/>
      <c r="W93" s="244">
        <f t="shared" si="23"/>
        <v>3</v>
      </c>
      <c r="X93" s="244">
        <f t="shared" si="24"/>
        <v>3</v>
      </c>
      <c r="Y93" s="243">
        <f>スコア入力!AA93</f>
        <v>0.20000000000000004</v>
      </c>
      <c r="Z93" s="243">
        <f>スコア入力!AB93</f>
        <v>0.2</v>
      </c>
      <c r="AA93" s="244">
        <f t="shared" si="25"/>
        <v>0</v>
      </c>
      <c r="AB93" s="244">
        <f t="shared" si="26"/>
        <v>0</v>
      </c>
      <c r="AC93" s="243">
        <f>スコア入力!AH93</f>
        <v>0</v>
      </c>
      <c r="AD93" s="243">
        <f>スコア入力!AI93</f>
        <v>0</v>
      </c>
      <c r="AE93" s="6"/>
      <c r="AF93" s="427">
        <f>スコア入力!N93</f>
        <v>3</v>
      </c>
      <c r="AG93" s="427">
        <f>スコア入力!P93</f>
        <v>3</v>
      </c>
      <c r="AH93" s="585">
        <f>スコア入力!AC93</f>
        <v>0.19999999999999998</v>
      </c>
      <c r="AI93" s="585">
        <f>スコア入力!AE93</f>
        <v>0.2</v>
      </c>
      <c r="AJ93" s="427">
        <f>スコア入力!U93</f>
        <v>0</v>
      </c>
      <c r="AK93" s="427">
        <f>スコア入力!W93</f>
        <v>0</v>
      </c>
      <c r="AL93" s="585">
        <f>スコア入力!AJ93</f>
        <v>0</v>
      </c>
      <c r="AM93" s="585">
        <f>スコア入力!AL93</f>
        <v>0</v>
      </c>
      <c r="AN93" s="586"/>
      <c r="AO93" s="586"/>
    </row>
    <row r="94" spans="2:41" ht="13.5">
      <c r="B94" s="295"/>
      <c r="C94" s="337"/>
      <c r="D94" s="304">
        <v>4</v>
      </c>
      <c r="E94" s="324" t="s">
        <v>657</v>
      </c>
      <c r="F94" s="327"/>
      <c r="G94" s="327"/>
      <c r="H94" s="2900"/>
      <c r="I94" s="2901"/>
      <c r="J94" s="2901"/>
      <c r="K94" s="2902"/>
      <c r="L94" s="596">
        <f t="shared" si="19"/>
        <v>3</v>
      </c>
      <c r="M94" s="596">
        <f t="shared" si="20"/>
        <v>3</v>
      </c>
      <c r="N94" s="585">
        <f>スコア入力!AC94</f>
        <v>0.19999999999999998</v>
      </c>
      <c r="O94" s="585">
        <f>スコア入力!AE94</f>
        <v>0.2</v>
      </c>
      <c r="P94" s="596">
        <f t="shared" si="21"/>
        <v>0</v>
      </c>
      <c r="Q94" s="596">
        <f t="shared" si="22"/>
        <v>0</v>
      </c>
      <c r="R94" s="585">
        <f>スコア入力!AJ94</f>
        <v>0</v>
      </c>
      <c r="S94" s="585">
        <f>スコア入力!AL94</f>
        <v>0</v>
      </c>
      <c r="T94" s="586"/>
      <c r="U94" s="586"/>
      <c r="W94" s="244">
        <f t="shared" si="23"/>
        <v>3</v>
      </c>
      <c r="X94" s="244">
        <f t="shared" si="24"/>
        <v>3</v>
      </c>
      <c r="Y94" s="243">
        <f>スコア入力!AA94</f>
        <v>0.20000000000000004</v>
      </c>
      <c r="Z94" s="243">
        <f>スコア入力!AB94</f>
        <v>0.2</v>
      </c>
      <c r="AA94" s="244">
        <f t="shared" si="25"/>
        <v>0</v>
      </c>
      <c r="AB94" s="244">
        <f t="shared" si="26"/>
        <v>0</v>
      </c>
      <c r="AC94" s="243">
        <f>スコア入力!AH94</f>
        <v>0</v>
      </c>
      <c r="AD94" s="243">
        <f>スコア入力!AI94</f>
        <v>0</v>
      </c>
      <c r="AE94" s="6"/>
      <c r="AF94" s="427">
        <f>スコア入力!N94</f>
        <v>3</v>
      </c>
      <c r="AG94" s="427">
        <f>スコア入力!P94</f>
        <v>3</v>
      </c>
      <c r="AH94" s="585">
        <f>スコア入力!AC94</f>
        <v>0.19999999999999998</v>
      </c>
      <c r="AI94" s="585">
        <f>スコア入力!AE94</f>
        <v>0.2</v>
      </c>
      <c r="AJ94" s="427">
        <f>スコア入力!U94</f>
        <v>0</v>
      </c>
      <c r="AK94" s="427">
        <f>スコア入力!W94</f>
        <v>0</v>
      </c>
      <c r="AL94" s="585">
        <f>スコア入力!AJ94</f>
        <v>0</v>
      </c>
      <c r="AM94" s="585">
        <f>スコア入力!AL94</f>
        <v>0</v>
      </c>
      <c r="AN94" s="586"/>
      <c r="AO94" s="586"/>
    </row>
    <row r="95" spans="2:41" ht="14.25" thickBot="1">
      <c r="B95" s="388"/>
      <c r="C95" s="346"/>
      <c r="D95" s="304">
        <v>5</v>
      </c>
      <c r="E95" s="324" t="s">
        <v>658</v>
      </c>
      <c r="F95" s="327"/>
      <c r="G95" s="327"/>
      <c r="H95" s="2900"/>
      <c r="I95" s="2901"/>
      <c r="J95" s="2901"/>
      <c r="K95" s="2902"/>
      <c r="L95" s="593">
        <f t="shared" si="19"/>
        <v>3</v>
      </c>
      <c r="M95" s="593">
        <f t="shared" si="20"/>
        <v>3</v>
      </c>
      <c r="N95" s="616">
        <f>スコア入力!AC95</f>
        <v>0.19999999999999998</v>
      </c>
      <c r="O95" s="616">
        <f>スコア入力!AE95</f>
        <v>0.2</v>
      </c>
      <c r="P95" s="593">
        <f t="shared" si="21"/>
        <v>0</v>
      </c>
      <c r="Q95" s="593">
        <f t="shared" si="22"/>
        <v>0</v>
      </c>
      <c r="R95" s="616">
        <f>スコア入力!AJ95</f>
        <v>0</v>
      </c>
      <c r="S95" s="616">
        <f>スコア入力!AL95</f>
        <v>0</v>
      </c>
      <c r="T95" s="617"/>
      <c r="U95" s="617"/>
      <c r="W95" s="244">
        <f t="shared" si="23"/>
        <v>3</v>
      </c>
      <c r="X95" s="244">
        <f t="shared" si="24"/>
        <v>3</v>
      </c>
      <c r="Y95" s="243">
        <f>スコア入力!AA95</f>
        <v>0.20000000000000004</v>
      </c>
      <c r="Z95" s="243">
        <f>スコア入力!AB95</f>
        <v>0.2</v>
      </c>
      <c r="AA95" s="244">
        <f t="shared" si="25"/>
        <v>0</v>
      </c>
      <c r="AB95" s="244">
        <f t="shared" si="26"/>
        <v>0</v>
      </c>
      <c r="AC95" s="243">
        <f>スコア入力!AH95</f>
        <v>0</v>
      </c>
      <c r="AD95" s="243">
        <f>スコア入力!AI95</f>
        <v>0</v>
      </c>
      <c r="AE95" s="6"/>
      <c r="AF95" s="594">
        <f>スコア入力!N95</f>
        <v>3</v>
      </c>
      <c r="AG95" s="594">
        <f>スコア入力!P95</f>
        <v>3</v>
      </c>
      <c r="AH95" s="616">
        <f>スコア入力!AC95</f>
        <v>0.19999999999999998</v>
      </c>
      <c r="AI95" s="616">
        <f>スコア入力!AE95</f>
        <v>0.2</v>
      </c>
      <c r="AJ95" s="594">
        <f>スコア入力!U95</f>
        <v>0</v>
      </c>
      <c r="AK95" s="594">
        <f>スコア入力!W95</f>
        <v>0</v>
      </c>
      <c r="AL95" s="616">
        <f>スコア入力!AJ95</f>
        <v>0</v>
      </c>
      <c r="AM95" s="616">
        <f>スコア入力!AL95</f>
        <v>0</v>
      </c>
      <c r="AN95" s="617"/>
      <c r="AO95" s="617"/>
    </row>
    <row r="96" spans="2:41" ht="13.5" hidden="1">
      <c r="B96" s="1692"/>
      <c r="C96" s="1693"/>
      <c r="D96" s="1694"/>
      <c r="E96" s="1695"/>
      <c r="F96" s="626"/>
      <c r="G96" s="626"/>
      <c r="H96" s="2957"/>
      <c r="I96" s="2958"/>
      <c r="J96" s="2958"/>
      <c r="K96" s="2959"/>
      <c r="L96" s="627">
        <f t="shared" si="19"/>
        <v>0</v>
      </c>
      <c r="M96" s="627">
        <f t="shared" si="20"/>
        <v>0</v>
      </c>
      <c r="N96" s="628">
        <f>スコア入力!AC96</f>
        <v>0</v>
      </c>
      <c r="O96" s="628">
        <f>スコア入力!AE96</f>
        <v>0</v>
      </c>
      <c r="P96" s="629">
        <f t="shared" si="21"/>
        <v>0</v>
      </c>
      <c r="Q96" s="629">
        <f t="shared" si="22"/>
        <v>0</v>
      </c>
      <c r="R96" s="628">
        <f>スコア入力!AJ96</f>
        <v>0</v>
      </c>
      <c r="S96" s="628">
        <f>スコア入力!AL96</f>
        <v>0</v>
      </c>
      <c r="T96" s="630"/>
      <c r="U96" s="630"/>
      <c r="W96" s="631">
        <f t="shared" si="23"/>
        <v>0</v>
      </c>
      <c r="X96" s="631">
        <f t="shared" si="24"/>
        <v>0</v>
      </c>
      <c r="Y96" s="243">
        <f>スコア入力!AA96</f>
        <v>0</v>
      </c>
      <c r="Z96" s="243">
        <f>スコア入力!AB96</f>
        <v>0</v>
      </c>
      <c r="AA96" s="631">
        <f t="shared" si="25"/>
        <v>0</v>
      </c>
      <c r="AB96" s="631">
        <f t="shared" si="26"/>
        <v>0</v>
      </c>
      <c r="AC96" s="243">
        <f>スコア入力!AH96</f>
        <v>0</v>
      </c>
      <c r="AD96" s="243">
        <f>スコア入力!AI96</f>
        <v>0</v>
      </c>
      <c r="AE96" s="6"/>
      <c r="AF96" s="632"/>
      <c r="AG96" s="632"/>
      <c r="AH96" s="628">
        <f>スコア入力!AC96</f>
        <v>0</v>
      </c>
      <c r="AI96" s="628">
        <f>スコア入力!AE96</f>
        <v>0</v>
      </c>
      <c r="AJ96" s="632"/>
      <c r="AK96" s="632"/>
      <c r="AL96" s="628">
        <f>スコア入力!AJ96</f>
        <v>0</v>
      </c>
      <c r="AM96" s="628">
        <f>スコア入力!AL96</f>
        <v>0</v>
      </c>
      <c r="AN96" s="630"/>
      <c r="AO96" s="630"/>
    </row>
    <row r="97" spans="1:41" ht="13.5">
      <c r="B97" s="395">
        <v>3</v>
      </c>
      <c r="C97" s="396" t="s">
        <v>659</v>
      </c>
      <c r="D97" s="396"/>
      <c r="E97" s="396"/>
      <c r="F97" s="377"/>
      <c r="G97" s="377"/>
      <c r="H97" s="2919"/>
      <c r="I97" s="2920"/>
      <c r="J97" s="2920"/>
      <c r="K97" s="2921"/>
      <c r="L97" s="633">
        <f t="shared" si="19"/>
        <v>3</v>
      </c>
      <c r="M97" s="598">
        <f t="shared" si="20"/>
        <v>3</v>
      </c>
      <c r="N97" s="599">
        <f>スコア入力!AC97</f>
        <v>0.3</v>
      </c>
      <c r="O97" s="599">
        <f>スコア入力!AE97</f>
        <v>0.29870918391738771</v>
      </c>
      <c r="P97" s="598">
        <f t="shared" si="21"/>
        <v>3</v>
      </c>
      <c r="Q97" s="598">
        <f t="shared" si="22"/>
        <v>3</v>
      </c>
      <c r="R97" s="599"/>
      <c r="S97" s="599"/>
      <c r="T97" s="601">
        <f>ROUNDDOWN(AN97,1)</f>
        <v>3</v>
      </c>
      <c r="U97" s="601">
        <f>ROUNDDOWN(AO97,1)</f>
        <v>3</v>
      </c>
      <c r="W97" s="575">
        <f t="shared" si="23"/>
        <v>3</v>
      </c>
      <c r="X97" s="575">
        <f t="shared" si="24"/>
        <v>3.0000000000000004</v>
      </c>
      <c r="Y97" s="243">
        <f>スコア入力!AA97</f>
        <v>0.3</v>
      </c>
      <c r="Z97" s="243">
        <f>スコア入力!AB97</f>
        <v>0.29870918391738771</v>
      </c>
      <c r="AA97" s="575">
        <f t="shared" si="25"/>
        <v>3</v>
      </c>
      <c r="AB97" s="575">
        <f t="shared" si="26"/>
        <v>3</v>
      </c>
      <c r="AC97" s="243">
        <f>スコア入力!AH97</f>
        <v>1</v>
      </c>
      <c r="AD97" s="243">
        <f>スコア入力!AI97</f>
        <v>0.9606879606879607</v>
      </c>
      <c r="AE97" s="6"/>
      <c r="AF97" s="598">
        <f>AF98*AH98+AF101*AH101+AF102*AH102</f>
        <v>3</v>
      </c>
      <c r="AG97" s="598">
        <f>AG98*AI98+AG101*AI101+AG102*AI102</f>
        <v>3.0000000000000004</v>
      </c>
      <c r="AH97" s="599">
        <f>スコア入力!AC97</f>
        <v>0.3</v>
      </c>
      <c r="AI97" s="599">
        <f>スコア入力!AE97</f>
        <v>0.29870918391738771</v>
      </c>
      <c r="AJ97" s="598">
        <f>AJ98*AL98+AJ101*AL101+AJ102*AL102</f>
        <v>3</v>
      </c>
      <c r="AK97" s="598">
        <f>AK98*AM98+AK101*AM101+AK102*AM102</f>
        <v>3</v>
      </c>
      <c r="AL97" s="599">
        <f>スコア入力!AJ97</f>
        <v>0.5</v>
      </c>
      <c r="AM97" s="599">
        <f>スコア入力!AL97</f>
        <v>0.9606879606879607</v>
      </c>
      <c r="AN97" s="601">
        <f>IF(AJ97=0,AF97,IF(AF97=0,AJ97,AF97*AH$6+AJ97*AL$6))</f>
        <v>3</v>
      </c>
      <c r="AO97" s="601">
        <f>IF(AK97=0,AG97,IF(AG97=0,AK97,AG97*AI$6+AK97*AM$6))</f>
        <v>3.0000000000000004</v>
      </c>
    </row>
    <row r="98" spans="1:41" ht="14.25" thickBot="1">
      <c r="B98" s="338"/>
      <c r="C98" s="296">
        <v>3.1</v>
      </c>
      <c r="D98" s="333" t="s">
        <v>662</v>
      </c>
      <c r="E98" s="297"/>
      <c r="F98" s="377"/>
      <c r="G98" s="377"/>
      <c r="H98" s="2900"/>
      <c r="I98" s="2901"/>
      <c r="J98" s="2901"/>
      <c r="K98" s="2901"/>
      <c r="L98" s="625">
        <f t="shared" si="19"/>
        <v>3</v>
      </c>
      <c r="M98" s="604">
        <f t="shared" si="20"/>
        <v>3</v>
      </c>
      <c r="N98" s="585">
        <f>スコア入力!AC98</f>
        <v>0.29373368146214096</v>
      </c>
      <c r="O98" s="585">
        <f>スコア入力!AE98</f>
        <v>0.28937368388561552</v>
      </c>
      <c r="P98" s="604">
        <f t="shared" si="21"/>
        <v>3</v>
      </c>
      <c r="Q98" s="604">
        <f t="shared" si="22"/>
        <v>3</v>
      </c>
      <c r="R98" s="585">
        <f>スコア入力!AJ98</f>
        <v>0.5</v>
      </c>
      <c r="S98" s="585">
        <f>スコア入力!AL98</f>
        <v>2.0460358056265986E-2</v>
      </c>
      <c r="T98" s="586"/>
      <c r="U98" s="586"/>
      <c r="W98" s="575">
        <f t="shared" si="23"/>
        <v>3</v>
      </c>
      <c r="X98" s="575">
        <f t="shared" si="24"/>
        <v>3</v>
      </c>
      <c r="Y98" s="243">
        <f>スコア入力!AA98</f>
        <v>0.29373368146214096</v>
      </c>
      <c r="Z98" s="243">
        <f>スコア入力!AB98</f>
        <v>0.28937368388561552</v>
      </c>
      <c r="AA98" s="575">
        <f t="shared" si="25"/>
        <v>3</v>
      </c>
      <c r="AB98" s="575">
        <f t="shared" si="26"/>
        <v>3</v>
      </c>
      <c r="AC98" s="243">
        <f>スコア入力!AH98</f>
        <v>1.0443864229765013E-2</v>
      </c>
      <c r="AD98" s="243">
        <f>スコア入力!AI98</f>
        <v>2.0460358056265986E-2</v>
      </c>
      <c r="AE98" s="6"/>
      <c r="AF98" s="604">
        <f>SUMPRODUCT(AF99:AF100,AH99:AH100)</f>
        <v>3</v>
      </c>
      <c r="AG98" s="604">
        <f>SUMPRODUCT(AG99:AG100,AI99:AI100)</f>
        <v>3</v>
      </c>
      <c r="AH98" s="585">
        <f>スコア入力!AC98</f>
        <v>0.29373368146214096</v>
      </c>
      <c r="AI98" s="585">
        <f>スコア入力!AE98</f>
        <v>0.28937368388561552</v>
      </c>
      <c r="AJ98" s="604">
        <f>SUMPRODUCT(AJ99:AJ100,AL99:AL100)</f>
        <v>3</v>
      </c>
      <c r="AK98" s="604">
        <f>SUMPRODUCT(AK99:AK100,AM99:AM100)</f>
        <v>3</v>
      </c>
      <c r="AL98" s="585">
        <f>スコア入力!AJ98</f>
        <v>0.5</v>
      </c>
      <c r="AM98" s="585">
        <f>スコア入力!AL98</f>
        <v>2.0460358056265986E-2</v>
      </c>
      <c r="AN98" s="586"/>
      <c r="AO98" s="586"/>
    </row>
    <row r="99" spans="1:41" ht="13.5">
      <c r="B99" s="338"/>
      <c r="C99" s="337"/>
      <c r="D99" s="304">
        <v>1</v>
      </c>
      <c r="E99" s="324" t="s">
        <v>663</v>
      </c>
      <c r="F99" s="327"/>
      <c r="G99" s="327"/>
      <c r="H99" s="2900"/>
      <c r="I99" s="2901"/>
      <c r="J99" s="2901"/>
      <c r="K99" s="2902"/>
      <c r="L99" s="590">
        <f t="shared" si="19"/>
        <v>3</v>
      </c>
      <c r="M99" s="590">
        <f t="shared" si="20"/>
        <v>3</v>
      </c>
      <c r="N99" s="591">
        <f>スコア入力!AC99</f>
        <v>0.6</v>
      </c>
      <c r="O99" s="591">
        <f>スコア入力!AE99</f>
        <v>0.6</v>
      </c>
      <c r="P99" s="590">
        <f t="shared" si="21"/>
        <v>3</v>
      </c>
      <c r="Q99" s="590">
        <f t="shared" si="22"/>
        <v>3</v>
      </c>
      <c r="R99" s="591">
        <f>スコア入力!AJ99</f>
        <v>0.6</v>
      </c>
      <c r="S99" s="591">
        <f>スコア入力!AL99</f>
        <v>0.6</v>
      </c>
      <c r="T99" s="586"/>
      <c r="U99" s="586"/>
      <c r="W99" s="244">
        <f t="shared" si="23"/>
        <v>3</v>
      </c>
      <c r="X99" s="244">
        <f t="shared" si="24"/>
        <v>3</v>
      </c>
      <c r="Y99" s="243">
        <f>スコア入力!AA99</f>
        <v>0.58746736292428192</v>
      </c>
      <c r="Z99" s="243">
        <f>スコア入力!AB99</f>
        <v>0.59999999999999987</v>
      </c>
      <c r="AA99" s="244">
        <f t="shared" si="25"/>
        <v>3</v>
      </c>
      <c r="AB99" s="244">
        <f t="shared" si="26"/>
        <v>3</v>
      </c>
      <c r="AC99" s="243">
        <f>スコア入力!AH99</f>
        <v>1.2532637075718016E-2</v>
      </c>
      <c r="AD99" s="243">
        <f>スコア入力!AI99</f>
        <v>0.6</v>
      </c>
      <c r="AE99" s="6"/>
      <c r="AF99" s="592">
        <f>スコア入力!N99</f>
        <v>3</v>
      </c>
      <c r="AG99" s="592">
        <f>スコア入力!P99</f>
        <v>3</v>
      </c>
      <c r="AH99" s="591">
        <f>スコア入力!AC99</f>
        <v>0.6</v>
      </c>
      <c r="AI99" s="591">
        <f>スコア入力!AE99</f>
        <v>0.6</v>
      </c>
      <c r="AJ99" s="592">
        <f>スコア入力!U99</f>
        <v>3</v>
      </c>
      <c r="AK99" s="592">
        <f>スコア入力!W99</f>
        <v>3</v>
      </c>
      <c r="AL99" s="591">
        <f>スコア入力!AJ99</f>
        <v>0.6</v>
      </c>
      <c r="AM99" s="591">
        <f>スコア入力!AL99</f>
        <v>0.6</v>
      </c>
      <c r="AN99" s="586"/>
      <c r="AO99" s="586"/>
    </row>
    <row r="100" spans="1:41" ht="13.5">
      <c r="B100" s="338"/>
      <c r="C100" s="337"/>
      <c r="D100" s="398">
        <v>2</v>
      </c>
      <c r="E100" s="297" t="s">
        <v>665</v>
      </c>
      <c r="F100" s="377"/>
      <c r="G100" s="377"/>
      <c r="H100" s="2900"/>
      <c r="I100" s="2901"/>
      <c r="J100" s="2901"/>
      <c r="K100" s="2902"/>
      <c r="L100" s="596">
        <f t="shared" si="19"/>
        <v>3</v>
      </c>
      <c r="M100" s="596">
        <f t="shared" si="20"/>
        <v>3</v>
      </c>
      <c r="N100" s="591">
        <f>スコア入力!AC100</f>
        <v>0.40000000000000008</v>
      </c>
      <c r="O100" s="591">
        <f>スコア入力!AE100</f>
        <v>0.40000000000000008</v>
      </c>
      <c r="P100" s="596">
        <f t="shared" si="21"/>
        <v>3</v>
      </c>
      <c r="Q100" s="596">
        <f t="shared" si="22"/>
        <v>3</v>
      </c>
      <c r="R100" s="591">
        <f>スコア入力!AJ100</f>
        <v>0.39999999999999997</v>
      </c>
      <c r="S100" s="591">
        <f>スコア入力!AL100</f>
        <v>0.39999999999999997</v>
      </c>
      <c r="T100" s="586"/>
      <c r="U100" s="586"/>
      <c r="W100" s="244">
        <f t="shared" si="23"/>
        <v>3</v>
      </c>
      <c r="X100" s="244">
        <f t="shared" si="24"/>
        <v>3</v>
      </c>
      <c r="Y100" s="243">
        <f>スコア入力!AA100</f>
        <v>0.39164490861618806</v>
      </c>
      <c r="Z100" s="243">
        <f>スコア入力!AB100</f>
        <v>0.4</v>
      </c>
      <c r="AA100" s="244">
        <f t="shared" si="25"/>
        <v>3</v>
      </c>
      <c r="AB100" s="244">
        <f t="shared" si="26"/>
        <v>3</v>
      </c>
      <c r="AC100" s="243">
        <f>スコア入力!AH100</f>
        <v>8.3550913838120102E-3</v>
      </c>
      <c r="AD100" s="243">
        <f>スコア入力!AI100</f>
        <v>0.39999999999999997</v>
      </c>
      <c r="AE100" s="6"/>
      <c r="AF100" s="427">
        <f>スコア入力!N100</f>
        <v>3</v>
      </c>
      <c r="AG100" s="427">
        <f>スコア入力!P100</f>
        <v>3</v>
      </c>
      <c r="AH100" s="591">
        <f>スコア入力!AC100</f>
        <v>0.40000000000000008</v>
      </c>
      <c r="AI100" s="591">
        <f>スコア入力!AE100</f>
        <v>0.40000000000000008</v>
      </c>
      <c r="AJ100" s="427">
        <f>スコア入力!U100</f>
        <v>3</v>
      </c>
      <c r="AK100" s="427">
        <f>スコア入力!W100</f>
        <v>3</v>
      </c>
      <c r="AL100" s="591">
        <f>スコア入力!AJ100</f>
        <v>0.39999999999999997</v>
      </c>
      <c r="AM100" s="591">
        <f>スコア入力!AL100</f>
        <v>0.39999999999999997</v>
      </c>
      <c r="AN100" s="586"/>
      <c r="AO100" s="586"/>
    </row>
    <row r="101" spans="1:41" ht="14.25" thickBot="1">
      <c r="B101" s="338"/>
      <c r="C101" s="323">
        <v>3.2</v>
      </c>
      <c r="D101" s="399" t="s">
        <v>666</v>
      </c>
      <c r="E101" s="324"/>
      <c r="F101" s="327"/>
      <c r="G101" s="327"/>
      <c r="H101" s="2900"/>
      <c r="I101" s="2901"/>
      <c r="J101" s="2901"/>
      <c r="K101" s="2902"/>
      <c r="L101" s="465">
        <f t="shared" si="19"/>
        <v>3</v>
      </c>
      <c r="M101" s="465">
        <f t="shared" si="20"/>
        <v>3</v>
      </c>
      <c r="N101" s="591">
        <f>スコア入力!AC101</f>
        <v>0.29373368146214096</v>
      </c>
      <c r="O101" s="591">
        <f>スコア入力!AE101</f>
        <v>0.29554698914184191</v>
      </c>
      <c r="P101" s="465">
        <f t="shared" si="21"/>
        <v>3</v>
      </c>
      <c r="Q101" s="465">
        <f t="shared" si="22"/>
        <v>3</v>
      </c>
      <c r="R101" s="591">
        <f>スコア入力!AJ101</f>
        <v>0.5</v>
      </c>
      <c r="S101" s="591">
        <f>スコア入力!AL101</f>
        <v>0.979539641943734</v>
      </c>
      <c r="T101" s="586"/>
      <c r="U101" s="586"/>
      <c r="W101" s="244">
        <f t="shared" si="23"/>
        <v>3</v>
      </c>
      <c r="X101" s="244">
        <f t="shared" si="24"/>
        <v>3</v>
      </c>
      <c r="Y101" s="243">
        <f>スコア入力!AA101</f>
        <v>0.29373368146214096</v>
      </c>
      <c r="Z101" s="243">
        <f>スコア入力!AB101</f>
        <v>0.29554698914184191</v>
      </c>
      <c r="AA101" s="244">
        <f t="shared" si="25"/>
        <v>3</v>
      </c>
      <c r="AB101" s="244">
        <f t="shared" si="26"/>
        <v>3</v>
      </c>
      <c r="AC101" s="243">
        <f>スコア入力!AH101</f>
        <v>1.0443864229765013E-2</v>
      </c>
      <c r="AD101" s="243">
        <f>スコア入力!AI101</f>
        <v>0.979539641943734</v>
      </c>
      <c r="AE101" s="6"/>
      <c r="AF101" s="607">
        <f>スコア入力!N101</f>
        <v>3</v>
      </c>
      <c r="AG101" s="607">
        <f>スコア入力!P101</f>
        <v>3</v>
      </c>
      <c r="AH101" s="591">
        <f>スコア入力!AC101</f>
        <v>0.29373368146214096</v>
      </c>
      <c r="AI101" s="591">
        <f>スコア入力!AE101</f>
        <v>0.29554698914184191</v>
      </c>
      <c r="AJ101" s="607">
        <f>スコア入力!U101</f>
        <v>3</v>
      </c>
      <c r="AK101" s="607">
        <f>スコア入力!W101</f>
        <v>3</v>
      </c>
      <c r="AL101" s="591">
        <f>スコア入力!AJ101</f>
        <v>0.5</v>
      </c>
      <c r="AM101" s="591">
        <f>スコア入力!AL101</f>
        <v>0.979539641943734</v>
      </c>
      <c r="AN101" s="586"/>
      <c r="AO101" s="586"/>
    </row>
    <row r="102" spans="1:41" ht="14.25" thickBot="1">
      <c r="B102" s="338"/>
      <c r="C102" s="315">
        <v>3.3</v>
      </c>
      <c r="D102" s="333" t="s">
        <v>667</v>
      </c>
      <c r="E102" s="297"/>
      <c r="F102" s="377"/>
      <c r="G102" s="377"/>
      <c r="H102" s="2900"/>
      <c r="I102" s="2901"/>
      <c r="J102" s="2901"/>
      <c r="K102" s="2901"/>
      <c r="L102" s="595">
        <f t="shared" si="19"/>
        <v>3</v>
      </c>
      <c r="M102" s="604">
        <f t="shared" si="20"/>
        <v>3</v>
      </c>
      <c r="N102" s="585">
        <f>スコア入力!AC102</f>
        <v>0.41253263707571808</v>
      </c>
      <c r="O102" s="585">
        <f>スコア入力!AE102</f>
        <v>0.41507932697254263</v>
      </c>
      <c r="P102" s="604">
        <f t="shared" si="21"/>
        <v>0</v>
      </c>
      <c r="Q102" s="604">
        <f t="shared" si="22"/>
        <v>0</v>
      </c>
      <c r="R102" s="585">
        <f>スコア入力!AJ102</f>
        <v>0</v>
      </c>
      <c r="S102" s="585">
        <f>スコア入力!AL102</f>
        <v>0</v>
      </c>
      <c r="T102" s="586"/>
      <c r="U102" s="586"/>
      <c r="W102" s="575">
        <f t="shared" si="23"/>
        <v>3</v>
      </c>
      <c r="X102" s="575">
        <f t="shared" si="24"/>
        <v>3.0000000000000004</v>
      </c>
      <c r="Y102" s="243">
        <f>スコア入力!AA102</f>
        <v>0.41253263707571808</v>
      </c>
      <c r="Z102" s="243">
        <f>スコア入力!AB102</f>
        <v>0.41507932697254263</v>
      </c>
      <c r="AA102" s="575">
        <f t="shared" si="25"/>
        <v>0</v>
      </c>
      <c r="AB102" s="575">
        <f t="shared" si="26"/>
        <v>0</v>
      </c>
      <c r="AC102" s="243">
        <f>スコア入力!AH102</f>
        <v>0</v>
      </c>
      <c r="AD102" s="243">
        <f>スコア入力!AI102</f>
        <v>0</v>
      </c>
      <c r="AE102" s="6"/>
      <c r="AF102" s="604">
        <f>SUMPRODUCT(AF103:AF108,AH103:AH108)</f>
        <v>3</v>
      </c>
      <c r="AG102" s="604">
        <f>SUMPRODUCT(AG103:AG108,AI103:AI108)</f>
        <v>3.0000000000000004</v>
      </c>
      <c r="AH102" s="585">
        <f>スコア入力!AC102</f>
        <v>0.41253263707571808</v>
      </c>
      <c r="AI102" s="585">
        <f>スコア入力!AE102</f>
        <v>0.41507932697254263</v>
      </c>
      <c r="AJ102" s="604">
        <f>SUMPRODUCT(AJ103:AJ108,AL103:AL108)</f>
        <v>0</v>
      </c>
      <c r="AK102" s="604">
        <f>SUMPRODUCT(AK103:AK108,AM103:AM108)</f>
        <v>0</v>
      </c>
      <c r="AL102" s="585">
        <f>スコア入力!AJ102</f>
        <v>0</v>
      </c>
      <c r="AM102" s="585">
        <f>スコア入力!AL102</f>
        <v>0</v>
      </c>
      <c r="AN102" s="586"/>
      <c r="AO102" s="586"/>
    </row>
    <row r="103" spans="1:41" ht="13.5">
      <c r="B103" s="338"/>
      <c r="C103" s="337"/>
      <c r="D103" s="304">
        <v>1</v>
      </c>
      <c r="E103" s="324" t="s">
        <v>670</v>
      </c>
      <c r="F103" s="327"/>
      <c r="G103" s="327"/>
      <c r="H103" s="2900"/>
      <c r="I103" s="2901"/>
      <c r="J103" s="2901"/>
      <c r="K103" s="2902"/>
      <c r="L103" s="590">
        <f t="shared" si="19"/>
        <v>3</v>
      </c>
      <c r="M103" s="590">
        <f t="shared" si="20"/>
        <v>3</v>
      </c>
      <c r="N103" s="585">
        <f>スコア入力!AC103</f>
        <v>0.19999999999999998</v>
      </c>
      <c r="O103" s="585">
        <f>スコア入力!AE103</f>
        <v>0.2</v>
      </c>
      <c r="P103" s="590">
        <f t="shared" si="21"/>
        <v>0</v>
      </c>
      <c r="Q103" s="590">
        <f t="shared" si="22"/>
        <v>0</v>
      </c>
      <c r="R103" s="585">
        <f>スコア入力!AJ103</f>
        <v>0</v>
      </c>
      <c r="S103" s="585">
        <f>スコア入力!AL103</f>
        <v>0</v>
      </c>
      <c r="T103" s="586"/>
      <c r="U103" s="586"/>
      <c r="W103" s="244">
        <f t="shared" si="23"/>
        <v>3</v>
      </c>
      <c r="X103" s="244">
        <f t="shared" si="24"/>
        <v>3</v>
      </c>
      <c r="Y103" s="243">
        <f>スコア入力!AA103</f>
        <v>0.20000000000000004</v>
      </c>
      <c r="Z103" s="243">
        <f>スコア入力!AB103</f>
        <v>0.2</v>
      </c>
      <c r="AA103" s="244">
        <f t="shared" si="25"/>
        <v>0</v>
      </c>
      <c r="AB103" s="244">
        <f t="shared" si="26"/>
        <v>0</v>
      </c>
      <c r="AC103" s="243">
        <f>スコア入力!AH103</f>
        <v>0</v>
      </c>
      <c r="AD103" s="243">
        <f>スコア入力!AI103</f>
        <v>0</v>
      </c>
      <c r="AE103" s="6"/>
      <c r="AF103" s="592">
        <f>スコア入力!N103</f>
        <v>3</v>
      </c>
      <c r="AG103" s="592">
        <f>スコア入力!P103</f>
        <v>3</v>
      </c>
      <c r="AH103" s="585">
        <f>スコア入力!AC103</f>
        <v>0.19999999999999998</v>
      </c>
      <c r="AI103" s="585">
        <f>スコア入力!AE103</f>
        <v>0.2</v>
      </c>
      <c r="AJ103" s="592">
        <f>スコア入力!U103</f>
        <v>0</v>
      </c>
      <c r="AK103" s="592">
        <f>スコア入力!W103</f>
        <v>0</v>
      </c>
      <c r="AL103" s="585">
        <f>スコア入力!AJ103</f>
        <v>0</v>
      </c>
      <c r="AM103" s="585">
        <f>スコア入力!AL103</f>
        <v>0</v>
      </c>
      <c r="AN103" s="586"/>
      <c r="AO103" s="586"/>
    </row>
    <row r="104" spans="1:41" ht="13.5">
      <c r="B104" s="338"/>
      <c r="C104" s="337"/>
      <c r="D104" s="398">
        <v>2</v>
      </c>
      <c r="E104" s="297" t="s">
        <v>671</v>
      </c>
      <c r="F104" s="377"/>
      <c r="G104" s="377"/>
      <c r="H104" s="2900"/>
      <c r="I104" s="2901"/>
      <c r="J104" s="2901"/>
      <c r="K104" s="2902"/>
      <c r="L104" s="596">
        <f t="shared" si="19"/>
        <v>3</v>
      </c>
      <c r="M104" s="596">
        <f t="shared" si="20"/>
        <v>3</v>
      </c>
      <c r="N104" s="585">
        <f>スコア入力!AC104</f>
        <v>0.19999999999999998</v>
      </c>
      <c r="O104" s="585">
        <f>スコア入力!AE104</f>
        <v>0.2</v>
      </c>
      <c r="P104" s="596">
        <f t="shared" si="21"/>
        <v>0</v>
      </c>
      <c r="Q104" s="596">
        <f t="shared" si="22"/>
        <v>0</v>
      </c>
      <c r="R104" s="585">
        <f>スコア入力!AJ104</f>
        <v>0</v>
      </c>
      <c r="S104" s="585">
        <f>スコア入力!AL104</f>
        <v>0</v>
      </c>
      <c r="T104" s="586"/>
      <c r="U104" s="586"/>
      <c r="W104" s="244">
        <f t="shared" si="23"/>
        <v>3</v>
      </c>
      <c r="X104" s="244">
        <f t="shared" si="24"/>
        <v>3</v>
      </c>
      <c r="Y104" s="243">
        <f>スコア入力!AA104</f>
        <v>0.20000000000000004</v>
      </c>
      <c r="Z104" s="243">
        <f>スコア入力!AB104</f>
        <v>0.2</v>
      </c>
      <c r="AA104" s="244">
        <f t="shared" si="25"/>
        <v>0</v>
      </c>
      <c r="AB104" s="244">
        <f t="shared" si="26"/>
        <v>0</v>
      </c>
      <c r="AC104" s="243">
        <f>スコア入力!AH104</f>
        <v>0</v>
      </c>
      <c r="AD104" s="243">
        <f>スコア入力!AI104</f>
        <v>0</v>
      </c>
      <c r="AE104" s="6"/>
      <c r="AF104" s="427">
        <f>スコア入力!N104</f>
        <v>3</v>
      </c>
      <c r="AG104" s="427">
        <f>スコア入力!P104</f>
        <v>3</v>
      </c>
      <c r="AH104" s="585">
        <f>スコア入力!AC104</f>
        <v>0.19999999999999998</v>
      </c>
      <c r="AI104" s="585">
        <f>スコア入力!AE104</f>
        <v>0.2</v>
      </c>
      <c r="AJ104" s="427">
        <f>スコア入力!U104</f>
        <v>0</v>
      </c>
      <c r="AK104" s="427">
        <f>スコア入力!W104</f>
        <v>0</v>
      </c>
      <c r="AL104" s="585">
        <f>スコア入力!AJ104</f>
        <v>0</v>
      </c>
      <c r="AM104" s="585">
        <f>スコア入力!AL104</f>
        <v>0</v>
      </c>
      <c r="AN104" s="586"/>
      <c r="AO104" s="586"/>
    </row>
    <row r="105" spans="1:41" ht="13.5">
      <c r="B105" s="338"/>
      <c r="C105" s="337"/>
      <c r="D105" s="304">
        <v>3</v>
      </c>
      <c r="E105" s="324" t="s">
        <v>672</v>
      </c>
      <c r="F105" s="327"/>
      <c r="G105" s="327"/>
      <c r="H105" s="2900"/>
      <c r="I105" s="2901"/>
      <c r="J105" s="2901"/>
      <c r="K105" s="2902"/>
      <c r="L105" s="596">
        <f t="shared" si="19"/>
        <v>3</v>
      </c>
      <c r="M105" s="596">
        <f t="shared" si="20"/>
        <v>3</v>
      </c>
      <c r="N105" s="585">
        <f>スコア入力!AC105</f>
        <v>9.9999999999999992E-2</v>
      </c>
      <c r="O105" s="585">
        <f>スコア入力!AE105</f>
        <v>0.1</v>
      </c>
      <c r="P105" s="596">
        <f t="shared" si="21"/>
        <v>0</v>
      </c>
      <c r="Q105" s="596">
        <f t="shared" si="22"/>
        <v>0</v>
      </c>
      <c r="R105" s="585">
        <f>スコア入力!AJ105</f>
        <v>0</v>
      </c>
      <c r="S105" s="585">
        <f>スコア入力!AL105</f>
        <v>0</v>
      </c>
      <c r="T105" s="586"/>
      <c r="U105" s="586"/>
      <c r="W105" s="244">
        <f t="shared" si="23"/>
        <v>3</v>
      </c>
      <c r="X105" s="244">
        <f t="shared" si="24"/>
        <v>3</v>
      </c>
      <c r="Y105" s="243">
        <f>スコア入力!AA105</f>
        <v>0.10000000000000002</v>
      </c>
      <c r="Z105" s="243">
        <f>スコア入力!AB105</f>
        <v>0.1</v>
      </c>
      <c r="AA105" s="244">
        <f t="shared" si="25"/>
        <v>0</v>
      </c>
      <c r="AB105" s="244">
        <f t="shared" si="26"/>
        <v>0</v>
      </c>
      <c r="AC105" s="243">
        <f>スコア入力!AH105</f>
        <v>0</v>
      </c>
      <c r="AD105" s="243">
        <f>スコア入力!AI105</f>
        <v>0</v>
      </c>
      <c r="AE105" s="6"/>
      <c r="AF105" s="427">
        <f>スコア入力!N105</f>
        <v>3</v>
      </c>
      <c r="AG105" s="427">
        <f>スコア入力!P105</f>
        <v>3</v>
      </c>
      <c r="AH105" s="585">
        <f>スコア入力!AC105</f>
        <v>9.9999999999999992E-2</v>
      </c>
      <c r="AI105" s="585">
        <f>スコア入力!AE105</f>
        <v>0.1</v>
      </c>
      <c r="AJ105" s="427">
        <f>スコア入力!U105</f>
        <v>0</v>
      </c>
      <c r="AK105" s="427">
        <f>スコア入力!W105</f>
        <v>0</v>
      </c>
      <c r="AL105" s="585">
        <f>スコア入力!AJ105</f>
        <v>0</v>
      </c>
      <c r="AM105" s="585">
        <f>スコア入力!AL105</f>
        <v>0</v>
      </c>
      <c r="AN105" s="586"/>
      <c r="AO105" s="586"/>
    </row>
    <row r="106" spans="1:41" ht="13.5">
      <c r="B106" s="338"/>
      <c r="C106" s="337"/>
      <c r="D106" s="398">
        <v>4</v>
      </c>
      <c r="E106" s="297" t="s">
        <v>673</v>
      </c>
      <c r="F106" s="377"/>
      <c r="G106" s="377"/>
      <c r="H106" s="2900"/>
      <c r="I106" s="2901"/>
      <c r="J106" s="2901"/>
      <c r="K106" s="2902"/>
      <c r="L106" s="596">
        <f t="shared" si="19"/>
        <v>3</v>
      </c>
      <c r="M106" s="596">
        <f t="shared" si="20"/>
        <v>3</v>
      </c>
      <c r="N106" s="585">
        <f>スコア入力!AC106</f>
        <v>9.9999999999999992E-2</v>
      </c>
      <c r="O106" s="585">
        <f>スコア入力!AE106</f>
        <v>0.1</v>
      </c>
      <c r="P106" s="596">
        <f t="shared" si="21"/>
        <v>0</v>
      </c>
      <c r="Q106" s="596">
        <f t="shared" si="22"/>
        <v>0</v>
      </c>
      <c r="R106" s="585">
        <f>スコア入力!AJ106</f>
        <v>0</v>
      </c>
      <c r="S106" s="585">
        <f>スコア入力!AL106</f>
        <v>0</v>
      </c>
      <c r="T106" s="586"/>
      <c r="U106" s="586"/>
      <c r="W106" s="244">
        <f t="shared" si="23"/>
        <v>3</v>
      </c>
      <c r="X106" s="244">
        <f t="shared" si="24"/>
        <v>3</v>
      </c>
      <c r="Y106" s="243">
        <f>スコア入力!AA106</f>
        <v>0.10000000000000002</v>
      </c>
      <c r="Z106" s="243">
        <f>スコア入力!AB106</f>
        <v>0.1</v>
      </c>
      <c r="AA106" s="244">
        <f t="shared" ref="AA106:AA114" si="27">AJ106</f>
        <v>0</v>
      </c>
      <c r="AB106" s="244">
        <f t="shared" ref="AB106:AB114" si="28">AK106</f>
        <v>0</v>
      </c>
      <c r="AC106" s="243">
        <f>スコア入力!AH106</f>
        <v>0</v>
      </c>
      <c r="AD106" s="243">
        <f>スコア入力!AI106</f>
        <v>0</v>
      </c>
      <c r="AE106" s="6"/>
      <c r="AF106" s="427">
        <f>スコア入力!N106</f>
        <v>3</v>
      </c>
      <c r="AG106" s="427">
        <f>スコア入力!P106</f>
        <v>3</v>
      </c>
      <c r="AH106" s="585">
        <f>スコア入力!AC106</f>
        <v>9.9999999999999992E-2</v>
      </c>
      <c r="AI106" s="585">
        <f>スコア入力!AE106</f>
        <v>0.1</v>
      </c>
      <c r="AJ106" s="427">
        <f>スコア入力!U106</f>
        <v>0</v>
      </c>
      <c r="AK106" s="427">
        <f>スコア入力!W106</f>
        <v>0</v>
      </c>
      <c r="AL106" s="585">
        <f>スコア入力!AJ106</f>
        <v>0</v>
      </c>
      <c r="AM106" s="585">
        <f>スコア入力!AL106</f>
        <v>0</v>
      </c>
      <c r="AN106" s="586"/>
      <c r="AO106" s="586"/>
    </row>
    <row r="107" spans="1:41" ht="13.5">
      <c r="B107" s="338"/>
      <c r="C107" s="337"/>
      <c r="D107" s="304">
        <v>5</v>
      </c>
      <c r="E107" s="324" t="s">
        <v>674</v>
      </c>
      <c r="F107" s="327"/>
      <c r="G107" s="327"/>
      <c r="H107" s="2900"/>
      <c r="I107" s="2901"/>
      <c r="J107" s="2901"/>
      <c r="K107" s="2902"/>
      <c r="L107" s="596">
        <f t="shared" si="19"/>
        <v>3</v>
      </c>
      <c r="M107" s="596">
        <f t="shared" si="20"/>
        <v>3</v>
      </c>
      <c r="N107" s="585">
        <f>スコア入力!AC107</f>
        <v>0.19999999999999998</v>
      </c>
      <c r="O107" s="585">
        <f>スコア入力!AE107</f>
        <v>0.2</v>
      </c>
      <c r="P107" s="596">
        <f t="shared" si="21"/>
        <v>0</v>
      </c>
      <c r="Q107" s="596">
        <f t="shared" si="22"/>
        <v>0</v>
      </c>
      <c r="R107" s="585">
        <f>スコア入力!AJ107</f>
        <v>0</v>
      </c>
      <c r="S107" s="585">
        <f>スコア入力!AL107</f>
        <v>0</v>
      </c>
      <c r="T107" s="586"/>
      <c r="U107" s="586"/>
      <c r="W107" s="244">
        <f t="shared" si="23"/>
        <v>3</v>
      </c>
      <c r="X107" s="244">
        <f t="shared" si="24"/>
        <v>3</v>
      </c>
      <c r="Y107" s="243">
        <f>スコア入力!AA107</f>
        <v>0.20000000000000004</v>
      </c>
      <c r="Z107" s="243">
        <f>スコア入力!AB107</f>
        <v>0.2</v>
      </c>
      <c r="AA107" s="244">
        <f t="shared" si="27"/>
        <v>0</v>
      </c>
      <c r="AB107" s="244">
        <f t="shared" si="28"/>
        <v>0</v>
      </c>
      <c r="AC107" s="243">
        <f>スコア入力!AH107</f>
        <v>0</v>
      </c>
      <c r="AD107" s="243">
        <f>スコア入力!AI107</f>
        <v>0</v>
      </c>
      <c r="AE107" s="6"/>
      <c r="AF107" s="427">
        <f>スコア入力!N107</f>
        <v>3</v>
      </c>
      <c r="AG107" s="427">
        <f>スコア入力!P107</f>
        <v>3</v>
      </c>
      <c r="AH107" s="585">
        <f>スコア入力!AC107</f>
        <v>0.19999999999999998</v>
      </c>
      <c r="AI107" s="585">
        <f>スコア入力!AE107</f>
        <v>0.2</v>
      </c>
      <c r="AJ107" s="427">
        <f>スコア入力!U107</f>
        <v>0</v>
      </c>
      <c r="AK107" s="427">
        <f>スコア入力!W107</f>
        <v>0</v>
      </c>
      <c r="AL107" s="585">
        <f>スコア入力!AJ107</f>
        <v>0</v>
      </c>
      <c r="AM107" s="585">
        <f>スコア入力!AL107</f>
        <v>0</v>
      </c>
      <c r="AN107" s="586"/>
      <c r="AO107" s="586"/>
    </row>
    <row r="108" spans="1:41" ht="14.25" thickBot="1">
      <c r="B108" s="354"/>
      <c r="C108" s="402"/>
      <c r="D108" s="356">
        <v>6</v>
      </c>
      <c r="E108" s="357" t="s">
        <v>675</v>
      </c>
      <c r="F108" s="609"/>
      <c r="G108" s="609"/>
      <c r="H108" s="2900"/>
      <c r="I108" s="2901"/>
      <c r="J108" s="2901"/>
      <c r="K108" s="2902"/>
      <c r="L108" s="593">
        <f t="shared" si="19"/>
        <v>3</v>
      </c>
      <c r="M108" s="593">
        <f t="shared" si="20"/>
        <v>3</v>
      </c>
      <c r="N108" s="634">
        <f>スコア入力!AC108</f>
        <v>0.19999999999999998</v>
      </c>
      <c r="O108" s="634">
        <f>スコア入力!AE108</f>
        <v>0.2</v>
      </c>
      <c r="P108" s="593">
        <f t="shared" si="21"/>
        <v>0</v>
      </c>
      <c r="Q108" s="593">
        <f t="shared" si="22"/>
        <v>0</v>
      </c>
      <c r="R108" s="634">
        <f>スコア入力!AJ108</f>
        <v>0</v>
      </c>
      <c r="S108" s="634">
        <f>スコア入力!AL108</f>
        <v>0</v>
      </c>
      <c r="T108" s="611"/>
      <c r="U108" s="611"/>
      <c r="W108" s="244">
        <f t="shared" si="23"/>
        <v>3</v>
      </c>
      <c r="X108" s="244">
        <f t="shared" si="24"/>
        <v>3</v>
      </c>
      <c r="Y108" s="243">
        <f>スコア入力!AA108</f>
        <v>0.20000000000000004</v>
      </c>
      <c r="Z108" s="243">
        <f>スコア入力!AB108</f>
        <v>0.2</v>
      </c>
      <c r="AA108" s="244">
        <f t="shared" si="27"/>
        <v>0</v>
      </c>
      <c r="AB108" s="244">
        <f t="shared" si="28"/>
        <v>0</v>
      </c>
      <c r="AC108" s="243">
        <f>スコア入力!AH108</f>
        <v>0</v>
      </c>
      <c r="AD108" s="243">
        <f>スコア入力!AI108</f>
        <v>0</v>
      </c>
      <c r="AE108" s="6"/>
      <c r="AF108" s="594">
        <f>スコア入力!N108</f>
        <v>3</v>
      </c>
      <c r="AG108" s="594">
        <f>スコア入力!P108</f>
        <v>3</v>
      </c>
      <c r="AH108" s="634">
        <f>スコア入力!AC108</f>
        <v>0.19999999999999998</v>
      </c>
      <c r="AI108" s="634">
        <f>スコア入力!AE108</f>
        <v>0.2</v>
      </c>
      <c r="AJ108" s="594">
        <f>スコア入力!U108</f>
        <v>0</v>
      </c>
      <c r="AK108" s="594">
        <f>スコア入力!W108</f>
        <v>0</v>
      </c>
      <c r="AL108" s="634">
        <f>スコア入力!AJ108</f>
        <v>0</v>
      </c>
      <c r="AM108" s="634">
        <f>スコア入力!AL108</f>
        <v>0</v>
      </c>
      <c r="AN108" s="611"/>
      <c r="AO108" s="611"/>
    </row>
    <row r="109" spans="1:41" ht="15.75" thickBot="1">
      <c r="A109" s="406"/>
      <c r="B109" s="360" t="s">
        <v>676</v>
      </c>
      <c r="C109" s="407"/>
      <c r="D109" s="407" t="s">
        <v>677</v>
      </c>
      <c r="E109" s="407"/>
      <c r="F109" s="635"/>
      <c r="G109" s="635"/>
      <c r="H109" s="2916"/>
      <c r="I109" s="2917"/>
      <c r="J109" s="2917"/>
      <c r="K109" s="2918"/>
      <c r="L109" s="636"/>
      <c r="M109" s="636"/>
      <c r="N109" s="578">
        <f>スコア入力!AC109</f>
        <v>0.3</v>
      </c>
      <c r="O109" s="578">
        <f>スコア入力!AE109</f>
        <v>0.32610966057441254</v>
      </c>
      <c r="P109" s="636"/>
      <c r="Q109" s="636"/>
      <c r="R109" s="578"/>
      <c r="S109" s="578"/>
      <c r="T109" s="614">
        <f t="shared" ref="T109:U112" si="29">ROUNDDOWN(AN109,1)</f>
        <v>3</v>
      </c>
      <c r="U109" s="614">
        <f t="shared" si="29"/>
        <v>3</v>
      </c>
      <c r="W109" s="575">
        <f>$AO109</f>
        <v>3</v>
      </c>
      <c r="X109" s="575">
        <f>$AO109</f>
        <v>3</v>
      </c>
      <c r="Y109" s="243">
        <f>スコア入力!AA109</f>
        <v>0.3</v>
      </c>
      <c r="Z109" s="243">
        <f>スコア入力!AB109</f>
        <v>0.32610966057441254</v>
      </c>
      <c r="AA109" s="575">
        <f t="shared" si="27"/>
        <v>0</v>
      </c>
      <c r="AB109" s="575">
        <f t="shared" si="28"/>
        <v>0</v>
      </c>
      <c r="AC109" s="243">
        <f>スコア入力!AH109</f>
        <v>0</v>
      </c>
      <c r="AD109" s="243">
        <f>スコア入力!AI109</f>
        <v>0</v>
      </c>
      <c r="AE109" s="6"/>
      <c r="AF109" s="636"/>
      <c r="AG109" s="636"/>
      <c r="AH109" s="578">
        <f>スコア入力!AC109</f>
        <v>0.3</v>
      </c>
      <c r="AI109" s="578">
        <f>スコア入力!AE109</f>
        <v>0.32610966057441254</v>
      </c>
      <c r="AJ109" s="636"/>
      <c r="AK109" s="636"/>
      <c r="AL109" s="578">
        <f>スコア入力!AJ109</f>
        <v>0</v>
      </c>
      <c r="AM109" s="578">
        <f>スコア入力!AL109</f>
        <v>0</v>
      </c>
      <c r="AN109" s="614">
        <f>AN110*AH110+AN111*AH111+AN112*AH112</f>
        <v>3</v>
      </c>
      <c r="AO109" s="614">
        <f>AO110*AI110+AO111*AI111+AO112*AI112</f>
        <v>3</v>
      </c>
    </row>
    <row r="110" spans="1:41" ht="13.5">
      <c r="A110" s="406"/>
      <c r="B110" s="283">
        <v>1</v>
      </c>
      <c r="C110" s="370" t="s">
        <v>678</v>
      </c>
      <c r="D110" s="81"/>
      <c r="E110" s="81"/>
      <c r="F110" s="584"/>
      <c r="G110" s="584"/>
      <c r="H110" s="2919"/>
      <c r="I110" s="2920"/>
      <c r="J110" s="2920"/>
      <c r="K110" s="2928"/>
      <c r="L110" s="463">
        <f t="shared" ref="L110:M115" si="30">IF(Y110=0,0,ROUNDDOWN(AF110,1))</f>
        <v>3</v>
      </c>
      <c r="M110" s="463">
        <f t="shared" si="30"/>
        <v>3</v>
      </c>
      <c r="N110" s="585">
        <f>スコア入力!AC110</f>
        <v>0.3</v>
      </c>
      <c r="O110" s="585">
        <f>スコア入力!AE110</f>
        <v>0.3</v>
      </c>
      <c r="P110" s="463">
        <f t="shared" ref="P110:Q115" si="31">IF(AC110=0,0,ROUNDDOWN(AJ110,1))</f>
        <v>0</v>
      </c>
      <c r="Q110" s="463">
        <f t="shared" si="31"/>
        <v>0</v>
      </c>
      <c r="R110" s="585">
        <f>スコア入力!AJ110</f>
        <v>0</v>
      </c>
      <c r="S110" s="585">
        <f>スコア入力!AL110</f>
        <v>0</v>
      </c>
      <c r="T110" s="586">
        <f t="shared" si="29"/>
        <v>3</v>
      </c>
      <c r="U110" s="586">
        <f t="shared" si="29"/>
        <v>3</v>
      </c>
      <c r="W110" s="244">
        <f t="shared" ref="W110:X114" si="32">AF110</f>
        <v>3</v>
      </c>
      <c r="X110" s="244">
        <f t="shared" si="32"/>
        <v>3</v>
      </c>
      <c r="Y110" s="243">
        <f>スコア入力!AA110</f>
        <v>0.3</v>
      </c>
      <c r="Z110" s="243">
        <f>スコア入力!AB110</f>
        <v>0.3</v>
      </c>
      <c r="AA110" s="244">
        <f t="shared" si="27"/>
        <v>0</v>
      </c>
      <c r="AB110" s="244">
        <f t="shared" si="28"/>
        <v>0</v>
      </c>
      <c r="AC110" s="243">
        <f>スコア入力!AH110</f>
        <v>0</v>
      </c>
      <c r="AD110" s="243">
        <f>スコア入力!AI110</f>
        <v>0</v>
      </c>
      <c r="AE110" s="6"/>
      <c r="AF110" s="637">
        <f>スコア入力!N110</f>
        <v>3</v>
      </c>
      <c r="AG110" s="637">
        <f>スコア入力!P110</f>
        <v>3</v>
      </c>
      <c r="AH110" s="585">
        <f>スコア入力!AC110</f>
        <v>0.3</v>
      </c>
      <c r="AI110" s="585">
        <f>スコア入力!AE110</f>
        <v>0.3</v>
      </c>
      <c r="AJ110" s="637">
        <f>スコア入力!U110</f>
        <v>0</v>
      </c>
      <c r="AK110" s="637">
        <f>スコア入力!W110</f>
        <v>0</v>
      </c>
      <c r="AL110" s="585">
        <f>スコア入力!AJ110</f>
        <v>0</v>
      </c>
      <c r="AM110" s="585">
        <f>スコア入力!AL110</f>
        <v>0</v>
      </c>
      <c r="AN110" s="586">
        <f t="shared" ref="AN110:AO112" si="33">IF(AJ110=0,AF110,IF(AF110=0,AJ110,AF110*AH$6+AJ110*AL$6))</f>
        <v>3</v>
      </c>
      <c r="AO110" s="586">
        <f t="shared" si="33"/>
        <v>3</v>
      </c>
    </row>
    <row r="111" spans="1:41" ht="14.25" thickBot="1">
      <c r="A111" s="406"/>
      <c r="B111" s="412">
        <v>2</v>
      </c>
      <c r="C111" s="413" t="s">
        <v>679</v>
      </c>
      <c r="D111" s="324"/>
      <c r="E111" s="324"/>
      <c r="F111" s="327"/>
      <c r="G111" s="327"/>
      <c r="H111" s="2919"/>
      <c r="I111" s="2920"/>
      <c r="J111" s="2920"/>
      <c r="K111" s="2928"/>
      <c r="L111" s="493">
        <f t="shared" si="30"/>
        <v>3</v>
      </c>
      <c r="M111" s="493">
        <f t="shared" si="30"/>
        <v>3</v>
      </c>
      <c r="N111" s="599">
        <f>スコア入力!AC111</f>
        <v>0.40000000000000008</v>
      </c>
      <c r="O111" s="599">
        <f>スコア入力!AE111</f>
        <v>0.40000000000000008</v>
      </c>
      <c r="P111" s="493">
        <f t="shared" si="31"/>
        <v>0</v>
      </c>
      <c r="Q111" s="493">
        <f t="shared" si="31"/>
        <v>0</v>
      </c>
      <c r="R111" s="599">
        <f>スコア入力!AJ111</f>
        <v>0</v>
      </c>
      <c r="S111" s="599">
        <f>スコア入力!AL111</f>
        <v>0</v>
      </c>
      <c r="T111" s="601">
        <f t="shared" si="29"/>
        <v>3</v>
      </c>
      <c r="U111" s="601">
        <f t="shared" si="29"/>
        <v>3</v>
      </c>
      <c r="W111" s="244">
        <f t="shared" si="32"/>
        <v>3</v>
      </c>
      <c r="X111" s="244">
        <f t="shared" si="32"/>
        <v>3</v>
      </c>
      <c r="Y111" s="243">
        <f>スコア入力!AA111</f>
        <v>0.40000000000000008</v>
      </c>
      <c r="Z111" s="243">
        <f>スコア入力!AB111</f>
        <v>0.40000000000000008</v>
      </c>
      <c r="AA111" s="244">
        <f t="shared" si="27"/>
        <v>0</v>
      </c>
      <c r="AB111" s="244">
        <f t="shared" si="28"/>
        <v>0</v>
      </c>
      <c r="AC111" s="243">
        <f>スコア入力!AH111</f>
        <v>0</v>
      </c>
      <c r="AD111" s="243">
        <f>スコア入力!AI111</f>
        <v>0</v>
      </c>
      <c r="AE111" s="6"/>
      <c r="AF111" s="638">
        <f>スコア入力!N111</f>
        <v>3</v>
      </c>
      <c r="AG111" s="638">
        <f>スコア入力!P111</f>
        <v>3</v>
      </c>
      <c r="AH111" s="599">
        <f>スコア入力!AC111</f>
        <v>0.40000000000000008</v>
      </c>
      <c r="AI111" s="599">
        <f>スコア入力!AE111</f>
        <v>0.40000000000000008</v>
      </c>
      <c r="AJ111" s="638">
        <f>スコア入力!U111</f>
        <v>0</v>
      </c>
      <c r="AK111" s="638">
        <f>スコア入力!W111</f>
        <v>0</v>
      </c>
      <c r="AL111" s="599">
        <f>スコア入力!AJ111</f>
        <v>0</v>
      </c>
      <c r="AM111" s="599">
        <f>スコア入力!AL111</f>
        <v>0</v>
      </c>
      <c r="AN111" s="601">
        <f t="shared" si="33"/>
        <v>3</v>
      </c>
      <c r="AO111" s="601">
        <f t="shared" si="33"/>
        <v>3</v>
      </c>
    </row>
    <row r="112" spans="1:41" ht="14.25" thickBot="1">
      <c r="A112" s="406"/>
      <c r="B112" s="395">
        <v>3</v>
      </c>
      <c r="C112" s="414" t="s">
        <v>680</v>
      </c>
      <c r="D112" s="298"/>
      <c r="E112" s="298"/>
      <c r="F112" s="608"/>
      <c r="G112" s="608"/>
      <c r="H112" s="2919"/>
      <c r="I112" s="2920"/>
      <c r="J112" s="2920"/>
      <c r="K112" s="2921"/>
      <c r="L112" s="595">
        <f t="shared" si="30"/>
        <v>3</v>
      </c>
      <c r="M112" s="604">
        <f t="shared" si="30"/>
        <v>3</v>
      </c>
      <c r="N112" s="599">
        <f>スコア入力!AC112</f>
        <v>0.3</v>
      </c>
      <c r="O112" s="599">
        <f>スコア入力!AE112</f>
        <v>0.3</v>
      </c>
      <c r="P112" s="604">
        <f t="shared" si="31"/>
        <v>0</v>
      </c>
      <c r="Q112" s="604">
        <f t="shared" si="31"/>
        <v>0</v>
      </c>
      <c r="R112" s="599">
        <f>スコア入力!AJ112</f>
        <v>0</v>
      </c>
      <c r="S112" s="599">
        <f>スコア入力!AL112</f>
        <v>0</v>
      </c>
      <c r="T112" s="601">
        <f t="shared" si="29"/>
        <v>3</v>
      </c>
      <c r="U112" s="601">
        <f t="shared" si="29"/>
        <v>3</v>
      </c>
      <c r="W112" s="575">
        <f t="shared" si="32"/>
        <v>3</v>
      </c>
      <c r="X112" s="575">
        <f t="shared" si="32"/>
        <v>3</v>
      </c>
      <c r="Y112" s="243">
        <f>スコア入力!AA112</f>
        <v>0.3</v>
      </c>
      <c r="Z112" s="243">
        <f>スコア入力!AB112</f>
        <v>0.3</v>
      </c>
      <c r="AA112" s="575">
        <f t="shared" si="27"/>
        <v>0</v>
      </c>
      <c r="AB112" s="575">
        <f t="shared" si="28"/>
        <v>0</v>
      </c>
      <c r="AC112" s="243">
        <f>スコア入力!AH112</f>
        <v>0</v>
      </c>
      <c r="AD112" s="243">
        <f>スコア入力!AI112</f>
        <v>0</v>
      </c>
      <c r="AE112" s="6"/>
      <c r="AF112" s="604">
        <f>AF113*AH113+AF114*AH114</f>
        <v>3</v>
      </c>
      <c r="AG112" s="604">
        <f>AG113*AI113+AG114*AI114</f>
        <v>3</v>
      </c>
      <c r="AH112" s="599">
        <f>スコア入力!AC112</f>
        <v>0.3</v>
      </c>
      <c r="AI112" s="599">
        <f>スコア入力!AE112</f>
        <v>0.3</v>
      </c>
      <c r="AJ112" s="604">
        <f>AJ113*AL113+AJ114*AL114</f>
        <v>0</v>
      </c>
      <c r="AK112" s="604">
        <f>AK113*AM113+AK114*AM114</f>
        <v>0</v>
      </c>
      <c r="AL112" s="599">
        <f>スコア入力!AJ112</f>
        <v>0</v>
      </c>
      <c r="AM112" s="599">
        <f>スコア入力!AL112</f>
        <v>0</v>
      </c>
      <c r="AN112" s="601">
        <f t="shared" si="33"/>
        <v>3</v>
      </c>
      <c r="AO112" s="601">
        <f t="shared" si="33"/>
        <v>3</v>
      </c>
    </row>
    <row r="113" spans="1:41" ht="13.5">
      <c r="A113" s="406"/>
      <c r="B113" s="283"/>
      <c r="C113" s="415">
        <v>3.1</v>
      </c>
      <c r="D113" s="416" t="s">
        <v>683</v>
      </c>
      <c r="E113" s="417"/>
      <c r="F113" s="608"/>
      <c r="G113" s="608"/>
      <c r="H113" s="2900"/>
      <c r="I113" s="2901"/>
      <c r="J113" s="2901"/>
      <c r="K113" s="2902"/>
      <c r="L113" s="463">
        <f t="shared" si="30"/>
        <v>3</v>
      </c>
      <c r="M113" s="463">
        <f t="shared" si="30"/>
        <v>3</v>
      </c>
      <c r="N113" s="585">
        <f>スコア入力!AC113</f>
        <v>0.5</v>
      </c>
      <c r="O113" s="585">
        <f>スコア入力!AE113</f>
        <v>0.5</v>
      </c>
      <c r="P113" s="463">
        <f t="shared" si="31"/>
        <v>0</v>
      </c>
      <c r="Q113" s="463">
        <f t="shared" si="31"/>
        <v>0</v>
      </c>
      <c r="R113" s="585">
        <f>スコア入力!AJ113</f>
        <v>0</v>
      </c>
      <c r="S113" s="585">
        <f>スコア入力!AL113</f>
        <v>0</v>
      </c>
      <c r="T113" s="586"/>
      <c r="U113" s="586"/>
      <c r="W113" s="244">
        <f t="shared" si="32"/>
        <v>3</v>
      </c>
      <c r="X113" s="244">
        <f t="shared" si="32"/>
        <v>3</v>
      </c>
      <c r="Y113" s="243">
        <f>スコア入力!AA113</f>
        <v>0.50000000000000011</v>
      </c>
      <c r="Z113" s="243">
        <f>スコア入力!AB113</f>
        <v>0.5</v>
      </c>
      <c r="AA113" s="244">
        <f t="shared" si="27"/>
        <v>0</v>
      </c>
      <c r="AB113" s="244">
        <f t="shared" si="28"/>
        <v>0</v>
      </c>
      <c r="AC113" s="243">
        <f>スコア入力!AH113</f>
        <v>0</v>
      </c>
      <c r="AD113" s="243">
        <f>スコア入力!AI113</f>
        <v>0</v>
      </c>
      <c r="AE113" s="6"/>
      <c r="AF113" s="637">
        <f>スコア入力!N113</f>
        <v>3</v>
      </c>
      <c r="AG113" s="637">
        <f>スコア入力!P113</f>
        <v>3</v>
      </c>
      <c r="AH113" s="585">
        <f>スコア入力!AC113</f>
        <v>0.5</v>
      </c>
      <c r="AI113" s="585">
        <f>スコア入力!AE113</f>
        <v>0.5</v>
      </c>
      <c r="AJ113" s="637">
        <f>スコア入力!U113</f>
        <v>0</v>
      </c>
      <c r="AK113" s="637">
        <f>スコア入力!W113</f>
        <v>0</v>
      </c>
      <c r="AL113" s="585">
        <f>スコア入力!AJ113</f>
        <v>0</v>
      </c>
      <c r="AM113" s="585">
        <f>スコア入力!AL113</f>
        <v>0</v>
      </c>
      <c r="AN113" s="586"/>
      <c r="AO113" s="586"/>
    </row>
    <row r="114" spans="1:41" ht="14.25" thickBot="1">
      <c r="A114" s="406"/>
      <c r="B114" s="639"/>
      <c r="C114" s="418">
        <v>3.2</v>
      </c>
      <c r="D114" s="399" t="s">
        <v>684</v>
      </c>
      <c r="E114" s="419"/>
      <c r="F114" s="327"/>
      <c r="G114" s="327"/>
      <c r="H114" s="2900"/>
      <c r="I114" s="2901"/>
      <c r="J114" s="2901"/>
      <c r="K114" s="2902"/>
      <c r="L114" s="465">
        <f t="shared" si="30"/>
        <v>3</v>
      </c>
      <c r="M114" s="465">
        <f t="shared" si="30"/>
        <v>3</v>
      </c>
      <c r="N114" s="640">
        <f>スコア入力!AC114</f>
        <v>0.5</v>
      </c>
      <c r="O114" s="641">
        <f>スコア入力!AE114</f>
        <v>0.5</v>
      </c>
      <c r="P114" s="465">
        <f t="shared" si="31"/>
        <v>0</v>
      </c>
      <c r="Q114" s="465">
        <f t="shared" si="31"/>
        <v>0</v>
      </c>
      <c r="R114" s="640">
        <f>スコア入力!AJ114</f>
        <v>0</v>
      </c>
      <c r="S114" s="616">
        <f>スコア入力!AL114</f>
        <v>0</v>
      </c>
      <c r="T114" s="617"/>
      <c r="U114" s="617"/>
      <c r="W114" s="244">
        <f t="shared" si="32"/>
        <v>3</v>
      </c>
      <c r="X114" s="244">
        <f t="shared" si="32"/>
        <v>3</v>
      </c>
      <c r="Y114" s="243">
        <f>スコア入力!AA114</f>
        <v>0.50000000000000011</v>
      </c>
      <c r="Z114" s="243">
        <f>スコア入力!AB114</f>
        <v>0.5</v>
      </c>
      <c r="AA114" s="244">
        <f t="shared" si="27"/>
        <v>0</v>
      </c>
      <c r="AB114" s="244">
        <f t="shared" si="28"/>
        <v>0</v>
      </c>
      <c r="AC114" s="243">
        <f>スコア入力!AH114</f>
        <v>0</v>
      </c>
      <c r="AD114" s="243">
        <f>スコア入力!AI114</f>
        <v>0</v>
      </c>
      <c r="AE114" s="6"/>
      <c r="AF114" s="607">
        <f>スコア入力!N114</f>
        <v>3</v>
      </c>
      <c r="AG114" s="607">
        <f>スコア入力!P114</f>
        <v>3</v>
      </c>
      <c r="AH114" s="585">
        <f>スコア入力!AC114</f>
        <v>0.5</v>
      </c>
      <c r="AI114" s="585">
        <f>スコア入力!AE114</f>
        <v>0.5</v>
      </c>
      <c r="AJ114" s="607">
        <f>スコア入力!U114</f>
        <v>0</v>
      </c>
      <c r="AK114" s="607">
        <f>スコア入力!W114</f>
        <v>0</v>
      </c>
      <c r="AL114" s="585">
        <f>スコア入力!AJ114</f>
        <v>0</v>
      </c>
      <c r="AM114" s="585">
        <f>スコア入力!AL114</f>
        <v>0</v>
      </c>
      <c r="AN114" s="586"/>
      <c r="AO114" s="586"/>
    </row>
    <row r="115" spans="1:41" ht="14.25" hidden="1" thickBot="1">
      <c r="A115" s="406"/>
      <c r="B115" s="1696"/>
      <c r="C115" s="1697"/>
      <c r="D115" s="1698"/>
      <c r="E115" s="1699"/>
      <c r="F115" s="642"/>
      <c r="G115" s="642"/>
      <c r="H115" s="2922"/>
      <c r="I115" s="2923"/>
      <c r="J115" s="2923"/>
      <c r="K115" s="2924"/>
      <c r="L115" s="627">
        <f t="shared" si="30"/>
        <v>0</v>
      </c>
      <c r="M115" s="627">
        <f t="shared" si="30"/>
        <v>0</v>
      </c>
      <c r="N115" s="643">
        <f>スコア入力!AC115</f>
        <v>0</v>
      </c>
      <c r="O115" s="643">
        <f>スコア入力!AE115</f>
        <v>0</v>
      </c>
      <c r="P115" s="627">
        <f t="shared" si="31"/>
        <v>0</v>
      </c>
      <c r="Q115" s="627">
        <f t="shared" si="31"/>
        <v>0</v>
      </c>
      <c r="R115" s="643">
        <f>スコア入力!AJ115</f>
        <v>0</v>
      </c>
      <c r="S115" s="643">
        <f>スコア入力!AL115</f>
        <v>0</v>
      </c>
      <c r="T115" s="630"/>
      <c r="U115" s="630"/>
      <c r="W115" s="631"/>
      <c r="X115" s="631"/>
      <c r="Y115" s="243">
        <f>スコア入力!AA115</f>
        <v>0</v>
      </c>
      <c r="Z115" s="243">
        <f>スコア入力!AB115</f>
        <v>0</v>
      </c>
      <c r="AA115" s="631"/>
      <c r="AB115" s="631"/>
      <c r="AC115" s="243">
        <f>スコア入力!AH115</f>
        <v>0</v>
      </c>
      <c r="AD115" s="243">
        <f>スコア入力!AI115</f>
        <v>0</v>
      </c>
      <c r="AE115" s="6"/>
      <c r="AF115" s="632"/>
      <c r="AG115" s="632"/>
      <c r="AH115" s="643">
        <f>スコア入力!AC115</f>
        <v>0</v>
      </c>
      <c r="AI115" s="643">
        <f>スコア入力!AE115</f>
        <v>0</v>
      </c>
      <c r="AJ115" s="632"/>
      <c r="AK115" s="632"/>
      <c r="AL115" s="643">
        <f>スコア入力!AJ115</f>
        <v>0</v>
      </c>
      <c r="AM115" s="643">
        <f>スコア入力!AL115</f>
        <v>0</v>
      </c>
      <c r="AN115" s="630"/>
      <c r="AO115" s="630"/>
    </row>
    <row r="116" spans="1:41" ht="16.5" thickBot="1">
      <c r="A116" s="406"/>
      <c r="B116" s="428" t="s">
        <v>685</v>
      </c>
      <c r="C116" s="429"/>
      <c r="D116" s="429"/>
      <c r="E116" s="429"/>
      <c r="F116" s="429"/>
      <c r="G116" s="429"/>
      <c r="H116" s="2925"/>
      <c r="I116" s="2926"/>
      <c r="J116" s="2926"/>
      <c r="K116" s="2927"/>
      <c r="L116" s="644"/>
      <c r="M116" s="645"/>
      <c r="N116" s="646"/>
      <c r="O116" s="646"/>
      <c r="P116" s="647"/>
      <c r="Q116" s="647"/>
      <c r="R116" s="646"/>
      <c r="S116" s="646"/>
      <c r="T116" s="648" t="e">
        <f t="shared" ref="T116:U118" si="34">ROUNDDOWN(AN116,1)</f>
        <v>#VALUE!</v>
      </c>
      <c r="U116" s="648" t="e">
        <f t="shared" si="34"/>
        <v>#VALUE!</v>
      </c>
      <c r="W116" s="575" t="e">
        <f>$AO116</f>
        <v>#VALUE!</v>
      </c>
      <c r="X116" s="575" t="e">
        <f>$AO116</f>
        <v>#VALUE!</v>
      </c>
      <c r="Y116" s="243">
        <f>スコア入力!AA116</f>
        <v>0</v>
      </c>
      <c r="Z116" s="243">
        <f>スコア入力!AB116</f>
        <v>0</v>
      </c>
      <c r="AA116" s="575">
        <f t="shared" ref="AA116:AA151" si="35">AJ116</f>
        <v>0</v>
      </c>
      <c r="AB116" s="575">
        <f t="shared" ref="AB116:AB151" si="36">AK116</f>
        <v>0</v>
      </c>
      <c r="AC116" s="243">
        <f>スコア入力!AH116</f>
        <v>0</v>
      </c>
      <c r="AD116" s="243">
        <f>スコア入力!AI116</f>
        <v>0</v>
      </c>
      <c r="AE116" s="6"/>
      <c r="AF116" s="649"/>
      <c r="AG116" s="645"/>
      <c r="AH116" s="646">
        <f>スコア入力!AC116</f>
        <v>0</v>
      </c>
      <c r="AI116" s="646">
        <f>スコア入力!AE116</f>
        <v>0</v>
      </c>
      <c r="AJ116" s="649"/>
      <c r="AK116" s="645"/>
      <c r="AL116" s="646">
        <f>スコア入力!AJ116</f>
        <v>0</v>
      </c>
      <c r="AM116" s="646">
        <f>スコア入力!AL116</f>
        <v>0</v>
      </c>
      <c r="AN116" s="648" t="e">
        <f>AH117*AN117+AH140*AN140+AH159*AN159</f>
        <v>#VALUE!</v>
      </c>
      <c r="AO116" s="648" t="e">
        <f>AI117*AO117+AI140*AO140+AI159*AO159</f>
        <v>#VALUE!</v>
      </c>
    </row>
    <row r="117" spans="1:41" ht="15.75" thickBot="1">
      <c r="A117" s="406"/>
      <c r="B117" s="437" t="s">
        <v>686</v>
      </c>
      <c r="C117" s="274"/>
      <c r="D117" s="274" t="s">
        <v>687</v>
      </c>
      <c r="E117" s="274"/>
      <c r="F117" s="650"/>
      <c r="G117" s="650"/>
      <c r="H117" s="2940"/>
      <c r="I117" s="2941"/>
      <c r="J117" s="2941"/>
      <c r="K117" s="2942"/>
      <c r="L117" s="651"/>
      <c r="M117" s="579"/>
      <c r="N117" s="578" t="e">
        <f>スコア入力!AC117</f>
        <v>#VALUE!</v>
      </c>
      <c r="O117" s="578" t="e">
        <f>スコア入力!AE117</f>
        <v>#VALUE!</v>
      </c>
      <c r="P117" s="652"/>
      <c r="Q117" s="652"/>
      <c r="R117" s="578"/>
      <c r="S117" s="578"/>
      <c r="T117" s="580">
        <f t="shared" si="34"/>
        <v>1.4</v>
      </c>
      <c r="U117" s="580">
        <f t="shared" si="34"/>
        <v>1.5</v>
      </c>
      <c r="W117" s="575">
        <f>$AO117</f>
        <v>1.5012941284421262</v>
      </c>
      <c r="X117" s="575">
        <f>$AO117</f>
        <v>1.5012941284421262</v>
      </c>
      <c r="Y117" s="243">
        <f>スコア入力!AA117</f>
        <v>0.40000000000000008</v>
      </c>
      <c r="Z117" s="243">
        <f>スコア入力!AB117</f>
        <v>0.40000000000000008</v>
      </c>
      <c r="AA117" s="575">
        <f t="shared" si="35"/>
        <v>0</v>
      </c>
      <c r="AB117" s="575">
        <f t="shared" si="36"/>
        <v>0</v>
      </c>
      <c r="AC117" s="243">
        <f>スコア入力!AH117</f>
        <v>0</v>
      </c>
      <c r="AD117" s="243">
        <f>スコア入力!AI117</f>
        <v>0</v>
      </c>
      <c r="AE117" s="6"/>
      <c r="AF117" s="281"/>
      <c r="AG117" s="579"/>
      <c r="AH117" s="578" t="e">
        <f>スコア入力!AC117</f>
        <v>#VALUE!</v>
      </c>
      <c r="AI117" s="578" t="e">
        <f>スコア入力!AE117</f>
        <v>#VALUE!</v>
      </c>
      <c r="AJ117" s="281"/>
      <c r="AK117" s="579"/>
      <c r="AL117" s="578">
        <f>スコア入力!AJ117</f>
        <v>0</v>
      </c>
      <c r="AM117" s="578">
        <f>スコア入力!AL117</f>
        <v>0</v>
      </c>
      <c r="AN117" s="580">
        <f>AN118*AH118+AN119*AH119+AN124*AH124+AN133*AH133</f>
        <v>1.4104438642297648</v>
      </c>
      <c r="AO117" s="580">
        <f>AO118*AI118+AO119*AI119+AO124*AI124+AO133*AI133</f>
        <v>1.5012941284421262</v>
      </c>
    </row>
    <row r="118" spans="1:41" ht="14.25" thickBot="1">
      <c r="A118" s="406"/>
      <c r="B118" s="283">
        <v>1</v>
      </c>
      <c r="C118" s="285" t="s">
        <v>1415</v>
      </c>
      <c r="D118" s="285"/>
      <c r="E118" s="285"/>
      <c r="F118" s="653"/>
      <c r="G118" s="653"/>
      <c r="H118" s="2919"/>
      <c r="I118" s="2920"/>
      <c r="J118" s="2920"/>
      <c r="K118" s="2928"/>
      <c r="L118" s="463">
        <f t="shared" ref="L118" si="37">IF(Y118=0,0,ROUNDDOWN(AF118,1))</f>
        <v>0.1</v>
      </c>
      <c r="M118" s="463">
        <f t="shared" ref="M118:M119" si="38">IF(Z118=0,0,ROUNDDOWN(AG118,1))</f>
        <v>0.1</v>
      </c>
      <c r="N118" s="585">
        <f>スコア入力!AC118</f>
        <v>0.19999999999999998</v>
      </c>
      <c r="O118" s="585">
        <f>スコア入力!AE118</f>
        <v>0.14844127688888098</v>
      </c>
      <c r="P118" s="463">
        <f t="shared" ref="P118:P119" si="39">IF(AC118=0,0,ROUNDDOWN(AJ118,1))</f>
        <v>0</v>
      </c>
      <c r="Q118" s="463">
        <f t="shared" ref="Q118:Q119" si="40">IF(AD118=0,0,ROUNDDOWN(AK118,1))</f>
        <v>0</v>
      </c>
      <c r="R118" s="585">
        <f>スコア入力!AJ118</f>
        <v>0</v>
      </c>
      <c r="S118" s="585">
        <f>スコア入力!AL118</f>
        <v>0</v>
      </c>
      <c r="T118" s="586">
        <f t="shared" si="34"/>
        <v>0.1</v>
      </c>
      <c r="U118" s="586">
        <f t="shared" si="34"/>
        <v>0.1</v>
      </c>
      <c r="W118" s="244">
        <f t="shared" ref="W118:W137" si="41">AF118</f>
        <v>0.10443864229765012</v>
      </c>
      <c r="X118" s="244">
        <f t="shared" ref="X118:X137" si="42">AG118</f>
        <v>0.14134275618374559</v>
      </c>
      <c r="Y118" s="243">
        <f>スコア入力!AA118</f>
        <v>0.20000000000000004</v>
      </c>
      <c r="Z118" s="243">
        <f>スコア入力!AB118</f>
        <v>0.14844127688888098</v>
      </c>
      <c r="AA118" s="244">
        <f t="shared" si="35"/>
        <v>0</v>
      </c>
      <c r="AB118" s="244">
        <f t="shared" si="36"/>
        <v>0</v>
      </c>
      <c r="AC118" s="243">
        <f>スコア入力!AH118</f>
        <v>0</v>
      </c>
      <c r="AD118" s="243">
        <f>スコア入力!AI118</f>
        <v>0</v>
      </c>
      <c r="AE118" s="6"/>
      <c r="AF118" s="669">
        <f>IF(スコア入力!L118="",省エネ_前!I40,省エネ_対象外!I40)</f>
        <v>0.10443864229765012</v>
      </c>
      <c r="AG118" s="669">
        <f>IF(スコア入力!L118="",省エネ_後!I40,省エネ_対象外!I40)</f>
        <v>0.14134275618374559</v>
      </c>
      <c r="AH118" s="585">
        <f>スコア入力!AC118</f>
        <v>0.19999999999999998</v>
      </c>
      <c r="AI118" s="585">
        <f>スコア入力!AE118</f>
        <v>0.14844127688888098</v>
      </c>
      <c r="AJ118" s="638">
        <f>スコア入力!U118</f>
        <v>0</v>
      </c>
      <c r="AK118" s="638">
        <f>スコア入力!W118</f>
        <v>0</v>
      </c>
      <c r="AL118" s="585">
        <f>スコア入力!AJ118</f>
        <v>0</v>
      </c>
      <c r="AM118" s="585">
        <f>スコア入力!AL118</f>
        <v>0</v>
      </c>
      <c r="AN118" s="586">
        <f>IF(AJ118=0,AF118,AF118*AH$6+AJ118*AL$6)</f>
        <v>0.10443864229765012</v>
      </c>
      <c r="AO118" s="586">
        <f>IF(AK118=0,AG118,AG118*AI$6+AK118*AM$6)</f>
        <v>0.14134275618374559</v>
      </c>
    </row>
    <row r="119" spans="1:41" ht="14.25" thickBot="1">
      <c r="A119" s="406"/>
      <c r="B119" s="448">
        <v>2</v>
      </c>
      <c r="C119" s="326" t="s">
        <v>688</v>
      </c>
      <c r="D119" s="326"/>
      <c r="E119" s="326"/>
      <c r="F119" s="654"/>
      <c r="G119" s="654"/>
      <c r="H119" s="2910"/>
      <c r="I119" s="2911"/>
      <c r="J119" s="2911"/>
      <c r="K119" s="2939"/>
      <c r="L119" s="493">
        <f>IF(Y119=0,0,ROUNDDOWN(AF119,1))</f>
        <v>3</v>
      </c>
      <c r="M119" s="493">
        <f t="shared" si="38"/>
        <v>3</v>
      </c>
      <c r="N119" s="599">
        <f>スコア入力!AC119</f>
        <v>9.9999999999999992E-2</v>
      </c>
      <c r="O119" s="599">
        <f>スコア入力!AE119</f>
        <v>0.10700360595523577</v>
      </c>
      <c r="P119" s="493">
        <f t="shared" si="39"/>
        <v>0</v>
      </c>
      <c r="Q119" s="493">
        <f t="shared" si="40"/>
        <v>0</v>
      </c>
      <c r="R119" s="599">
        <f>スコア入力!AJ119</f>
        <v>0</v>
      </c>
      <c r="S119" s="599">
        <f>スコア入力!AL119</f>
        <v>0</v>
      </c>
      <c r="T119" s="601">
        <f>ROUNDDOWN(AN119,1)</f>
        <v>3</v>
      </c>
      <c r="U119" s="601">
        <f>ROUNDDOWN(AO119,1)</f>
        <v>3</v>
      </c>
      <c r="W119" s="575">
        <f t="shared" si="41"/>
        <v>2.9999999999999996</v>
      </c>
      <c r="X119" s="575">
        <f t="shared" si="42"/>
        <v>3.0640000000000001</v>
      </c>
      <c r="Y119" s="243">
        <f>スコア入力!AA119</f>
        <v>0.10000000000000002</v>
      </c>
      <c r="Z119" s="243">
        <f>スコア入力!AB119</f>
        <v>0.10700360595523577</v>
      </c>
      <c r="AA119" s="575">
        <f t="shared" si="35"/>
        <v>0</v>
      </c>
      <c r="AB119" s="575">
        <f t="shared" si="36"/>
        <v>0</v>
      </c>
      <c r="AC119" s="243">
        <f>スコア入力!AH119</f>
        <v>0</v>
      </c>
      <c r="AD119" s="243">
        <f>スコア入力!AI119</f>
        <v>0</v>
      </c>
      <c r="AE119" s="6"/>
      <c r="AF119" s="604">
        <f>AF120*AH120+AF121*AH121</f>
        <v>2.9999999999999996</v>
      </c>
      <c r="AG119" s="604">
        <f>AG120*AI120+AG121*AI121</f>
        <v>3.0640000000000001</v>
      </c>
      <c r="AH119" s="599">
        <f>スコア入力!AC119</f>
        <v>9.9999999999999992E-2</v>
      </c>
      <c r="AI119" s="599">
        <f>スコア入力!AE119</f>
        <v>0.10700360595523577</v>
      </c>
      <c r="AJ119" s="604">
        <f>AJ120*AL120+AJ121*AL121</f>
        <v>0</v>
      </c>
      <c r="AK119" s="604">
        <f>AK120*AM120+AK121*AM121</f>
        <v>0</v>
      </c>
      <c r="AL119" s="599">
        <f>スコア入力!AJ119</f>
        <v>0</v>
      </c>
      <c r="AM119" s="599">
        <f>スコア入力!AL119</f>
        <v>0</v>
      </c>
      <c r="AN119" s="601">
        <f t="shared" ref="AN119" si="43">IF(AJ119=0,AF119,IF(AF119=0,AJ119,AF119*AH$6+AJ119*AL$6))</f>
        <v>2.9999999999999996</v>
      </c>
      <c r="AO119" s="601">
        <f t="shared" ref="AO119" si="44">IF(AK119=0,AG119,IF(AG119=0,AK119,AG119*AI$6+AK119*AM$6))</f>
        <v>3.0640000000000001</v>
      </c>
    </row>
    <row r="120" spans="1:41" ht="13.5" hidden="1">
      <c r="A120" s="406"/>
      <c r="B120" s="450"/>
      <c r="C120" s="2334" t="s">
        <v>1706</v>
      </c>
      <c r="D120" s="399" t="s">
        <v>1713</v>
      </c>
      <c r="E120" s="326"/>
      <c r="F120" s="654"/>
      <c r="G120" s="654"/>
      <c r="H120" s="2340"/>
      <c r="I120" s="2335"/>
      <c r="J120" s="2335"/>
      <c r="K120" s="2336"/>
      <c r="L120" s="463">
        <f>IF(Y120=0,0,ROUNDDOWN(AF120,1))</f>
        <v>3</v>
      </c>
      <c r="M120" s="463">
        <f>IF(Z120=0,0,ROUNDDOWN(AG120,1))</f>
        <v>3</v>
      </c>
      <c r="N120" s="585">
        <f>スコア入力!AC120</f>
        <v>2.0887728459530023E-2</v>
      </c>
      <c r="O120" s="585">
        <f>スコア入力!AE120</f>
        <v>2.1333333333333333E-2</v>
      </c>
      <c r="P120" s="463">
        <f t="shared" ref="P120:P121" si="45">IF(AC120=0,0,ROUNDDOWN(AJ120,1))</f>
        <v>0</v>
      </c>
      <c r="Q120" s="463">
        <f t="shared" ref="Q120:Q121" si="46">IF(AD120=0,0,ROUNDDOWN(AK120,1))</f>
        <v>0</v>
      </c>
      <c r="R120" s="585">
        <f>スコア入力!AJ120</f>
        <v>0</v>
      </c>
      <c r="S120" s="585">
        <f>スコア入力!AL120</f>
        <v>0</v>
      </c>
      <c r="T120" s="586"/>
      <c r="U120" s="589"/>
      <c r="W120" s="244">
        <f t="shared" si="41"/>
        <v>3</v>
      </c>
      <c r="X120" s="244">
        <f t="shared" si="42"/>
        <v>3</v>
      </c>
      <c r="Y120" s="243">
        <f>スコア入力!AA120</f>
        <v>2.0887728459530026E-2</v>
      </c>
      <c r="Z120" s="243">
        <f>スコア入力!AB120</f>
        <v>2.0887728459530026E-2</v>
      </c>
      <c r="AA120" s="244">
        <f t="shared" si="35"/>
        <v>0</v>
      </c>
      <c r="AB120" s="244">
        <f t="shared" si="36"/>
        <v>0</v>
      </c>
      <c r="AC120" s="243">
        <f>スコア入力!AH120</f>
        <v>0</v>
      </c>
      <c r="AD120" s="243">
        <f>スコア入力!AI120</f>
        <v>0</v>
      </c>
      <c r="AE120" s="6"/>
      <c r="AF120" s="637">
        <f>スコア入力!N120</f>
        <v>3</v>
      </c>
      <c r="AG120" s="637">
        <f>スコア入力!P120</f>
        <v>3</v>
      </c>
      <c r="AH120" s="585">
        <f>スコア入力!AC120</f>
        <v>2.0887728459530023E-2</v>
      </c>
      <c r="AI120" s="585">
        <f>スコア入力!AE120</f>
        <v>2.1333333333333333E-2</v>
      </c>
      <c r="AJ120" s="637">
        <f>スコア入力!U120</f>
        <v>0</v>
      </c>
      <c r="AK120" s="637">
        <f>スコア入力!W120</f>
        <v>0</v>
      </c>
      <c r="AL120" s="585">
        <f>スコア入力!AJ120</f>
        <v>0</v>
      </c>
      <c r="AM120" s="585">
        <f>スコア入力!AL120</f>
        <v>0</v>
      </c>
      <c r="AN120" s="586"/>
      <c r="AO120" s="586"/>
    </row>
    <row r="121" spans="1:41" ht="14.25" hidden="1" thickBot="1">
      <c r="A121" s="406"/>
      <c r="B121" s="450"/>
      <c r="C121" s="2334" t="s">
        <v>1708</v>
      </c>
      <c r="D121" s="399" t="s">
        <v>1714</v>
      </c>
      <c r="E121" s="326"/>
      <c r="F121" s="654"/>
      <c r="G121" s="654"/>
      <c r="H121" s="2340"/>
      <c r="I121" s="2335"/>
      <c r="J121" s="2335"/>
      <c r="K121" s="2336"/>
      <c r="L121" s="465">
        <f>IF(Y121=0,0,ROUNDDOWN(AF121,1))</f>
        <v>3</v>
      </c>
      <c r="M121" s="465">
        <f>IF(Z121=0,0,ROUNDDOWN(AG121,1))</f>
        <v>3</v>
      </c>
      <c r="N121" s="585">
        <f>スコア入力!AC121</f>
        <v>0.97911227154046987</v>
      </c>
      <c r="O121" s="585">
        <f>スコア入力!AE121</f>
        <v>1</v>
      </c>
      <c r="P121" s="465">
        <f t="shared" si="45"/>
        <v>0</v>
      </c>
      <c r="Q121" s="465">
        <f t="shared" si="46"/>
        <v>0</v>
      </c>
      <c r="R121" s="585">
        <f>スコア入力!AJ121</f>
        <v>0</v>
      </c>
      <c r="S121" s="585">
        <f>スコア入力!AL121</f>
        <v>0</v>
      </c>
      <c r="T121" s="617"/>
      <c r="U121" s="586"/>
      <c r="W121" s="244">
        <f t="shared" si="41"/>
        <v>3</v>
      </c>
      <c r="X121" s="244">
        <f t="shared" si="42"/>
        <v>3</v>
      </c>
      <c r="Y121" s="243">
        <f>スコア入力!AA121</f>
        <v>0.97911227154047009</v>
      </c>
      <c r="Z121" s="243">
        <f>スコア入力!AB121</f>
        <v>0.97911227154046998</v>
      </c>
      <c r="AA121" s="244">
        <f t="shared" si="35"/>
        <v>0</v>
      </c>
      <c r="AB121" s="244">
        <f t="shared" si="36"/>
        <v>0</v>
      </c>
      <c r="AC121" s="243">
        <f>スコア入力!AH121</f>
        <v>0</v>
      </c>
      <c r="AD121" s="243">
        <f>スコア入力!AI121</f>
        <v>0</v>
      </c>
      <c r="AE121" s="6"/>
      <c r="AF121" s="607">
        <f>スコア入力!N121</f>
        <v>3</v>
      </c>
      <c r="AG121" s="607">
        <f>スコア入力!P121</f>
        <v>3</v>
      </c>
      <c r="AH121" s="585">
        <f>スコア入力!AC121</f>
        <v>0.97911227154046987</v>
      </c>
      <c r="AI121" s="585">
        <f>スコア入力!AE121</f>
        <v>1</v>
      </c>
      <c r="AJ121" s="607">
        <f>スコア入力!U121</f>
        <v>0</v>
      </c>
      <c r="AK121" s="607">
        <f>スコア入力!W121</f>
        <v>0</v>
      </c>
      <c r="AL121" s="585">
        <f>スコア入力!AJ121</f>
        <v>0</v>
      </c>
      <c r="AM121" s="585">
        <f>スコア入力!AL121</f>
        <v>0</v>
      </c>
      <c r="AN121" s="586"/>
      <c r="AO121" s="586"/>
    </row>
    <row r="122" spans="1:41" ht="13.5" hidden="1">
      <c r="A122" s="406"/>
      <c r="B122" s="450"/>
      <c r="C122" s="454"/>
      <c r="D122" s="399"/>
      <c r="E122" s="326"/>
      <c r="F122" s="654"/>
      <c r="G122" s="654"/>
      <c r="H122" s="2337"/>
      <c r="I122" s="2338"/>
      <c r="J122" s="2338"/>
      <c r="K122" s="2339"/>
      <c r="L122" s="463">
        <f t="shared" ref="L122:L139" si="47">IF(Y122=0,0,ROUNDDOWN(AF122,1))</f>
        <v>0</v>
      </c>
      <c r="M122" s="463"/>
      <c r="N122" s="585">
        <f>スコア入力!AC122</f>
        <v>0</v>
      </c>
      <c r="O122" s="585">
        <f>スコア入力!AE122</f>
        <v>0</v>
      </c>
      <c r="P122" s="463">
        <f t="shared" ref="P122:P139" si="48">IF(AC122=0,0,ROUNDDOWN(AJ122,1))</f>
        <v>0</v>
      </c>
      <c r="Q122" s="463">
        <f t="shared" ref="Q122:Q139" si="49">IF(AD122=0,0,ROUNDDOWN(AK122,1))</f>
        <v>0</v>
      </c>
      <c r="R122" s="585">
        <f>スコア入力!AJ122</f>
        <v>0</v>
      </c>
      <c r="S122" s="585">
        <f>スコア入力!AL122</f>
        <v>0</v>
      </c>
      <c r="T122" s="586"/>
      <c r="U122" s="586"/>
      <c r="W122" s="244">
        <f t="shared" si="41"/>
        <v>0</v>
      </c>
      <c r="X122" s="244">
        <f t="shared" si="42"/>
        <v>0</v>
      </c>
      <c r="Y122" s="243">
        <f>スコア入力!AA122</f>
        <v>0</v>
      </c>
      <c r="Z122" s="243">
        <f>スコア入力!AB122</f>
        <v>0</v>
      </c>
      <c r="AA122" s="244">
        <f t="shared" si="35"/>
        <v>0</v>
      </c>
      <c r="AB122" s="244">
        <f t="shared" si="36"/>
        <v>0</v>
      </c>
      <c r="AC122" s="243">
        <f>スコア入力!AH122</f>
        <v>0</v>
      </c>
      <c r="AD122" s="243">
        <f>スコア入力!AI122</f>
        <v>0</v>
      </c>
      <c r="AE122" s="6"/>
      <c r="AF122" s="637">
        <f>スコア入力!N122</f>
        <v>0</v>
      </c>
      <c r="AG122" s="637">
        <f>スコア入力!P122</f>
        <v>0</v>
      </c>
      <c r="AH122" s="585">
        <f>スコア入力!AC122</f>
        <v>0</v>
      </c>
      <c r="AI122" s="585">
        <f>スコア入力!AE122</f>
        <v>0</v>
      </c>
      <c r="AJ122" s="637">
        <f>スコア入力!U122</f>
        <v>0</v>
      </c>
      <c r="AK122" s="637">
        <f>スコア入力!W122</f>
        <v>0</v>
      </c>
      <c r="AL122" s="585">
        <f>スコア入力!AJ122</f>
        <v>0</v>
      </c>
      <c r="AM122" s="585">
        <f>スコア入力!AL122</f>
        <v>0</v>
      </c>
      <c r="AN122" s="586"/>
      <c r="AO122" s="586"/>
    </row>
    <row r="123" spans="1:41" ht="14.25" hidden="1" thickBot="1">
      <c r="A123" s="406"/>
      <c r="B123" s="455"/>
      <c r="C123" s="454"/>
      <c r="D123" s="399"/>
      <c r="E123" s="326"/>
      <c r="F123" s="654"/>
      <c r="G123" s="654"/>
      <c r="H123" s="2900"/>
      <c r="I123" s="2901"/>
      <c r="J123" s="2901"/>
      <c r="K123" s="2902"/>
      <c r="L123" s="465">
        <f t="shared" si="47"/>
        <v>0</v>
      </c>
      <c r="M123" s="465">
        <f t="shared" ref="M123:M137" si="50">IF(Z123=0,0,ROUNDDOWN(AG123,1))</f>
        <v>0</v>
      </c>
      <c r="N123" s="585">
        <f>スコア入力!AC123</f>
        <v>0</v>
      </c>
      <c r="O123" s="585">
        <f>スコア入力!AE123</f>
        <v>0</v>
      </c>
      <c r="P123" s="465">
        <f t="shared" si="48"/>
        <v>0</v>
      </c>
      <c r="Q123" s="465">
        <f t="shared" si="49"/>
        <v>0</v>
      </c>
      <c r="R123" s="585">
        <f>スコア入力!AJ123</f>
        <v>0</v>
      </c>
      <c r="S123" s="585">
        <f>スコア入力!AL123</f>
        <v>0</v>
      </c>
      <c r="T123" s="617"/>
      <c r="U123" s="617"/>
      <c r="W123" s="244">
        <f t="shared" si="41"/>
        <v>0</v>
      </c>
      <c r="X123" s="244">
        <f t="shared" si="42"/>
        <v>0</v>
      </c>
      <c r="Y123" s="243">
        <f>スコア入力!AA123</f>
        <v>0</v>
      </c>
      <c r="Z123" s="243">
        <f>スコア入力!AB123</f>
        <v>0</v>
      </c>
      <c r="AA123" s="244">
        <f t="shared" si="35"/>
        <v>0</v>
      </c>
      <c r="AB123" s="244">
        <f t="shared" si="36"/>
        <v>0</v>
      </c>
      <c r="AC123" s="243">
        <f>スコア入力!AH123</f>
        <v>0</v>
      </c>
      <c r="AD123" s="243">
        <f>スコア入力!AI123</f>
        <v>0</v>
      </c>
      <c r="AE123" s="6"/>
      <c r="AF123" s="607">
        <f>スコア入力!N123</f>
        <v>0</v>
      </c>
      <c r="AG123" s="607">
        <f>スコア入力!P123</f>
        <v>0</v>
      </c>
      <c r="AH123" s="585">
        <f>スコア入力!AC123</f>
        <v>0</v>
      </c>
      <c r="AI123" s="585">
        <f>スコア入力!AE123</f>
        <v>0</v>
      </c>
      <c r="AJ123" s="607">
        <f>スコア入力!U123</f>
        <v>0</v>
      </c>
      <c r="AK123" s="607">
        <f>スコア入力!W123</f>
        <v>0</v>
      </c>
      <c r="AL123" s="585">
        <f>スコア入力!AJ123</f>
        <v>0</v>
      </c>
      <c r="AM123" s="585">
        <f>スコア入力!AL123</f>
        <v>0</v>
      </c>
      <c r="AN123" s="617"/>
      <c r="AO123" s="617"/>
    </row>
    <row r="124" spans="1:41" ht="14.25" thickBot="1">
      <c r="A124" s="406"/>
      <c r="B124" s="448">
        <v>3</v>
      </c>
      <c r="C124" s="326" t="s">
        <v>691</v>
      </c>
      <c r="D124" s="326"/>
      <c r="E124" s="326"/>
      <c r="F124" s="654"/>
      <c r="G124" s="654"/>
      <c r="H124" s="2919"/>
      <c r="I124" s="2920"/>
      <c r="J124" s="2920"/>
      <c r="K124" s="2921"/>
      <c r="L124" s="676">
        <f t="shared" ref="L124" si="51">IF(Y124=0,0,ROUNDDOWN(AF124,1))</f>
        <v>0.9</v>
      </c>
      <c r="M124" s="676">
        <f t="shared" ref="M124" si="52">IF(Z124=0,0,ROUNDDOWN(AG124,1))</f>
        <v>0.9</v>
      </c>
      <c r="N124" s="599">
        <f>スコア入力!AC124</f>
        <v>0.5</v>
      </c>
      <c r="O124" s="599">
        <f>スコア入力!AE124</f>
        <v>0.53501802977617874</v>
      </c>
      <c r="P124" s="604">
        <f t="shared" si="48"/>
        <v>0</v>
      </c>
      <c r="Q124" s="604">
        <f t="shared" si="49"/>
        <v>0</v>
      </c>
      <c r="R124" s="599">
        <f>スコア入力!AJ124</f>
        <v>0</v>
      </c>
      <c r="S124" s="599">
        <f>スコア入力!AL124</f>
        <v>0</v>
      </c>
      <c r="T124" s="601">
        <f>ROUNDDOWN(AN124,1)</f>
        <v>0.9</v>
      </c>
      <c r="U124" s="601">
        <f>ROUNDDOWN(AO124,1)</f>
        <v>0.9</v>
      </c>
      <c r="W124" s="655">
        <f t="shared" si="41"/>
        <v>0.97911227154046998</v>
      </c>
      <c r="X124" s="655">
        <f t="shared" si="42"/>
        <v>0.97911227154046998</v>
      </c>
      <c r="Y124" s="243">
        <f>スコア入力!AA124</f>
        <v>0.50000000000000011</v>
      </c>
      <c r="Z124" s="243">
        <f>スコア入力!AB124</f>
        <v>0.53501802977617874</v>
      </c>
      <c r="AA124" s="655">
        <f t="shared" si="35"/>
        <v>0</v>
      </c>
      <c r="AB124" s="655">
        <f t="shared" si="36"/>
        <v>0</v>
      </c>
      <c r="AC124" s="243">
        <f>スコア入力!AH124</f>
        <v>0</v>
      </c>
      <c r="AD124" s="243">
        <f>スコア入力!AI124</f>
        <v>0</v>
      </c>
      <c r="AE124" s="6"/>
      <c r="AF124" s="2305">
        <f>IF(スコア入力!L124="",省エネ_前!I57,省エネ_対象外!I57)</f>
        <v>0.97911227154046998</v>
      </c>
      <c r="AG124" s="669">
        <f>IF(スコア入力!L124="",省エネ_後!I57,省エネ_対象外!I57)</f>
        <v>0.97911227154046998</v>
      </c>
      <c r="AH124" s="599">
        <f>スコア入力!AC124</f>
        <v>0.5</v>
      </c>
      <c r="AI124" s="599">
        <f>スコア入力!AE124</f>
        <v>0.53501802977617874</v>
      </c>
      <c r="AJ124" s="604">
        <f>AJ125*AL125+AJ126*AL126</f>
        <v>0</v>
      </c>
      <c r="AK124" s="604">
        <f>AK125*AM125+AK126*AM126</f>
        <v>0</v>
      </c>
      <c r="AL124" s="599">
        <f>スコア入力!AJ124</f>
        <v>0</v>
      </c>
      <c r="AM124" s="599">
        <f>スコア入力!AL124</f>
        <v>0</v>
      </c>
      <c r="AN124" s="601">
        <f>IF(AJ124=0,AF124,AF124*AH$6+AJ124*AL$6)</f>
        <v>0.97911227154046998</v>
      </c>
      <c r="AO124" s="601">
        <f>IF(AK124=0,AG124,AG124*AI$6+AK124*AM$6)</f>
        <v>0.97911227154046998</v>
      </c>
    </row>
    <row r="125" spans="1:41" ht="14.25" thickBot="1">
      <c r="A125" s="406"/>
      <c r="B125" s="450"/>
      <c r="C125" s="418">
        <v>3.1</v>
      </c>
      <c r="D125" s="399" t="s">
        <v>1679</v>
      </c>
      <c r="E125" s="326"/>
      <c r="F125" s="654"/>
      <c r="G125" s="654"/>
      <c r="H125" s="2910"/>
      <c r="I125" s="2911"/>
      <c r="J125" s="2911"/>
      <c r="K125" s="2939"/>
      <c r="L125" s="590">
        <f t="shared" si="47"/>
        <v>1</v>
      </c>
      <c r="M125" s="590">
        <f>IF(Z125=0,0,ROUNDDOWN(AG125,1))</f>
        <v>1</v>
      </c>
      <c r="N125" s="585">
        <f>IF(N132&gt;0,0,スコア入力!AC125)</f>
        <v>0</v>
      </c>
      <c r="O125" s="585">
        <f>IF(O132&gt;0,0,スコア入力!AE125)</f>
        <v>1</v>
      </c>
      <c r="P125" s="590">
        <f t="shared" si="48"/>
        <v>0</v>
      </c>
      <c r="Q125" s="590">
        <f t="shared" si="49"/>
        <v>0</v>
      </c>
      <c r="R125" s="585">
        <f>スコア入力!AJ125</f>
        <v>0</v>
      </c>
      <c r="S125" s="585">
        <f>スコア入力!AL125</f>
        <v>0</v>
      </c>
      <c r="T125" s="586"/>
      <c r="U125" s="586"/>
      <c r="W125" s="581">
        <f>AF125</f>
        <v>1</v>
      </c>
      <c r="X125" s="581">
        <f t="shared" si="42"/>
        <v>1</v>
      </c>
      <c r="Y125" s="243">
        <f>スコア入力!AA125</f>
        <v>0.97911227154047009</v>
      </c>
      <c r="Z125" s="243">
        <f>スコア入力!AB125</f>
        <v>0.97911227154046998</v>
      </c>
      <c r="AA125" s="581">
        <f t="shared" si="35"/>
        <v>0</v>
      </c>
      <c r="AB125" s="581">
        <f t="shared" si="36"/>
        <v>0</v>
      </c>
      <c r="AC125" s="243">
        <f>スコア入力!AH125</f>
        <v>0</v>
      </c>
      <c r="AD125" s="243">
        <f>スコア入力!AI125</f>
        <v>0</v>
      </c>
      <c r="AE125" s="6"/>
      <c r="AF125" s="669">
        <f>IF(スコア入力!L125="",省エネ_前!I54,省エネ_対象外!I54)</f>
        <v>1</v>
      </c>
      <c r="AG125" s="669">
        <f>IF(スコア入力!L125="",省エネ_後!I54,省エネ_対象外!I54)</f>
        <v>1</v>
      </c>
      <c r="AH125" s="591">
        <f>スコア入力!AC125</f>
        <v>1</v>
      </c>
      <c r="AI125" s="591">
        <f>スコア入力!AE125</f>
        <v>1</v>
      </c>
      <c r="AJ125" s="423">
        <f>スコア入力!U125</f>
        <v>0</v>
      </c>
      <c r="AK125" s="423">
        <f>スコア入力!W125</f>
        <v>0</v>
      </c>
      <c r="AL125" s="591">
        <f>スコア入力!AJ125</f>
        <v>0</v>
      </c>
      <c r="AM125" s="591">
        <f>スコア入力!AL125</f>
        <v>0</v>
      </c>
      <c r="AN125" s="586"/>
      <c r="AO125" s="586"/>
    </row>
    <row r="126" spans="1:41" ht="14.25" thickBot="1">
      <c r="A126" s="406"/>
      <c r="B126" s="450"/>
      <c r="C126" s="415">
        <v>3.1</v>
      </c>
      <c r="D126" s="399" t="s">
        <v>1680</v>
      </c>
      <c r="E126" s="326"/>
      <c r="F126" s="654"/>
      <c r="G126" s="654"/>
      <c r="H126" s="2900"/>
      <c r="I126" s="2901"/>
      <c r="J126" s="2901"/>
      <c r="K126" s="2902"/>
      <c r="L126" s="596">
        <f t="shared" si="47"/>
        <v>0</v>
      </c>
      <c r="M126" s="596">
        <f t="shared" si="50"/>
        <v>0</v>
      </c>
      <c r="N126" s="585">
        <f>スコア入力!AC126</f>
        <v>0</v>
      </c>
      <c r="O126" s="585">
        <f>スコア入力!AE126</f>
        <v>0</v>
      </c>
      <c r="P126" s="596">
        <f t="shared" si="48"/>
        <v>0</v>
      </c>
      <c r="Q126" s="596">
        <f t="shared" si="49"/>
        <v>0</v>
      </c>
      <c r="R126" s="585">
        <f>スコア入力!AJ126</f>
        <v>0</v>
      </c>
      <c r="S126" s="585">
        <f>スコア入力!AL126</f>
        <v>0</v>
      </c>
      <c r="T126" s="586"/>
      <c r="U126" s="586"/>
      <c r="W126" s="575">
        <f t="shared" si="41"/>
        <v>0</v>
      </c>
      <c r="X126" s="575">
        <f t="shared" si="42"/>
        <v>0</v>
      </c>
      <c r="Y126" s="243">
        <f>スコア入力!AA126</f>
        <v>2.0887728459530026E-2</v>
      </c>
      <c r="Z126" s="243">
        <f>スコア入力!AB126</f>
        <v>2.0887728459530026E-2</v>
      </c>
      <c r="AA126" s="575">
        <f t="shared" si="35"/>
        <v>0</v>
      </c>
      <c r="AB126" s="575">
        <f t="shared" si="36"/>
        <v>0</v>
      </c>
      <c r="AC126" s="243">
        <f>スコア入力!AH126</f>
        <v>0</v>
      </c>
      <c r="AD126" s="243">
        <f>スコア入力!AI126</f>
        <v>0</v>
      </c>
      <c r="AE126" s="6"/>
      <c r="AF126" s="669">
        <f>IF(スコア入力!L126="",省エネ_前!M54,省エネ_対象外!M54)</f>
        <v>0</v>
      </c>
      <c r="AG126" s="669">
        <f>IF(スコア入力!L126="",省エネ_後!M54,省エネ_対象外!M54)</f>
        <v>0</v>
      </c>
      <c r="AH126" s="591">
        <f>スコア入力!AC126</f>
        <v>0</v>
      </c>
      <c r="AI126" s="591">
        <f>スコア入力!AE126</f>
        <v>0</v>
      </c>
      <c r="AJ126" s="604">
        <f>SUMPRODUCT(AJ127:AJ132,AL127:AL132)</f>
        <v>0</v>
      </c>
      <c r="AK126" s="604">
        <f>SUMPRODUCT(AK127:AK132,AM127:AM132)</f>
        <v>0</v>
      </c>
      <c r="AL126" s="591">
        <f>スコア入力!AJ126</f>
        <v>0</v>
      </c>
      <c r="AM126" s="591">
        <f>スコア入力!AL126</f>
        <v>0</v>
      </c>
      <c r="AN126" s="586"/>
      <c r="AO126" s="586"/>
    </row>
    <row r="127" spans="1:41" ht="13.5" hidden="1">
      <c r="A127" s="406"/>
      <c r="B127" s="462"/>
      <c r="C127" s="2318">
        <v>3.1</v>
      </c>
      <c r="D127" s="2319" t="s">
        <v>692</v>
      </c>
      <c r="E127" s="1985"/>
      <c r="F127" s="654"/>
      <c r="G127" s="654"/>
      <c r="H127" s="2900"/>
      <c r="I127" s="2901"/>
      <c r="J127" s="2901"/>
      <c r="K127" s="2901"/>
      <c r="L127" s="596">
        <f t="shared" si="47"/>
        <v>0</v>
      </c>
      <c r="M127" s="596">
        <f t="shared" si="50"/>
        <v>0</v>
      </c>
      <c r="N127" s="585">
        <f>スコア入力!AC127</f>
        <v>0</v>
      </c>
      <c r="O127" s="585">
        <f>スコア入力!AE127</f>
        <v>0</v>
      </c>
      <c r="P127" s="596">
        <f t="shared" si="48"/>
        <v>0</v>
      </c>
      <c r="Q127" s="596">
        <f t="shared" si="49"/>
        <v>0</v>
      </c>
      <c r="R127" s="585">
        <f>スコア入力!AJ127</f>
        <v>0</v>
      </c>
      <c r="S127" s="585">
        <f>スコア入力!AL127</f>
        <v>0</v>
      </c>
      <c r="T127" s="586"/>
      <c r="U127" s="586"/>
      <c r="W127" s="575">
        <f t="shared" si="41"/>
        <v>0</v>
      </c>
      <c r="X127" s="575">
        <f t="shared" si="42"/>
        <v>0</v>
      </c>
      <c r="Y127" s="243">
        <f>スコア入力!AA127</f>
        <v>0</v>
      </c>
      <c r="Z127" s="243">
        <f>スコア入力!AB127</f>
        <v>0</v>
      </c>
      <c r="AA127" s="575">
        <f t="shared" si="35"/>
        <v>0</v>
      </c>
      <c r="AB127" s="575">
        <f t="shared" si="36"/>
        <v>0</v>
      </c>
      <c r="AC127" s="243">
        <f>スコア入力!AH127</f>
        <v>0</v>
      </c>
      <c r="AD127" s="243">
        <f>スコア入力!AI127</f>
        <v>0</v>
      </c>
      <c r="AE127" s="6"/>
      <c r="AF127" s="637">
        <f>スコア入力!N127</f>
        <v>0</v>
      </c>
      <c r="AG127" s="637">
        <f>スコア入力!P127</f>
        <v>0</v>
      </c>
      <c r="AH127" s="591">
        <f>スコア入力!AC127</f>
        <v>0</v>
      </c>
      <c r="AI127" s="591">
        <f>スコア入力!AE127</f>
        <v>0</v>
      </c>
      <c r="AJ127" s="637">
        <f>スコア入力!U127</f>
        <v>0</v>
      </c>
      <c r="AK127" s="637">
        <f>スコア入力!W127</f>
        <v>0</v>
      </c>
      <c r="AL127" s="591">
        <f>スコア入力!AJ127</f>
        <v>0</v>
      </c>
      <c r="AM127" s="591">
        <f>スコア入力!AL127</f>
        <v>0</v>
      </c>
      <c r="AN127" s="586"/>
      <c r="AO127" s="586"/>
    </row>
    <row r="128" spans="1:41" ht="13.5" hidden="1">
      <c r="A128" s="406"/>
      <c r="B128" s="462"/>
      <c r="C128" s="2318">
        <v>3.2</v>
      </c>
      <c r="D128" s="2319" t="s">
        <v>693</v>
      </c>
      <c r="E128" s="1985"/>
      <c r="F128" s="654"/>
      <c r="G128" s="654"/>
      <c r="H128" s="2900"/>
      <c r="I128" s="2901"/>
      <c r="J128" s="2901"/>
      <c r="K128" s="2901"/>
      <c r="L128" s="596">
        <f t="shared" si="47"/>
        <v>0</v>
      </c>
      <c r="M128" s="596">
        <f t="shared" si="50"/>
        <v>0</v>
      </c>
      <c r="N128" s="585">
        <f>スコア入力!AC128</f>
        <v>0</v>
      </c>
      <c r="O128" s="585">
        <f>スコア入力!AE128</f>
        <v>0</v>
      </c>
      <c r="P128" s="596">
        <f t="shared" si="48"/>
        <v>0</v>
      </c>
      <c r="Q128" s="596">
        <f t="shared" si="49"/>
        <v>0</v>
      </c>
      <c r="R128" s="585">
        <f>スコア入力!AJ128</f>
        <v>0</v>
      </c>
      <c r="S128" s="585">
        <f>スコア入力!AL128</f>
        <v>0</v>
      </c>
      <c r="T128" s="586"/>
      <c r="U128" s="586"/>
      <c r="W128" s="575">
        <f t="shared" si="41"/>
        <v>0</v>
      </c>
      <c r="X128" s="575">
        <f t="shared" si="42"/>
        <v>0</v>
      </c>
      <c r="Y128" s="243">
        <f>スコア入力!AA128</f>
        <v>0</v>
      </c>
      <c r="Z128" s="243">
        <f>スコア入力!AB128</f>
        <v>0</v>
      </c>
      <c r="AA128" s="575">
        <f t="shared" si="35"/>
        <v>0</v>
      </c>
      <c r="AB128" s="575">
        <f t="shared" si="36"/>
        <v>0</v>
      </c>
      <c r="AC128" s="243">
        <f>スコア入力!AH128</f>
        <v>0</v>
      </c>
      <c r="AD128" s="243">
        <f>スコア入力!AI128</f>
        <v>0</v>
      </c>
      <c r="AE128" s="6"/>
      <c r="AF128" s="656">
        <f>スコア入力!N128</f>
        <v>0</v>
      </c>
      <c r="AG128" s="656">
        <f>スコア入力!P128</f>
        <v>0</v>
      </c>
      <c r="AH128" s="591">
        <f>スコア入力!AC128</f>
        <v>0</v>
      </c>
      <c r="AI128" s="591">
        <f>スコア入力!AE128</f>
        <v>0</v>
      </c>
      <c r="AJ128" s="656">
        <f>スコア入力!U128</f>
        <v>0</v>
      </c>
      <c r="AK128" s="656">
        <f>スコア入力!W128</f>
        <v>0</v>
      </c>
      <c r="AL128" s="591">
        <f>スコア入力!AJ128</f>
        <v>0</v>
      </c>
      <c r="AM128" s="591">
        <f>スコア入力!AL128</f>
        <v>0</v>
      </c>
      <c r="AN128" s="586"/>
      <c r="AO128" s="586"/>
    </row>
    <row r="129" spans="1:41" ht="13.5" hidden="1">
      <c r="A129" s="406"/>
      <c r="B129" s="462"/>
      <c r="C129" s="2318">
        <v>3.3</v>
      </c>
      <c r="D129" s="2319" t="s">
        <v>694</v>
      </c>
      <c r="E129" s="1985"/>
      <c r="F129" s="654"/>
      <c r="G129" s="654"/>
      <c r="H129" s="2900"/>
      <c r="I129" s="2901"/>
      <c r="J129" s="2901"/>
      <c r="K129" s="2901"/>
      <c r="L129" s="596">
        <f t="shared" ref="L129:L131" si="53">IF(Y129=0,0,ROUNDDOWN(AF129,1))</f>
        <v>0</v>
      </c>
      <c r="M129" s="596">
        <f t="shared" ref="M129:M131" si="54">IF(Z129=0,0,ROUNDDOWN(AG129,1))</f>
        <v>0</v>
      </c>
      <c r="N129" s="585">
        <f>スコア入力!AC129</f>
        <v>0</v>
      </c>
      <c r="O129" s="585">
        <f>スコア入力!AE129</f>
        <v>0</v>
      </c>
      <c r="P129" s="596">
        <f t="shared" ref="P129:P132" si="55">IF(AC129=0,0,ROUNDDOWN(AJ129,1))</f>
        <v>0</v>
      </c>
      <c r="Q129" s="596">
        <f t="shared" ref="Q129:Q132" si="56">IF(AD129=0,0,ROUNDDOWN(AK129,1))</f>
        <v>0</v>
      </c>
      <c r="R129" s="585">
        <f>スコア入力!AJ129</f>
        <v>0</v>
      </c>
      <c r="S129" s="585">
        <f>スコア入力!AL129</f>
        <v>0</v>
      </c>
      <c r="T129" s="586"/>
      <c r="U129" s="586"/>
      <c r="W129" s="575">
        <f t="shared" si="41"/>
        <v>0</v>
      </c>
      <c r="X129" s="575">
        <f t="shared" si="42"/>
        <v>0</v>
      </c>
      <c r="Y129" s="243">
        <f>スコア入力!AA129</f>
        <v>0</v>
      </c>
      <c r="Z129" s="243">
        <f>スコア入力!AB129</f>
        <v>0</v>
      </c>
      <c r="AA129" s="575">
        <f t="shared" si="35"/>
        <v>0</v>
      </c>
      <c r="AB129" s="575">
        <f t="shared" si="36"/>
        <v>0</v>
      </c>
      <c r="AC129" s="243">
        <f>スコア入力!AH129</f>
        <v>0</v>
      </c>
      <c r="AD129" s="243">
        <f>スコア入力!AI129</f>
        <v>0</v>
      </c>
      <c r="AE129" s="6"/>
      <c r="AF129" s="656">
        <f>スコア入力!N129</f>
        <v>0</v>
      </c>
      <c r="AG129" s="656">
        <f>スコア入力!P129</f>
        <v>0</v>
      </c>
      <c r="AH129" s="591">
        <f>スコア入力!AC129</f>
        <v>0</v>
      </c>
      <c r="AI129" s="591">
        <f>スコア入力!AE129</f>
        <v>0</v>
      </c>
      <c r="AJ129" s="656">
        <f>スコア入力!U129</f>
        <v>0</v>
      </c>
      <c r="AK129" s="656">
        <f>スコア入力!W129</f>
        <v>0</v>
      </c>
      <c r="AL129" s="591">
        <f>スコア入力!AJ129</f>
        <v>0</v>
      </c>
      <c r="AM129" s="591">
        <f>スコア入力!AL129</f>
        <v>0</v>
      </c>
      <c r="AN129" s="586"/>
      <c r="AO129" s="586"/>
    </row>
    <row r="130" spans="1:41" ht="13.5" hidden="1">
      <c r="A130" s="406"/>
      <c r="B130" s="462"/>
      <c r="C130" s="2318">
        <v>3.4</v>
      </c>
      <c r="D130" s="2319" t="s">
        <v>324</v>
      </c>
      <c r="E130" s="1985"/>
      <c r="F130" s="654"/>
      <c r="G130" s="654"/>
      <c r="H130" s="2900"/>
      <c r="I130" s="2901"/>
      <c r="J130" s="2901"/>
      <c r="K130" s="2901"/>
      <c r="L130" s="596">
        <f t="shared" si="53"/>
        <v>0</v>
      </c>
      <c r="M130" s="596">
        <f t="shared" si="54"/>
        <v>0</v>
      </c>
      <c r="N130" s="585">
        <f>スコア入力!AC130</f>
        <v>0</v>
      </c>
      <c r="O130" s="585">
        <f>スコア入力!AE130</f>
        <v>0</v>
      </c>
      <c r="P130" s="596">
        <f t="shared" si="55"/>
        <v>0</v>
      </c>
      <c r="Q130" s="596">
        <f t="shared" si="56"/>
        <v>0</v>
      </c>
      <c r="R130" s="585">
        <f>スコア入力!AJ130</f>
        <v>0</v>
      </c>
      <c r="S130" s="585">
        <f>スコア入力!AL130</f>
        <v>0</v>
      </c>
      <c r="T130" s="586"/>
      <c r="U130" s="586"/>
      <c r="W130" s="575">
        <f t="shared" si="41"/>
        <v>0</v>
      </c>
      <c r="X130" s="575">
        <f t="shared" si="42"/>
        <v>0</v>
      </c>
      <c r="Y130" s="243">
        <f>スコア入力!AA130</f>
        <v>0</v>
      </c>
      <c r="Z130" s="243">
        <f>スコア入力!AB130</f>
        <v>0</v>
      </c>
      <c r="AA130" s="575">
        <f t="shared" si="35"/>
        <v>0</v>
      </c>
      <c r="AB130" s="575">
        <f t="shared" si="36"/>
        <v>0</v>
      </c>
      <c r="AC130" s="243">
        <f>スコア入力!AH130</f>
        <v>0</v>
      </c>
      <c r="AD130" s="243">
        <f>スコア入力!AI130</f>
        <v>0</v>
      </c>
      <c r="AE130" s="6"/>
      <c r="AF130" s="656">
        <f>スコア入力!N130</f>
        <v>0</v>
      </c>
      <c r="AG130" s="656">
        <f>スコア入力!P130</f>
        <v>0</v>
      </c>
      <c r="AH130" s="591">
        <f>スコア入力!AC130</f>
        <v>0</v>
      </c>
      <c r="AI130" s="591">
        <f>スコア入力!AE130</f>
        <v>0</v>
      </c>
      <c r="AJ130" s="656">
        <f>スコア入力!U130</f>
        <v>0</v>
      </c>
      <c r="AK130" s="656">
        <f>スコア入力!W130</f>
        <v>0</v>
      </c>
      <c r="AL130" s="591">
        <f>スコア入力!AJ130</f>
        <v>0</v>
      </c>
      <c r="AM130" s="591">
        <f>スコア入力!AL130</f>
        <v>0</v>
      </c>
      <c r="AN130" s="586"/>
      <c r="AO130" s="586"/>
    </row>
    <row r="131" spans="1:41" ht="13.5" hidden="1">
      <c r="A131" s="406"/>
      <c r="B131" s="462"/>
      <c r="C131" s="2318">
        <v>3.5</v>
      </c>
      <c r="D131" s="2319" t="s">
        <v>695</v>
      </c>
      <c r="E131" s="1985"/>
      <c r="F131" s="654"/>
      <c r="G131" s="654"/>
      <c r="H131" s="2900"/>
      <c r="I131" s="2901"/>
      <c r="J131" s="2901"/>
      <c r="K131" s="2901"/>
      <c r="L131" s="596">
        <f t="shared" si="53"/>
        <v>0</v>
      </c>
      <c r="M131" s="596">
        <f t="shared" si="54"/>
        <v>0</v>
      </c>
      <c r="N131" s="585">
        <f>スコア入力!AC131</f>
        <v>0</v>
      </c>
      <c r="O131" s="585">
        <f>スコア入力!AE131</f>
        <v>0</v>
      </c>
      <c r="P131" s="596">
        <f t="shared" si="55"/>
        <v>0</v>
      </c>
      <c r="Q131" s="596">
        <f t="shared" si="56"/>
        <v>0</v>
      </c>
      <c r="R131" s="585">
        <f>スコア入力!AJ131</f>
        <v>0</v>
      </c>
      <c r="S131" s="585">
        <f>スコア入力!AL131</f>
        <v>0</v>
      </c>
      <c r="T131" s="586"/>
      <c r="U131" s="586"/>
      <c r="W131" s="575">
        <f t="shared" si="41"/>
        <v>0</v>
      </c>
      <c r="X131" s="575">
        <f t="shared" si="42"/>
        <v>0</v>
      </c>
      <c r="Y131" s="243">
        <f>スコア入力!AA131</f>
        <v>0</v>
      </c>
      <c r="Z131" s="243">
        <f>スコア入力!AB131</f>
        <v>0</v>
      </c>
      <c r="AA131" s="575">
        <f t="shared" si="35"/>
        <v>0</v>
      </c>
      <c r="AB131" s="575">
        <f t="shared" si="36"/>
        <v>0</v>
      </c>
      <c r="AC131" s="243">
        <f>スコア入力!AH131</f>
        <v>0</v>
      </c>
      <c r="AD131" s="243">
        <f>スコア入力!AI131</f>
        <v>0</v>
      </c>
      <c r="AE131" s="6"/>
      <c r="AF131" s="656">
        <f>スコア入力!N131</f>
        <v>0</v>
      </c>
      <c r="AG131" s="656">
        <f>スコア入力!P131</f>
        <v>0</v>
      </c>
      <c r="AH131" s="585">
        <f>スコア入力!AC131</f>
        <v>0</v>
      </c>
      <c r="AI131" s="585">
        <f>スコア入力!AE131</f>
        <v>0</v>
      </c>
      <c r="AJ131" s="656">
        <f>スコア入力!U131</f>
        <v>0</v>
      </c>
      <c r="AK131" s="656">
        <f>スコア入力!W131</f>
        <v>0</v>
      </c>
      <c r="AL131" s="585">
        <f>スコア入力!AJ131</f>
        <v>0</v>
      </c>
      <c r="AM131" s="585">
        <f>スコア入力!AL131</f>
        <v>0</v>
      </c>
      <c r="AN131" s="586"/>
      <c r="AO131" s="586"/>
    </row>
    <row r="132" spans="1:41" ht="14.25" thickBot="1">
      <c r="A132" s="406"/>
      <c r="B132" s="466"/>
      <c r="C132" s="418">
        <v>3.2</v>
      </c>
      <c r="D132" s="399" t="s">
        <v>1681</v>
      </c>
      <c r="E132" s="324"/>
      <c r="F132" s="654"/>
      <c r="G132" s="654"/>
      <c r="H132" s="2900"/>
      <c r="I132" s="2901"/>
      <c r="J132" s="2901"/>
      <c r="K132" s="2901"/>
      <c r="L132" s="593">
        <f>IF(Y132=0,0,ROUNDDOWN(AF132,1))</f>
        <v>1</v>
      </c>
      <c r="M132" s="593">
        <f>IF(Z132=0,0,ROUNDDOWN(AG132,1))</f>
        <v>0</v>
      </c>
      <c r="N132" s="585">
        <f>スコア入力!AC132</f>
        <v>1</v>
      </c>
      <c r="O132" s="585">
        <f>スコア入力!AE132</f>
        <v>0</v>
      </c>
      <c r="P132" s="593">
        <f t="shared" si="55"/>
        <v>0</v>
      </c>
      <c r="Q132" s="593">
        <f t="shared" si="56"/>
        <v>0</v>
      </c>
      <c r="R132" s="585">
        <f>スコア入力!AJ132</f>
        <v>0</v>
      </c>
      <c r="S132" s="585">
        <f>スコア入力!AL132</f>
        <v>0</v>
      </c>
      <c r="T132" s="586"/>
      <c r="U132" s="586"/>
      <c r="W132" s="575">
        <f t="shared" si="41"/>
        <v>1</v>
      </c>
      <c r="X132" s="575">
        <f t="shared" si="42"/>
        <v>1</v>
      </c>
      <c r="Y132" s="243">
        <f>スコア入力!AA132</f>
        <v>0.97911227154047009</v>
      </c>
      <c r="Z132" s="243">
        <f>スコア入力!AB132</f>
        <v>0</v>
      </c>
      <c r="AA132" s="575">
        <f t="shared" si="35"/>
        <v>0</v>
      </c>
      <c r="AB132" s="575">
        <f t="shared" si="36"/>
        <v>0</v>
      </c>
      <c r="AC132" s="243">
        <f>スコア入力!AH132</f>
        <v>0</v>
      </c>
      <c r="AD132" s="243">
        <f>スコア入力!AI132</f>
        <v>0</v>
      </c>
      <c r="AE132" s="6"/>
      <c r="AF132" s="607">
        <f>IF(スコア入力!L132="",省エネ_前!I56,省エネ_対象外!I56)</f>
        <v>1</v>
      </c>
      <c r="AG132" s="607">
        <f>IF(スコア入力!L132="",省エネ_後!I56,省エネ_対象外!I56)</f>
        <v>1</v>
      </c>
      <c r="AH132" s="585">
        <f>スコア入力!AC132</f>
        <v>1</v>
      </c>
      <c r="AI132" s="585">
        <f>スコア入力!AE132</f>
        <v>0</v>
      </c>
      <c r="AJ132" s="607">
        <f>スコア入力!U132</f>
        <v>0</v>
      </c>
      <c r="AK132" s="607">
        <f>スコア入力!W132</f>
        <v>0</v>
      </c>
      <c r="AL132" s="585">
        <f>スコア入力!AJ132</f>
        <v>0</v>
      </c>
      <c r="AM132" s="585">
        <f>スコア入力!AL132</f>
        <v>0</v>
      </c>
      <c r="AN132" s="586"/>
      <c r="AO132" s="586"/>
    </row>
    <row r="133" spans="1:41" ht="13.5">
      <c r="A133" s="406"/>
      <c r="B133" s="448">
        <v>4</v>
      </c>
      <c r="C133" s="326" t="s">
        <v>696</v>
      </c>
      <c r="D133" s="285"/>
      <c r="E133" s="285"/>
      <c r="F133" s="654"/>
      <c r="G133" s="654"/>
      <c r="H133" s="2919"/>
      <c r="I133" s="2920"/>
      <c r="J133" s="2920"/>
      <c r="K133" s="2921"/>
      <c r="L133" s="676">
        <f t="shared" si="47"/>
        <v>3</v>
      </c>
      <c r="M133" s="676">
        <f t="shared" si="50"/>
        <v>3</v>
      </c>
      <c r="N133" s="599">
        <f>スコア入力!AC133</f>
        <v>0.19999999999999998</v>
      </c>
      <c r="O133" s="599">
        <f>スコア入力!AE133</f>
        <v>0.20953708737970453</v>
      </c>
      <c r="P133" s="600">
        <f t="shared" si="48"/>
        <v>0</v>
      </c>
      <c r="Q133" s="676">
        <f t="shared" si="49"/>
        <v>0</v>
      </c>
      <c r="R133" s="599">
        <f>スコア入力!AJ133</f>
        <v>0</v>
      </c>
      <c r="S133" s="599">
        <f>スコア入力!AL133</f>
        <v>0</v>
      </c>
      <c r="T133" s="601">
        <f>ROUNDDOWN(AN133,1)</f>
        <v>3</v>
      </c>
      <c r="U133" s="601">
        <f>ROUNDDOWN(AO133,1)</f>
        <v>3</v>
      </c>
      <c r="W133" s="575">
        <f t="shared" si="41"/>
        <v>2.9999999999999996</v>
      </c>
      <c r="X133" s="575">
        <f t="shared" si="42"/>
        <v>3</v>
      </c>
      <c r="Y133" s="243">
        <f>スコア入力!AA133</f>
        <v>0.20000000000000004</v>
      </c>
      <c r="Z133" s="243">
        <f>スコア入力!AB133</f>
        <v>0.20953708737970453</v>
      </c>
      <c r="AA133" s="575">
        <f t="shared" si="35"/>
        <v>0</v>
      </c>
      <c r="AB133" s="575">
        <f t="shared" si="36"/>
        <v>0</v>
      </c>
      <c r="AC133" s="243">
        <f>スコア入力!AH133</f>
        <v>0</v>
      </c>
      <c r="AD133" s="243">
        <f>スコア入力!AI133</f>
        <v>0</v>
      </c>
      <c r="AE133" s="6"/>
      <c r="AF133" s="587">
        <f>AF134*AH134+AF137*AH137</f>
        <v>2.9999999999999996</v>
      </c>
      <c r="AG133" s="587">
        <f>AG134*AI134+AG137*AI137</f>
        <v>3</v>
      </c>
      <c r="AH133" s="599">
        <f>スコア入力!AC133</f>
        <v>0.19999999999999998</v>
      </c>
      <c r="AI133" s="599">
        <f>スコア入力!AE133</f>
        <v>0.20953708737970453</v>
      </c>
      <c r="AJ133" s="587">
        <f>AJ134*AL134+AJ137*AL137</f>
        <v>0</v>
      </c>
      <c r="AK133" s="587">
        <f>AK134*AM134+AK137*AM137</f>
        <v>0</v>
      </c>
      <c r="AL133" s="599">
        <f>スコア入力!AJ133</f>
        <v>0</v>
      </c>
      <c r="AM133" s="599">
        <f>スコア入力!AL133</f>
        <v>0</v>
      </c>
      <c r="AN133" s="601">
        <f>IF(AJ133=0,AF133,AF133*AH$6+AJ133*AL$6)</f>
        <v>2.9999999999999996</v>
      </c>
      <c r="AO133" s="601">
        <f>IF(AK133=0,AG133,AG133*AI$6+AK133*AM$6)</f>
        <v>3</v>
      </c>
    </row>
    <row r="134" spans="1:41" ht="14.25" thickBot="1">
      <c r="A134" s="406"/>
      <c r="B134" s="338"/>
      <c r="C134" s="315"/>
      <c r="D134" s="333" t="s">
        <v>1682</v>
      </c>
      <c r="E134" s="297"/>
      <c r="F134" s="654"/>
      <c r="G134" s="654"/>
      <c r="H134" s="2900"/>
      <c r="I134" s="2901"/>
      <c r="J134" s="2901"/>
      <c r="K134" s="2901"/>
      <c r="L134" s="625">
        <f t="shared" si="47"/>
        <v>3</v>
      </c>
      <c r="M134" s="604">
        <f t="shared" si="50"/>
        <v>3</v>
      </c>
      <c r="N134" s="585">
        <f>スコア入力!AC134</f>
        <v>0.97911227154046987</v>
      </c>
      <c r="O134" s="585">
        <f>スコア入力!AE134</f>
        <v>0.97911227154046998</v>
      </c>
      <c r="P134" s="604">
        <f t="shared" si="48"/>
        <v>0</v>
      </c>
      <c r="Q134" s="604">
        <f t="shared" si="49"/>
        <v>0</v>
      </c>
      <c r="R134" s="585">
        <f>スコア入力!AJ134</f>
        <v>0</v>
      </c>
      <c r="S134" s="585">
        <f>スコア入力!AL134</f>
        <v>0</v>
      </c>
      <c r="T134" s="586"/>
      <c r="U134" s="586"/>
      <c r="W134" s="244">
        <f t="shared" si="41"/>
        <v>3</v>
      </c>
      <c r="X134" s="244">
        <f t="shared" si="42"/>
        <v>3</v>
      </c>
      <c r="Y134" s="243">
        <f>スコア入力!AA134</f>
        <v>0.97911227154047009</v>
      </c>
      <c r="Z134" s="243">
        <f>スコア入力!AB134</f>
        <v>0.97911227154046998</v>
      </c>
      <c r="AA134" s="244">
        <f t="shared" si="35"/>
        <v>0</v>
      </c>
      <c r="AB134" s="244">
        <f t="shared" si="36"/>
        <v>0</v>
      </c>
      <c r="AC134" s="243">
        <f>スコア入力!AH134</f>
        <v>0</v>
      </c>
      <c r="AD134" s="243">
        <f>スコア入力!AI134</f>
        <v>0</v>
      </c>
      <c r="AE134" s="6"/>
      <c r="AF134" s="604">
        <f>SUMPRODUCT(AF135:AF136,AH135:AH136)</f>
        <v>3</v>
      </c>
      <c r="AG134" s="604">
        <f>SUMPRODUCT(AG135:AG136,AI135:AI136)</f>
        <v>3</v>
      </c>
      <c r="AH134" s="585">
        <f>スコア入力!AC134</f>
        <v>0.97911227154046987</v>
      </c>
      <c r="AI134" s="585">
        <f>スコア入力!AE134</f>
        <v>0.97911227154046998</v>
      </c>
      <c r="AJ134" s="604">
        <f>SUMPRODUCT(AJ135:AJ136,AL135:AL136)</f>
        <v>0</v>
      </c>
      <c r="AK134" s="604">
        <f>SUMPRODUCT(AK135:AK136,AM135:AM136)</f>
        <v>0</v>
      </c>
      <c r="AL134" s="585">
        <f>スコア入力!AJ134</f>
        <v>0</v>
      </c>
      <c r="AM134" s="585">
        <f>スコア入力!AL134</f>
        <v>0</v>
      </c>
      <c r="AN134" s="586"/>
      <c r="AO134" s="586"/>
    </row>
    <row r="135" spans="1:41" ht="13.5">
      <c r="A135" s="406"/>
      <c r="B135" s="338"/>
      <c r="C135" s="2320"/>
      <c r="D135" s="304">
        <v>4.0999999999999996</v>
      </c>
      <c r="E135" s="324" t="s">
        <v>1683</v>
      </c>
      <c r="F135" s="654"/>
      <c r="G135" s="654"/>
      <c r="H135" s="2900"/>
      <c r="I135" s="2901"/>
      <c r="J135" s="2901"/>
      <c r="K135" s="2902"/>
      <c r="L135" s="590">
        <f t="shared" si="47"/>
        <v>3</v>
      </c>
      <c r="M135" s="590">
        <f t="shared" si="50"/>
        <v>3</v>
      </c>
      <c r="N135" s="585">
        <f>スコア入力!AC135</f>
        <v>0.5</v>
      </c>
      <c r="O135" s="585">
        <f>スコア入力!AE135</f>
        <v>0.5</v>
      </c>
      <c r="P135" s="590">
        <f t="shared" si="48"/>
        <v>0</v>
      </c>
      <c r="Q135" s="590">
        <f t="shared" si="49"/>
        <v>0</v>
      </c>
      <c r="R135" s="585">
        <f>スコア入力!AJ135</f>
        <v>0</v>
      </c>
      <c r="S135" s="585">
        <f>スコア入力!AL135</f>
        <v>0</v>
      </c>
      <c r="T135" s="586"/>
      <c r="U135" s="586"/>
      <c r="W135" s="575">
        <f t="shared" ref="W135:W136" si="57">AF135</f>
        <v>3</v>
      </c>
      <c r="X135" s="575">
        <f t="shared" ref="X135:X136" si="58">AG135</f>
        <v>3</v>
      </c>
      <c r="Y135" s="243">
        <f>スコア入力!AA135</f>
        <v>0.48955613577023505</v>
      </c>
      <c r="Z135" s="243">
        <f>スコア入力!AB135</f>
        <v>0.5</v>
      </c>
      <c r="AA135" s="575">
        <f t="shared" ref="AA135:AA136" si="59">AJ135</f>
        <v>0</v>
      </c>
      <c r="AB135" s="575">
        <f t="shared" ref="AB135:AB136" si="60">AK135</f>
        <v>0</v>
      </c>
      <c r="AC135" s="243">
        <f>スコア入力!AH135</f>
        <v>0</v>
      </c>
      <c r="AD135" s="243">
        <f>スコア入力!AI135</f>
        <v>0</v>
      </c>
      <c r="AE135" s="6"/>
      <c r="AF135" s="637">
        <f>スコア入力!N135</f>
        <v>3</v>
      </c>
      <c r="AG135" s="637">
        <f>スコア入力!P135</f>
        <v>3</v>
      </c>
      <c r="AH135" s="591">
        <f>スコア入力!AC135</f>
        <v>0.5</v>
      </c>
      <c r="AI135" s="591">
        <f>スコア入力!AE135</f>
        <v>0.5</v>
      </c>
      <c r="AJ135" s="637">
        <f>スコア入力!U135</f>
        <v>0</v>
      </c>
      <c r="AK135" s="637">
        <f>スコア入力!W135</f>
        <v>0</v>
      </c>
      <c r="AL135" s="591">
        <f>スコア入力!AJ135</f>
        <v>0</v>
      </c>
      <c r="AM135" s="591">
        <f>スコア入力!AL135</f>
        <v>0</v>
      </c>
      <c r="AN135" s="586"/>
      <c r="AO135" s="586"/>
    </row>
    <row r="136" spans="1:41" ht="14.25" thickBot="1">
      <c r="A136" s="406"/>
      <c r="B136" s="338"/>
      <c r="C136" s="2321"/>
      <c r="D136" s="304">
        <v>4.2</v>
      </c>
      <c r="E136" s="324" t="s">
        <v>697</v>
      </c>
      <c r="F136" s="654"/>
      <c r="G136" s="654"/>
      <c r="H136" s="2900"/>
      <c r="I136" s="2901"/>
      <c r="J136" s="2901"/>
      <c r="K136" s="2902"/>
      <c r="L136" s="593">
        <f t="shared" si="47"/>
        <v>3</v>
      </c>
      <c r="M136" s="593">
        <f>IF(Z136=0,0,ROUNDDOWN(AG136,1))</f>
        <v>3</v>
      </c>
      <c r="N136" s="585">
        <f>スコア入力!AC136</f>
        <v>0.5</v>
      </c>
      <c r="O136" s="585">
        <f>スコア入力!AE136</f>
        <v>0.5</v>
      </c>
      <c r="P136" s="593">
        <f t="shared" si="48"/>
        <v>0</v>
      </c>
      <c r="Q136" s="593">
        <f t="shared" si="49"/>
        <v>0</v>
      </c>
      <c r="R136" s="585">
        <f>スコア入力!AJ136</f>
        <v>0</v>
      </c>
      <c r="S136" s="585">
        <f>スコア入力!AL136</f>
        <v>0</v>
      </c>
      <c r="T136" s="586"/>
      <c r="U136" s="586"/>
      <c r="W136" s="575">
        <f t="shared" si="57"/>
        <v>3</v>
      </c>
      <c r="X136" s="575">
        <f t="shared" si="58"/>
        <v>3</v>
      </c>
      <c r="Y136" s="243">
        <f>スコア入力!AA136</f>
        <v>0.48955613577023505</v>
      </c>
      <c r="Z136" s="243">
        <f>スコア入力!AB136</f>
        <v>0.5</v>
      </c>
      <c r="AA136" s="575">
        <f t="shared" si="59"/>
        <v>0</v>
      </c>
      <c r="AB136" s="575">
        <f t="shared" si="60"/>
        <v>0</v>
      </c>
      <c r="AC136" s="243">
        <f>スコア入力!AH136</f>
        <v>0</v>
      </c>
      <c r="AD136" s="243">
        <f>スコア入力!AI136</f>
        <v>0</v>
      </c>
      <c r="AE136" s="6"/>
      <c r="AF136" s="607">
        <f>スコア入力!N136</f>
        <v>3</v>
      </c>
      <c r="AG136" s="607">
        <f>スコア入力!P136</f>
        <v>3</v>
      </c>
      <c r="AH136" s="585">
        <f>スコア入力!AC136</f>
        <v>0.5</v>
      </c>
      <c r="AI136" s="585">
        <f>スコア入力!AE136</f>
        <v>0.5</v>
      </c>
      <c r="AJ136" s="607">
        <f>スコア入力!U136</f>
        <v>0</v>
      </c>
      <c r="AK136" s="607">
        <f>スコア入力!W136</f>
        <v>0</v>
      </c>
      <c r="AL136" s="585">
        <f>スコア入力!AJ136</f>
        <v>0</v>
      </c>
      <c r="AM136" s="585">
        <f>スコア入力!AL136</f>
        <v>0</v>
      </c>
      <c r="AN136" s="586"/>
      <c r="AO136" s="586"/>
    </row>
    <row r="137" spans="1:41" ht="14.25" thickBot="1">
      <c r="A137" s="406"/>
      <c r="B137" s="338"/>
      <c r="C137" s="315"/>
      <c r="D137" s="333" t="s">
        <v>1684</v>
      </c>
      <c r="E137" s="297"/>
      <c r="F137" s="654"/>
      <c r="G137" s="654"/>
      <c r="H137" s="2900"/>
      <c r="I137" s="2901"/>
      <c r="J137" s="2901"/>
      <c r="K137" s="2901"/>
      <c r="L137" s="595">
        <f t="shared" si="47"/>
        <v>3</v>
      </c>
      <c r="M137" s="604">
        <f t="shared" si="50"/>
        <v>3</v>
      </c>
      <c r="N137" s="585">
        <f>スコア入力!AC137</f>
        <v>2.0887728459530023E-2</v>
      </c>
      <c r="O137" s="585">
        <f>スコア入力!AE137</f>
        <v>2.0887728459530026E-2</v>
      </c>
      <c r="P137" s="604">
        <f t="shared" si="48"/>
        <v>0</v>
      </c>
      <c r="Q137" s="604">
        <f t="shared" si="49"/>
        <v>0</v>
      </c>
      <c r="R137" s="585">
        <f>スコア入力!AJ137</f>
        <v>0</v>
      </c>
      <c r="S137" s="585">
        <f>スコア入力!AL137</f>
        <v>0</v>
      </c>
      <c r="T137" s="586"/>
      <c r="U137" s="586"/>
      <c r="W137" s="244">
        <f t="shared" si="41"/>
        <v>3</v>
      </c>
      <c r="X137" s="244">
        <f t="shared" si="42"/>
        <v>3</v>
      </c>
      <c r="Y137" s="243">
        <f>スコア入力!AA137</f>
        <v>2.0887728459530026E-2</v>
      </c>
      <c r="Z137" s="243">
        <f>スコア入力!AB137</f>
        <v>2.0887728459530026E-2</v>
      </c>
      <c r="AA137" s="244">
        <f t="shared" si="35"/>
        <v>0</v>
      </c>
      <c r="AB137" s="244">
        <f t="shared" si="36"/>
        <v>0</v>
      </c>
      <c r="AC137" s="243">
        <f>スコア入力!AH137</f>
        <v>0</v>
      </c>
      <c r="AD137" s="243">
        <f>スコア入力!AI137</f>
        <v>0</v>
      </c>
      <c r="AE137" s="6"/>
      <c r="AF137" s="604">
        <f>SUMPRODUCT(AF138:AF139,AH138:AH139)</f>
        <v>3</v>
      </c>
      <c r="AG137" s="604">
        <f>SUMPRODUCT(AG138:AG139,AI138:AI139)</f>
        <v>3</v>
      </c>
      <c r="AH137" s="585">
        <f>スコア入力!AC137</f>
        <v>2.0887728459530023E-2</v>
      </c>
      <c r="AI137" s="585">
        <f>スコア入力!AE137</f>
        <v>2.0887728459530026E-2</v>
      </c>
      <c r="AJ137" s="604">
        <f>SUMPRODUCT(AJ138:AJ139,AL138:AL139)</f>
        <v>0</v>
      </c>
      <c r="AK137" s="604">
        <f>SUMPRODUCT(AK138:AK139,AM138:AM139)</f>
        <v>0</v>
      </c>
      <c r="AL137" s="585">
        <f>スコア入力!AJ137</f>
        <v>0</v>
      </c>
      <c r="AM137" s="585">
        <f>スコア入力!AL137</f>
        <v>0</v>
      </c>
      <c r="AN137" s="586"/>
      <c r="AO137" s="586"/>
    </row>
    <row r="138" spans="1:41" ht="13.5">
      <c r="A138" s="406"/>
      <c r="B138" s="338"/>
      <c r="C138" s="2320"/>
      <c r="D138" s="304">
        <v>4.0999999999999996</v>
      </c>
      <c r="E138" s="324" t="s">
        <v>1683</v>
      </c>
      <c r="F138" s="654"/>
      <c r="G138" s="654"/>
      <c r="H138" s="2900"/>
      <c r="I138" s="2901"/>
      <c r="J138" s="2901"/>
      <c r="K138" s="2902"/>
      <c r="L138" s="590">
        <f t="shared" si="47"/>
        <v>3</v>
      </c>
      <c r="M138" s="590">
        <f>IF(Z138=0,0,ROUNDDOWN(AG138,1))</f>
        <v>3</v>
      </c>
      <c r="N138" s="585">
        <f>スコア入力!AC138</f>
        <v>0.5</v>
      </c>
      <c r="O138" s="585">
        <f>スコア入力!AE138</f>
        <v>0.5</v>
      </c>
      <c r="P138" s="590">
        <f t="shared" si="48"/>
        <v>0</v>
      </c>
      <c r="Q138" s="590">
        <f t="shared" si="49"/>
        <v>0</v>
      </c>
      <c r="R138" s="585">
        <f>スコア入力!AJ138</f>
        <v>0</v>
      </c>
      <c r="S138" s="585">
        <f>スコア入力!AL138</f>
        <v>0</v>
      </c>
      <c r="T138" s="586"/>
      <c r="U138" s="586"/>
      <c r="W138" s="575">
        <f t="shared" ref="W138:W139" si="61">AF138</f>
        <v>3</v>
      </c>
      <c r="X138" s="575">
        <f t="shared" ref="X138:X139" si="62">AG138</f>
        <v>3</v>
      </c>
      <c r="Y138" s="243">
        <f>スコア入力!AA138</f>
        <v>1.0443864229765013E-2</v>
      </c>
      <c r="Z138" s="243">
        <f>スコア入力!AB138</f>
        <v>0.5</v>
      </c>
      <c r="AA138" s="575">
        <f t="shared" ref="AA138:AA139" si="63">AJ138</f>
        <v>0</v>
      </c>
      <c r="AB138" s="575">
        <f t="shared" ref="AB138:AB139" si="64">AK138</f>
        <v>0</v>
      </c>
      <c r="AC138" s="243">
        <f>スコア入力!AH138</f>
        <v>0</v>
      </c>
      <c r="AD138" s="243">
        <f>スコア入力!AI138</f>
        <v>0</v>
      </c>
      <c r="AE138" s="6"/>
      <c r="AF138" s="637">
        <f>スコア入力!N138</f>
        <v>3</v>
      </c>
      <c r="AG138" s="637">
        <f>スコア入力!P138</f>
        <v>3</v>
      </c>
      <c r="AH138" s="591">
        <f>スコア入力!AC138</f>
        <v>0.5</v>
      </c>
      <c r="AI138" s="591">
        <f>スコア入力!AE138</f>
        <v>0.5</v>
      </c>
      <c r="AJ138" s="637">
        <f>スコア入力!U138</f>
        <v>0</v>
      </c>
      <c r="AK138" s="637">
        <f>スコア入力!W138</f>
        <v>0</v>
      </c>
      <c r="AL138" s="591">
        <f>スコア入力!AJ138</f>
        <v>0</v>
      </c>
      <c r="AM138" s="591">
        <f>スコア入力!AL138</f>
        <v>0</v>
      </c>
      <c r="AN138" s="586"/>
      <c r="AO138" s="586"/>
    </row>
    <row r="139" spans="1:41" ht="14.25" thickBot="1">
      <c r="A139" s="406"/>
      <c r="B139" s="380"/>
      <c r="C139" s="2321"/>
      <c r="D139" s="304">
        <v>4.2</v>
      </c>
      <c r="E139" s="324" t="s">
        <v>697</v>
      </c>
      <c r="F139" s="654"/>
      <c r="G139" s="654"/>
      <c r="H139" s="2900"/>
      <c r="I139" s="2901"/>
      <c r="J139" s="2901"/>
      <c r="K139" s="2902"/>
      <c r="L139" s="593">
        <f t="shared" si="47"/>
        <v>3</v>
      </c>
      <c r="M139" s="593">
        <f>IF(Z139=0,0,ROUNDDOWN(AG139,1))</f>
        <v>3</v>
      </c>
      <c r="N139" s="2333">
        <f>スコア入力!AC139</f>
        <v>0.5</v>
      </c>
      <c r="O139" s="634">
        <f>スコア入力!AE139</f>
        <v>0.5</v>
      </c>
      <c r="P139" s="593">
        <f t="shared" si="48"/>
        <v>0</v>
      </c>
      <c r="Q139" s="593">
        <f t="shared" si="49"/>
        <v>0</v>
      </c>
      <c r="R139" s="634">
        <f>スコア入力!AJ139</f>
        <v>0</v>
      </c>
      <c r="S139" s="634">
        <f>スコア入力!AL139</f>
        <v>0</v>
      </c>
      <c r="T139" s="611"/>
      <c r="U139" s="586"/>
      <c r="W139" s="575">
        <f t="shared" si="61"/>
        <v>3</v>
      </c>
      <c r="X139" s="575">
        <f t="shared" si="62"/>
        <v>3</v>
      </c>
      <c r="Y139" s="243">
        <f>スコア入力!AA139</f>
        <v>1.0443864229765013E-2</v>
      </c>
      <c r="Z139" s="243">
        <f>スコア入力!AB139</f>
        <v>0.5</v>
      </c>
      <c r="AA139" s="575">
        <f t="shared" si="63"/>
        <v>0</v>
      </c>
      <c r="AB139" s="575">
        <f t="shared" si="64"/>
        <v>0</v>
      </c>
      <c r="AC139" s="243">
        <f>スコア入力!AH139</f>
        <v>0</v>
      </c>
      <c r="AD139" s="243">
        <f>スコア入力!AI139</f>
        <v>0</v>
      </c>
      <c r="AE139" s="6"/>
      <c r="AF139" s="607">
        <f>スコア入力!N139</f>
        <v>3</v>
      </c>
      <c r="AG139" s="607">
        <f>スコア入力!P139</f>
        <v>3</v>
      </c>
      <c r="AH139" s="585">
        <f>スコア入力!AC139</f>
        <v>0.5</v>
      </c>
      <c r="AI139" s="585">
        <f>スコア入力!AE139</f>
        <v>0.5</v>
      </c>
      <c r="AJ139" s="607">
        <f>スコア入力!U139</f>
        <v>0</v>
      </c>
      <c r="AK139" s="607">
        <f>スコア入力!W139</f>
        <v>0</v>
      </c>
      <c r="AL139" s="585">
        <f>スコア入力!AJ139</f>
        <v>0</v>
      </c>
      <c r="AM139" s="585">
        <f>スコア入力!AL139</f>
        <v>0</v>
      </c>
      <c r="AN139" s="586"/>
      <c r="AO139" s="586"/>
    </row>
    <row r="140" spans="1:41" ht="15.75" thickBot="1">
      <c r="A140" s="406"/>
      <c r="B140" s="360" t="s">
        <v>698</v>
      </c>
      <c r="C140" s="407"/>
      <c r="D140" s="407" t="s">
        <v>699</v>
      </c>
      <c r="E140" s="407"/>
      <c r="F140" s="635"/>
      <c r="G140" s="635"/>
      <c r="H140" s="2916"/>
      <c r="I140" s="2917"/>
      <c r="J140" s="2917"/>
      <c r="K140" s="2918"/>
      <c r="L140" s="613"/>
      <c r="M140" s="613"/>
      <c r="N140" s="2330" t="e">
        <f>スコア入力!AC140</f>
        <v>#VALUE!</v>
      </c>
      <c r="O140" s="2330" t="e">
        <f>スコア入力!AE140</f>
        <v>#VALUE!</v>
      </c>
      <c r="P140" s="2331"/>
      <c r="Q140" s="2331"/>
      <c r="R140" s="2330"/>
      <c r="S140" s="2330"/>
      <c r="T140" s="2332">
        <f>ROUNDDOWN(AN140,1)</f>
        <v>3</v>
      </c>
      <c r="U140" s="614">
        <f>ROUNDDOWN(AO140,1)</f>
        <v>3</v>
      </c>
      <c r="W140" s="575">
        <f>$AO140</f>
        <v>3.0000000000000004</v>
      </c>
      <c r="X140" s="575">
        <f>$AO140</f>
        <v>3.0000000000000004</v>
      </c>
      <c r="Y140" s="243">
        <f>スコア入力!AA140</f>
        <v>0.3</v>
      </c>
      <c r="Z140" s="243">
        <f>スコア入力!AB140</f>
        <v>0.3</v>
      </c>
      <c r="AA140" s="575">
        <f t="shared" si="35"/>
        <v>0</v>
      </c>
      <c r="AB140" s="575">
        <f t="shared" si="36"/>
        <v>0</v>
      </c>
      <c r="AC140" s="243">
        <f>スコア入力!AH140</f>
        <v>0</v>
      </c>
      <c r="AD140" s="243">
        <f>スコア入力!AI140</f>
        <v>0</v>
      </c>
      <c r="AE140" s="6"/>
      <c r="AF140" s="613"/>
      <c r="AG140" s="613"/>
      <c r="AH140" s="578" t="e">
        <f>スコア入力!AC140</f>
        <v>#VALUE!</v>
      </c>
      <c r="AI140" s="578" t="e">
        <f>スコア入力!AE140</f>
        <v>#VALUE!</v>
      </c>
      <c r="AJ140" s="613"/>
      <c r="AK140" s="613"/>
      <c r="AL140" s="578">
        <f>スコア入力!AJ140</f>
        <v>0</v>
      </c>
      <c r="AM140" s="578">
        <f>スコア入力!AL140</f>
        <v>0</v>
      </c>
      <c r="AN140" s="614">
        <f>AN141*AH141+AN146*AH146+AN153*AH153</f>
        <v>3</v>
      </c>
      <c r="AO140" s="614">
        <f>AO141*AI141+AO146*AI146+AO153*AI153</f>
        <v>3.0000000000000004</v>
      </c>
    </row>
    <row r="141" spans="1:41" ht="14.25" thickBot="1">
      <c r="A141" s="406"/>
      <c r="B141" s="468">
        <v>1</v>
      </c>
      <c r="C141" s="285" t="s">
        <v>700</v>
      </c>
      <c r="D141" s="285"/>
      <c r="E141" s="285"/>
      <c r="F141" s="584"/>
      <c r="G141" s="584"/>
      <c r="H141" s="2929"/>
      <c r="I141" s="2930"/>
      <c r="J141" s="2930"/>
      <c r="K141" s="2931"/>
      <c r="L141" s="604">
        <f t="shared" ref="L141:L158" si="65">IF(Y141=0,0,ROUNDDOWN(AF141,1))</f>
        <v>3</v>
      </c>
      <c r="M141" s="604">
        <f t="shared" ref="M141:M158" si="66">IF(Z141=0,0,ROUNDDOWN(AG141,1))</f>
        <v>3</v>
      </c>
      <c r="N141" s="585">
        <f>スコア入力!AC141</f>
        <v>0.20000000000000004</v>
      </c>
      <c r="O141" s="585">
        <f>スコア入力!AE141</f>
        <v>0.19999999999999998</v>
      </c>
      <c r="P141" s="604">
        <f t="shared" ref="P141:P158" si="67">IF(AC141=0,0,ROUNDDOWN(AJ141,1))</f>
        <v>0</v>
      </c>
      <c r="Q141" s="604">
        <f t="shared" ref="Q141:Q158" si="68">IF(AD141=0,0,ROUNDDOWN(AK141,1))</f>
        <v>0</v>
      </c>
      <c r="R141" s="585"/>
      <c r="S141" s="585"/>
      <c r="T141" s="586">
        <f>ROUNDDOWN(AN141,1)</f>
        <v>3</v>
      </c>
      <c r="U141" s="586">
        <f>ROUNDDOWN(AO141,1)</f>
        <v>3</v>
      </c>
      <c r="W141" s="575">
        <f t="shared" ref="W141:W158" si="69">AF141</f>
        <v>3</v>
      </c>
      <c r="X141" s="575">
        <f t="shared" ref="X141:X158" si="70">AG141</f>
        <v>3</v>
      </c>
      <c r="Y141" s="243">
        <f>スコア入力!AA141</f>
        <v>0.20000000000000004</v>
      </c>
      <c r="Z141" s="243">
        <f>スコア入力!AB141</f>
        <v>0.19999999999999998</v>
      </c>
      <c r="AA141" s="575">
        <f t="shared" si="35"/>
        <v>0</v>
      </c>
      <c r="AB141" s="575">
        <f t="shared" si="36"/>
        <v>0</v>
      </c>
      <c r="AC141" s="243">
        <f>スコア入力!AH141</f>
        <v>0</v>
      </c>
      <c r="AD141" s="243">
        <f>スコア入力!AI141</f>
        <v>0</v>
      </c>
      <c r="AE141" s="6"/>
      <c r="AF141" s="604">
        <f>AF142*AH142+AF143*AH143</f>
        <v>3</v>
      </c>
      <c r="AG141" s="604">
        <f>AG142*AI142+AG143*AI143</f>
        <v>3</v>
      </c>
      <c r="AH141" s="585">
        <f>スコア入力!AC141</f>
        <v>0.20000000000000004</v>
      </c>
      <c r="AI141" s="585">
        <f>スコア入力!AE141</f>
        <v>0.19999999999999998</v>
      </c>
      <c r="AJ141" s="604">
        <f>AJ142*AL142+AJ143*AL143</f>
        <v>0</v>
      </c>
      <c r="AK141" s="604">
        <f>AK142*AM142+AK143*AM143</f>
        <v>0</v>
      </c>
      <c r="AL141" s="585">
        <f>スコア入力!AJ141</f>
        <v>0</v>
      </c>
      <c r="AM141" s="585">
        <f>スコア入力!AL141</f>
        <v>0</v>
      </c>
      <c r="AN141" s="586">
        <f>ROUNDDOWN(IF(AJ141=0,AF141,IF(AF141=0,AJ141,AF141*AH$6+AJ141*AL$6)),1)</f>
        <v>3</v>
      </c>
      <c r="AO141" s="586">
        <f>ROUNDDOWN(IF(AK141=0,AG141,IF(AG141=0,AK141,AG141*AI$6+AK141*AM$6)),1)</f>
        <v>3</v>
      </c>
    </row>
    <row r="142" spans="1:41" ht="14.25" thickBot="1">
      <c r="A142" s="406"/>
      <c r="B142" s="338"/>
      <c r="C142" s="323">
        <v>1.1000000000000001</v>
      </c>
      <c r="D142" s="324" t="s">
        <v>701</v>
      </c>
      <c r="E142" s="324"/>
      <c r="F142" s="327"/>
      <c r="G142" s="327"/>
      <c r="H142" s="2900"/>
      <c r="I142" s="2901"/>
      <c r="J142" s="2901"/>
      <c r="K142" s="2902"/>
      <c r="L142" s="461">
        <f t="shared" si="65"/>
        <v>3</v>
      </c>
      <c r="M142" s="461">
        <f t="shared" si="66"/>
        <v>3</v>
      </c>
      <c r="N142" s="603">
        <f>スコア入力!AC142</f>
        <v>0.40000000000000008</v>
      </c>
      <c r="O142" s="603">
        <f>スコア入力!AE142</f>
        <v>0.40000000000000008</v>
      </c>
      <c r="P142" s="461">
        <f t="shared" si="67"/>
        <v>0</v>
      </c>
      <c r="Q142" s="461">
        <f t="shared" si="68"/>
        <v>0</v>
      </c>
      <c r="R142" s="603">
        <f>スコア入力!AJ142</f>
        <v>0</v>
      </c>
      <c r="S142" s="603">
        <f>スコア入力!AL142</f>
        <v>0</v>
      </c>
      <c r="T142" s="589"/>
      <c r="U142" s="589"/>
      <c r="W142" s="244">
        <f t="shared" si="69"/>
        <v>3</v>
      </c>
      <c r="X142" s="244">
        <f t="shared" si="70"/>
        <v>3</v>
      </c>
      <c r="Y142" s="243">
        <f>スコア入力!AA142</f>
        <v>0.40000000000000008</v>
      </c>
      <c r="Z142" s="243">
        <f>スコア入力!AB142</f>
        <v>0.40000000000000008</v>
      </c>
      <c r="AA142" s="244">
        <f t="shared" si="35"/>
        <v>0</v>
      </c>
      <c r="AB142" s="244">
        <f t="shared" si="36"/>
        <v>0</v>
      </c>
      <c r="AC142" s="243">
        <f>スコア入力!AH142</f>
        <v>0</v>
      </c>
      <c r="AD142" s="243">
        <f>スコア入力!AI142</f>
        <v>0</v>
      </c>
      <c r="AE142" s="6"/>
      <c r="AF142" s="658">
        <f>スコア入力!N142</f>
        <v>3</v>
      </c>
      <c r="AG142" s="658">
        <f>スコア入力!P142</f>
        <v>3</v>
      </c>
      <c r="AH142" s="603">
        <f>スコア入力!AC142</f>
        <v>0.40000000000000008</v>
      </c>
      <c r="AI142" s="603">
        <f>スコア入力!AE142</f>
        <v>0.40000000000000008</v>
      </c>
      <c r="AJ142" s="658">
        <f>スコア入力!U142</f>
        <v>0</v>
      </c>
      <c r="AK142" s="658">
        <f>スコア入力!W142</f>
        <v>0</v>
      </c>
      <c r="AL142" s="603">
        <f>スコア入力!AJ142</f>
        <v>0</v>
      </c>
      <c r="AM142" s="603">
        <f>スコア入力!AL142</f>
        <v>0</v>
      </c>
      <c r="AN142" s="589"/>
      <c r="AO142" s="589"/>
    </row>
    <row r="143" spans="1:41" ht="14.25" thickBot="1">
      <c r="A143" s="406"/>
      <c r="B143" s="338"/>
      <c r="C143" s="469">
        <v>1.2</v>
      </c>
      <c r="D143" s="333" t="s">
        <v>702</v>
      </c>
      <c r="E143" s="297"/>
      <c r="F143" s="377"/>
      <c r="G143" s="377"/>
      <c r="H143" s="2900"/>
      <c r="I143" s="2901"/>
      <c r="J143" s="2901"/>
      <c r="K143" s="2901"/>
      <c r="L143" s="595">
        <f>IF(Y143=0,0,ROUNDDOWN(AF143,1))</f>
        <v>3</v>
      </c>
      <c r="M143" s="604">
        <f t="shared" si="66"/>
        <v>3</v>
      </c>
      <c r="N143" s="585">
        <f>スコア入力!AC143</f>
        <v>0.6</v>
      </c>
      <c r="O143" s="585">
        <f>スコア入力!AE143</f>
        <v>0.6</v>
      </c>
      <c r="P143" s="604">
        <f t="shared" si="67"/>
        <v>0</v>
      </c>
      <c r="Q143" s="604">
        <f t="shared" si="68"/>
        <v>0</v>
      </c>
      <c r="R143" s="585">
        <f>スコア入力!AJ143</f>
        <v>0</v>
      </c>
      <c r="S143" s="585">
        <f>スコア入力!AL143</f>
        <v>0</v>
      </c>
      <c r="T143" s="586"/>
      <c r="U143" s="586"/>
      <c r="W143" s="575">
        <f t="shared" si="69"/>
        <v>3</v>
      </c>
      <c r="X143" s="575">
        <f t="shared" si="70"/>
        <v>3</v>
      </c>
      <c r="Y143" s="243">
        <f>スコア入力!AA143</f>
        <v>0.6</v>
      </c>
      <c r="Z143" s="243">
        <f>スコア入力!AB143</f>
        <v>0.6</v>
      </c>
      <c r="AA143" s="575">
        <f t="shared" si="35"/>
        <v>0</v>
      </c>
      <c r="AB143" s="575">
        <f t="shared" si="36"/>
        <v>0</v>
      </c>
      <c r="AC143" s="243">
        <f>スコア入力!AH143</f>
        <v>0</v>
      </c>
      <c r="AD143" s="243">
        <f>スコア入力!AI143</f>
        <v>0</v>
      </c>
      <c r="AE143" s="6"/>
      <c r="AF143" s="604">
        <f>SUMPRODUCT(AF144:AF145,AH144:AH145)</f>
        <v>3</v>
      </c>
      <c r="AG143" s="604">
        <f>SUMPRODUCT(AG144:AG145,AI144:AI145)</f>
        <v>3</v>
      </c>
      <c r="AH143" s="585">
        <f>スコア入力!AC143</f>
        <v>0.6</v>
      </c>
      <c r="AI143" s="585">
        <f>スコア入力!AE143</f>
        <v>0.6</v>
      </c>
      <c r="AJ143" s="604">
        <f>SUMPRODUCT(AJ144:AJ145,AL144:AL145)</f>
        <v>0</v>
      </c>
      <c r="AK143" s="604">
        <f>SUMPRODUCT(AK144:AK145,AM144:AM145)</f>
        <v>0</v>
      </c>
      <c r="AL143" s="585">
        <f>スコア入力!AJ143</f>
        <v>0</v>
      </c>
      <c r="AM143" s="585">
        <f>スコア入力!AL143</f>
        <v>0</v>
      </c>
      <c r="AN143" s="586"/>
      <c r="AO143" s="586"/>
    </row>
    <row r="144" spans="1:41" ht="13.5">
      <c r="A144" s="406"/>
      <c r="B144" s="338"/>
      <c r="C144" s="470"/>
      <c r="D144" s="304">
        <v>1</v>
      </c>
      <c r="E144" s="2955" t="s">
        <v>705</v>
      </c>
      <c r="F144" s="2956"/>
      <c r="G144" s="327"/>
      <c r="H144" s="2900"/>
      <c r="I144" s="2901"/>
      <c r="J144" s="2901"/>
      <c r="K144" s="2902"/>
      <c r="L144" s="590">
        <f t="shared" si="65"/>
        <v>3</v>
      </c>
      <c r="M144" s="590">
        <f t="shared" si="66"/>
        <v>3</v>
      </c>
      <c r="N144" s="585">
        <f>スコア入力!AC144</f>
        <v>0.70000000000000007</v>
      </c>
      <c r="O144" s="585">
        <f>スコア入力!AE144</f>
        <v>0.70000000000000007</v>
      </c>
      <c r="P144" s="590">
        <f t="shared" si="67"/>
        <v>0</v>
      </c>
      <c r="Q144" s="590">
        <f t="shared" si="68"/>
        <v>0</v>
      </c>
      <c r="R144" s="585">
        <f>スコア入力!AJ144</f>
        <v>0</v>
      </c>
      <c r="S144" s="585">
        <f>スコア入力!AL144</f>
        <v>0</v>
      </c>
      <c r="T144" s="586"/>
      <c r="U144" s="586"/>
      <c r="W144" s="244">
        <f t="shared" si="69"/>
        <v>3</v>
      </c>
      <c r="X144" s="244">
        <f t="shared" si="70"/>
        <v>3</v>
      </c>
      <c r="Y144" s="243">
        <f>スコア入力!AA144</f>
        <v>0.70000000000000007</v>
      </c>
      <c r="Z144" s="243">
        <f>スコア入力!AB144</f>
        <v>0.70000000000000007</v>
      </c>
      <c r="AA144" s="244">
        <f t="shared" si="35"/>
        <v>0</v>
      </c>
      <c r="AB144" s="244">
        <f t="shared" si="36"/>
        <v>0</v>
      </c>
      <c r="AC144" s="243">
        <f>スコア入力!AH144</f>
        <v>0</v>
      </c>
      <c r="AD144" s="243">
        <f>スコア入力!AI144</f>
        <v>0</v>
      </c>
      <c r="AE144" s="6"/>
      <c r="AF144" s="637">
        <f>スコア入力!N144</f>
        <v>3</v>
      </c>
      <c r="AG144" s="637">
        <f>スコア入力!P144</f>
        <v>3</v>
      </c>
      <c r="AH144" s="585">
        <f>スコア入力!AC144</f>
        <v>0.70000000000000007</v>
      </c>
      <c r="AI144" s="585">
        <f>スコア入力!AE144</f>
        <v>0.70000000000000007</v>
      </c>
      <c r="AJ144" s="637">
        <f>スコア入力!U144</f>
        <v>0</v>
      </c>
      <c r="AK144" s="637">
        <f>スコア入力!W144</f>
        <v>0</v>
      </c>
      <c r="AL144" s="585">
        <f>スコア入力!AJ144</f>
        <v>0</v>
      </c>
      <c r="AM144" s="585">
        <f>スコア入力!AL144</f>
        <v>0</v>
      </c>
      <c r="AN144" s="586"/>
      <c r="AO144" s="586"/>
    </row>
    <row r="145" spans="1:41" ht="14.25" thickBot="1">
      <c r="A145" s="406"/>
      <c r="B145" s="380"/>
      <c r="C145" s="471"/>
      <c r="D145" s="304">
        <v>2</v>
      </c>
      <c r="E145" s="2955" t="s">
        <v>745</v>
      </c>
      <c r="F145" s="2956"/>
      <c r="G145" s="327"/>
      <c r="H145" s="2900"/>
      <c r="I145" s="2901"/>
      <c r="J145" s="2901"/>
      <c r="K145" s="2902"/>
      <c r="L145" s="593">
        <f t="shared" si="65"/>
        <v>3</v>
      </c>
      <c r="M145" s="593">
        <f t="shared" si="66"/>
        <v>3</v>
      </c>
      <c r="N145" s="585">
        <f>スコア入力!AC145</f>
        <v>0.3</v>
      </c>
      <c r="O145" s="585">
        <f>スコア入力!AE145</f>
        <v>0.3</v>
      </c>
      <c r="P145" s="593">
        <f t="shared" si="67"/>
        <v>0</v>
      </c>
      <c r="Q145" s="593">
        <f t="shared" si="68"/>
        <v>0</v>
      </c>
      <c r="R145" s="585">
        <f>スコア入力!AJ145</f>
        <v>0</v>
      </c>
      <c r="S145" s="585">
        <f>スコア入力!AL145</f>
        <v>0</v>
      </c>
      <c r="T145" s="586"/>
      <c r="U145" s="586"/>
      <c r="W145" s="244">
        <f t="shared" si="69"/>
        <v>3</v>
      </c>
      <c r="X145" s="244">
        <f t="shared" si="70"/>
        <v>3</v>
      </c>
      <c r="Y145" s="243">
        <f>スコア入力!AA145</f>
        <v>0.3</v>
      </c>
      <c r="Z145" s="243">
        <f>スコア入力!AB145</f>
        <v>0.3</v>
      </c>
      <c r="AA145" s="244">
        <f t="shared" si="35"/>
        <v>0</v>
      </c>
      <c r="AB145" s="244">
        <f t="shared" si="36"/>
        <v>0</v>
      </c>
      <c r="AC145" s="243">
        <f>スコア入力!AH145</f>
        <v>0</v>
      </c>
      <c r="AD145" s="243">
        <f>スコア入力!AI145</f>
        <v>0</v>
      </c>
      <c r="AE145" s="6"/>
      <c r="AF145" s="607">
        <f>スコア入力!N145</f>
        <v>3</v>
      </c>
      <c r="AG145" s="607">
        <f>スコア入力!P145</f>
        <v>3</v>
      </c>
      <c r="AH145" s="585">
        <f>スコア入力!AC145</f>
        <v>0.3</v>
      </c>
      <c r="AI145" s="585">
        <f>スコア入力!AE145</f>
        <v>0.3</v>
      </c>
      <c r="AJ145" s="607">
        <f>スコア入力!U145</f>
        <v>0</v>
      </c>
      <c r="AK145" s="607">
        <f>スコア入力!W145</f>
        <v>0</v>
      </c>
      <c r="AL145" s="585">
        <f>スコア入力!AJ145</f>
        <v>0</v>
      </c>
      <c r="AM145" s="585">
        <f>スコア入力!AL145</f>
        <v>0</v>
      </c>
      <c r="AN145" s="586"/>
      <c r="AO145" s="586"/>
    </row>
    <row r="146" spans="1:41" ht="14.25" thickBot="1">
      <c r="A146" s="406"/>
      <c r="B146" s="659">
        <v>2</v>
      </c>
      <c r="C146" s="326" t="s">
        <v>879</v>
      </c>
      <c r="D146" s="285"/>
      <c r="E146" s="285"/>
      <c r="F146" s="584"/>
      <c r="G146" s="584"/>
      <c r="H146" s="2919"/>
      <c r="I146" s="2920"/>
      <c r="J146" s="2920"/>
      <c r="K146" s="2921"/>
      <c r="L146" s="597">
        <f t="shared" si="65"/>
        <v>3</v>
      </c>
      <c r="M146" s="600">
        <f t="shared" si="66"/>
        <v>3</v>
      </c>
      <c r="N146" s="599">
        <f>スコア入力!AC146</f>
        <v>0.6</v>
      </c>
      <c r="O146" s="599">
        <f>スコア入力!AE146</f>
        <v>0.6</v>
      </c>
      <c r="P146" s="600">
        <f t="shared" si="67"/>
        <v>0</v>
      </c>
      <c r="Q146" s="600">
        <f t="shared" si="68"/>
        <v>0</v>
      </c>
      <c r="R146" s="599"/>
      <c r="S146" s="599"/>
      <c r="T146" s="601">
        <f>ROUNDDOWN(AN146,1)</f>
        <v>3</v>
      </c>
      <c r="U146" s="601">
        <f>ROUNDDOWN(AO146,1)</f>
        <v>3</v>
      </c>
      <c r="W146" s="575">
        <f t="shared" si="69"/>
        <v>3</v>
      </c>
      <c r="X146" s="575">
        <f t="shared" si="70"/>
        <v>3.0000000000000004</v>
      </c>
      <c r="Y146" s="243">
        <f>スコア入力!AA146</f>
        <v>0.6</v>
      </c>
      <c r="Z146" s="243">
        <f>スコア入力!AB146</f>
        <v>0.6</v>
      </c>
      <c r="AA146" s="575">
        <f t="shared" si="35"/>
        <v>0</v>
      </c>
      <c r="AB146" s="575">
        <f t="shared" si="36"/>
        <v>0</v>
      </c>
      <c r="AC146" s="243">
        <f>スコア入力!AH146</f>
        <v>0</v>
      </c>
      <c r="AD146" s="243">
        <f>スコア入力!AI146</f>
        <v>0</v>
      </c>
      <c r="AE146" s="6"/>
      <c r="AF146" s="604">
        <f>SUMPRODUCT(AF147:AF152,AH147:AH152)</f>
        <v>3</v>
      </c>
      <c r="AG146" s="604">
        <f>SUMPRODUCT(AG147:AG152,AI147:AI152)</f>
        <v>3.0000000000000004</v>
      </c>
      <c r="AH146" s="599">
        <f>スコア入力!AC146</f>
        <v>0.6</v>
      </c>
      <c r="AI146" s="599">
        <f>スコア入力!AE146</f>
        <v>0.6</v>
      </c>
      <c r="AJ146" s="604">
        <f>SUMPRODUCT(AJ147:AJ152,AL147:AL152)</f>
        <v>0</v>
      </c>
      <c r="AK146" s="604">
        <f>SUMPRODUCT(AK147:AK152,AM147:AM152)</f>
        <v>0</v>
      </c>
      <c r="AL146" s="599">
        <f>スコア入力!AJ146</f>
        <v>0</v>
      </c>
      <c r="AM146" s="599">
        <f>スコア入力!AL146</f>
        <v>0</v>
      </c>
      <c r="AN146" s="601">
        <f>IF(AJ146=0,AF146,IF(AF146=0,AJ146,AF146*AH$6+AJ146*AL$6))</f>
        <v>3</v>
      </c>
      <c r="AO146" s="601">
        <f>IF(AK146=0,AG146,IF(AG146=0,AK146,AG146*AI$6+AK146*AM$6))</f>
        <v>3.0000000000000004</v>
      </c>
    </row>
    <row r="147" spans="1:41" ht="14.25" thickBot="1">
      <c r="A147" s="406"/>
      <c r="B147" s="338"/>
      <c r="C147" s="418">
        <v>2.1</v>
      </c>
      <c r="D147" s="399" t="s">
        <v>707</v>
      </c>
      <c r="E147" s="419"/>
      <c r="F147" s="327"/>
      <c r="G147" s="327"/>
      <c r="H147" s="2936"/>
      <c r="I147" s="2937"/>
      <c r="J147" s="2937"/>
      <c r="K147" s="2938"/>
      <c r="L147" s="604">
        <f t="shared" si="65"/>
        <v>3</v>
      </c>
      <c r="M147" s="604">
        <f t="shared" si="66"/>
        <v>3</v>
      </c>
      <c r="N147" s="585">
        <f>スコア入力!AC147</f>
        <v>9.9999999999999992E-2</v>
      </c>
      <c r="O147" s="585">
        <f>スコア入力!AE147</f>
        <v>0.1</v>
      </c>
      <c r="P147" s="604">
        <f t="shared" si="67"/>
        <v>0</v>
      </c>
      <c r="Q147" s="604">
        <f t="shared" si="68"/>
        <v>0</v>
      </c>
      <c r="R147" s="585">
        <f>スコア入力!AJ147</f>
        <v>0</v>
      </c>
      <c r="S147" s="585">
        <f>スコア入力!AL147</f>
        <v>0</v>
      </c>
      <c r="T147" s="586"/>
      <c r="U147" s="586"/>
      <c r="W147" s="575">
        <f t="shared" si="69"/>
        <v>3</v>
      </c>
      <c r="X147" s="575">
        <f t="shared" si="70"/>
        <v>3</v>
      </c>
      <c r="Y147" s="243">
        <f>スコア入力!AA147</f>
        <v>0.10000000000000002</v>
      </c>
      <c r="Z147" s="243">
        <f>スコア入力!AB147</f>
        <v>0.1</v>
      </c>
      <c r="AA147" s="575">
        <f t="shared" si="35"/>
        <v>0</v>
      </c>
      <c r="AB147" s="575">
        <f t="shared" si="36"/>
        <v>0</v>
      </c>
      <c r="AC147" s="243">
        <f>スコア入力!AH147</f>
        <v>0</v>
      </c>
      <c r="AD147" s="243">
        <f>スコア入力!AI147</f>
        <v>0</v>
      </c>
      <c r="AE147" s="6"/>
      <c r="AF147" s="637">
        <f>スコア入力!N147</f>
        <v>3</v>
      </c>
      <c r="AG147" s="637">
        <f>スコア入力!P147</f>
        <v>3</v>
      </c>
      <c r="AH147" s="585">
        <f>スコア入力!AC147</f>
        <v>9.9999999999999992E-2</v>
      </c>
      <c r="AI147" s="585">
        <f>スコア入力!AE147</f>
        <v>0.1</v>
      </c>
      <c r="AJ147" s="637">
        <f>スコア入力!U147</f>
        <v>0</v>
      </c>
      <c r="AK147" s="637">
        <f>スコア入力!W147</f>
        <v>0</v>
      </c>
      <c r="AL147" s="585">
        <f>スコア入力!AJ147</f>
        <v>0</v>
      </c>
      <c r="AM147" s="585">
        <f>スコア入力!AL147</f>
        <v>0</v>
      </c>
      <c r="AN147" s="586"/>
      <c r="AO147" s="586"/>
    </row>
    <row r="148" spans="1:41" ht="13.5">
      <c r="A148" s="406"/>
      <c r="B148" s="347"/>
      <c r="C148" s="418">
        <v>2.2000000000000002</v>
      </c>
      <c r="D148" s="399" t="s">
        <v>708</v>
      </c>
      <c r="E148" s="419"/>
      <c r="F148" s="327"/>
      <c r="G148" s="327"/>
      <c r="H148" s="2900"/>
      <c r="I148" s="2901"/>
      <c r="J148" s="2901"/>
      <c r="K148" s="2902"/>
      <c r="L148" s="463">
        <f t="shared" si="65"/>
        <v>3</v>
      </c>
      <c r="M148" s="463">
        <f t="shared" si="66"/>
        <v>3</v>
      </c>
      <c r="N148" s="585">
        <f>スコア入力!AC148</f>
        <v>0.19999999999999998</v>
      </c>
      <c r="O148" s="585">
        <f>スコア入力!AE148</f>
        <v>0.2</v>
      </c>
      <c r="P148" s="463">
        <f t="shared" si="67"/>
        <v>0</v>
      </c>
      <c r="Q148" s="463">
        <f t="shared" si="68"/>
        <v>0</v>
      </c>
      <c r="R148" s="585">
        <f>スコア入力!AJ148</f>
        <v>0</v>
      </c>
      <c r="S148" s="585">
        <f>スコア入力!AL148</f>
        <v>0</v>
      </c>
      <c r="T148" s="586"/>
      <c r="U148" s="586"/>
      <c r="W148" s="244">
        <f t="shared" si="69"/>
        <v>3</v>
      </c>
      <c r="X148" s="244">
        <f t="shared" si="70"/>
        <v>3</v>
      </c>
      <c r="Y148" s="243">
        <f>スコア入力!AA148</f>
        <v>0.20000000000000004</v>
      </c>
      <c r="Z148" s="243">
        <f>スコア入力!AB148</f>
        <v>0.2</v>
      </c>
      <c r="AA148" s="244">
        <f t="shared" si="35"/>
        <v>0</v>
      </c>
      <c r="AB148" s="244">
        <f t="shared" si="36"/>
        <v>0</v>
      </c>
      <c r="AC148" s="243">
        <f>スコア入力!AH148</f>
        <v>0</v>
      </c>
      <c r="AD148" s="243">
        <f>スコア入力!AI148</f>
        <v>0</v>
      </c>
      <c r="AE148" s="6"/>
      <c r="AF148" s="656">
        <f>スコア入力!N148</f>
        <v>3</v>
      </c>
      <c r="AG148" s="656">
        <f>スコア入力!P148</f>
        <v>3</v>
      </c>
      <c r="AH148" s="585">
        <f>スコア入力!AC148</f>
        <v>0.19999999999999998</v>
      </c>
      <c r="AI148" s="585">
        <f>スコア入力!AE148</f>
        <v>0.2</v>
      </c>
      <c r="AJ148" s="656">
        <f>スコア入力!U148</f>
        <v>0</v>
      </c>
      <c r="AK148" s="656">
        <f>スコア入力!W148</f>
        <v>0</v>
      </c>
      <c r="AL148" s="585">
        <f>スコア入力!AJ148</f>
        <v>0</v>
      </c>
      <c r="AM148" s="585">
        <f>スコア入力!AL148</f>
        <v>0</v>
      </c>
      <c r="AN148" s="586"/>
      <c r="AO148" s="586"/>
    </row>
    <row r="149" spans="1:41" ht="13.5">
      <c r="A149" s="406"/>
      <c r="B149" s="338"/>
      <c r="C149" s="418">
        <v>2.2999999999999998</v>
      </c>
      <c r="D149" s="399" t="s">
        <v>710</v>
      </c>
      <c r="E149" s="419"/>
      <c r="F149" s="327"/>
      <c r="G149" s="327"/>
      <c r="H149" s="2900"/>
      <c r="I149" s="2901"/>
      <c r="J149" s="2901"/>
      <c r="K149" s="2902"/>
      <c r="L149" s="596">
        <f t="shared" si="65"/>
        <v>3</v>
      </c>
      <c r="M149" s="596">
        <f t="shared" si="66"/>
        <v>3</v>
      </c>
      <c r="N149" s="585">
        <f>スコア入力!AC149</f>
        <v>0.19999999999999998</v>
      </c>
      <c r="O149" s="585">
        <f>スコア入力!AE149</f>
        <v>0.2</v>
      </c>
      <c r="P149" s="596">
        <f t="shared" si="67"/>
        <v>0</v>
      </c>
      <c r="Q149" s="596">
        <f t="shared" si="68"/>
        <v>0</v>
      </c>
      <c r="R149" s="585">
        <f>スコア入力!AJ149</f>
        <v>0</v>
      </c>
      <c r="S149" s="585">
        <f>スコア入力!AL149</f>
        <v>0</v>
      </c>
      <c r="T149" s="586"/>
      <c r="U149" s="586"/>
      <c r="W149" s="244">
        <f t="shared" si="69"/>
        <v>3</v>
      </c>
      <c r="X149" s="244">
        <f t="shared" si="70"/>
        <v>3</v>
      </c>
      <c r="Y149" s="243">
        <f>スコア入力!AA149</f>
        <v>0.20000000000000004</v>
      </c>
      <c r="Z149" s="243">
        <f>スコア入力!AB149</f>
        <v>0.2</v>
      </c>
      <c r="AA149" s="244">
        <f t="shared" si="35"/>
        <v>0</v>
      </c>
      <c r="AB149" s="244">
        <f t="shared" si="36"/>
        <v>0</v>
      </c>
      <c r="AC149" s="243">
        <f>スコア入力!AH149</f>
        <v>0</v>
      </c>
      <c r="AD149" s="243">
        <f>スコア入力!AI149</f>
        <v>0</v>
      </c>
      <c r="AE149" s="6"/>
      <c r="AF149" s="656">
        <f>スコア入力!N149</f>
        <v>3</v>
      </c>
      <c r="AG149" s="656">
        <f>スコア入力!P149</f>
        <v>3</v>
      </c>
      <c r="AH149" s="585">
        <f>スコア入力!AC149</f>
        <v>0.19999999999999998</v>
      </c>
      <c r="AI149" s="585">
        <f>スコア入力!AE149</f>
        <v>0.2</v>
      </c>
      <c r="AJ149" s="656">
        <f>スコア入力!U149</f>
        <v>0</v>
      </c>
      <c r="AK149" s="656">
        <f>スコア入力!W149</f>
        <v>0</v>
      </c>
      <c r="AL149" s="585">
        <f>スコア入力!AJ149</f>
        <v>0</v>
      </c>
      <c r="AM149" s="585">
        <f>スコア入力!AL149</f>
        <v>0</v>
      </c>
      <c r="AN149" s="586"/>
      <c r="AO149" s="586"/>
    </row>
    <row r="150" spans="1:41" ht="13.5">
      <c r="A150" s="406"/>
      <c r="B150" s="338"/>
      <c r="C150" s="418">
        <v>2.4</v>
      </c>
      <c r="D150" s="2008" t="s">
        <v>1685</v>
      </c>
      <c r="E150" s="419"/>
      <c r="F150" s="327"/>
      <c r="G150" s="327"/>
      <c r="H150" s="2900"/>
      <c r="I150" s="2901"/>
      <c r="J150" s="2901"/>
      <c r="K150" s="2902"/>
      <c r="L150" s="596">
        <f t="shared" si="65"/>
        <v>3</v>
      </c>
      <c r="M150" s="596">
        <f t="shared" si="66"/>
        <v>3</v>
      </c>
      <c r="N150" s="585">
        <f>スコア入力!AC150</f>
        <v>0.19999999999999998</v>
      </c>
      <c r="O150" s="585">
        <f>スコア入力!AE150</f>
        <v>0.2</v>
      </c>
      <c r="P150" s="596">
        <f t="shared" si="67"/>
        <v>0</v>
      </c>
      <c r="Q150" s="596">
        <f t="shared" si="68"/>
        <v>0</v>
      </c>
      <c r="R150" s="585">
        <f>スコア入力!AJ150</f>
        <v>0</v>
      </c>
      <c r="S150" s="585">
        <f>スコア入力!AL150</f>
        <v>0</v>
      </c>
      <c r="T150" s="586"/>
      <c r="U150" s="586"/>
      <c r="W150" s="244">
        <f t="shared" si="69"/>
        <v>3</v>
      </c>
      <c r="X150" s="244">
        <f t="shared" si="70"/>
        <v>3</v>
      </c>
      <c r="Y150" s="243">
        <f>スコア入力!AA150</f>
        <v>0.20000000000000004</v>
      </c>
      <c r="Z150" s="243">
        <f>スコア入力!AB150</f>
        <v>0.2</v>
      </c>
      <c r="AA150" s="244">
        <f t="shared" si="35"/>
        <v>0</v>
      </c>
      <c r="AB150" s="244">
        <f t="shared" si="36"/>
        <v>0</v>
      </c>
      <c r="AC150" s="243">
        <f>スコア入力!AH150</f>
        <v>0</v>
      </c>
      <c r="AD150" s="243">
        <f>スコア入力!AI150</f>
        <v>0</v>
      </c>
      <c r="AE150" s="6"/>
      <c r="AF150" s="656">
        <f>スコア入力!N150</f>
        <v>3</v>
      </c>
      <c r="AG150" s="656">
        <f>スコア入力!P150</f>
        <v>3</v>
      </c>
      <c r="AH150" s="585">
        <f>スコア入力!AC150</f>
        <v>0.19999999999999998</v>
      </c>
      <c r="AI150" s="585">
        <f>スコア入力!AE150</f>
        <v>0.2</v>
      </c>
      <c r="AJ150" s="656">
        <f>スコア入力!U150</f>
        <v>0</v>
      </c>
      <c r="AK150" s="656">
        <f>スコア入力!W150</f>
        <v>0</v>
      </c>
      <c r="AL150" s="585">
        <f>スコア入力!AJ150</f>
        <v>0</v>
      </c>
      <c r="AM150" s="585">
        <f>スコア入力!AL150</f>
        <v>0</v>
      </c>
      <c r="AN150" s="586"/>
      <c r="AO150" s="586"/>
    </row>
    <row r="151" spans="1:41" ht="13.5">
      <c r="A151" s="406"/>
      <c r="B151" s="347"/>
      <c r="C151" s="418">
        <v>2.5</v>
      </c>
      <c r="D151" s="399" t="s">
        <v>711</v>
      </c>
      <c r="E151" s="419"/>
      <c r="F151" s="327"/>
      <c r="G151" s="327"/>
      <c r="H151" s="2900"/>
      <c r="I151" s="2901"/>
      <c r="J151" s="2901"/>
      <c r="K151" s="2902"/>
      <c r="L151" s="464">
        <f t="shared" si="65"/>
        <v>3</v>
      </c>
      <c r="M151" s="464">
        <f t="shared" si="66"/>
        <v>3</v>
      </c>
      <c r="N151" s="585">
        <f>スコア入力!AC151</f>
        <v>9.9999999999999992E-2</v>
      </c>
      <c r="O151" s="585">
        <f>スコア入力!AE151</f>
        <v>0.1</v>
      </c>
      <c r="P151" s="464">
        <f t="shared" si="67"/>
        <v>0</v>
      </c>
      <c r="Q151" s="464">
        <f t="shared" si="68"/>
        <v>0</v>
      </c>
      <c r="R151" s="585">
        <f>スコア入力!AJ151</f>
        <v>0</v>
      </c>
      <c r="S151" s="585">
        <f>スコア入力!AL151</f>
        <v>0</v>
      </c>
      <c r="T151" s="586"/>
      <c r="U151" s="586"/>
      <c r="W151" s="244">
        <f t="shared" si="69"/>
        <v>3</v>
      </c>
      <c r="X151" s="244">
        <f t="shared" si="70"/>
        <v>3</v>
      </c>
      <c r="Y151" s="243">
        <f>スコア入力!AA151</f>
        <v>0.10000000000000002</v>
      </c>
      <c r="Z151" s="243">
        <f>スコア入力!AB151</f>
        <v>0.1</v>
      </c>
      <c r="AA151" s="244">
        <f t="shared" si="35"/>
        <v>0</v>
      </c>
      <c r="AB151" s="244">
        <f t="shared" si="36"/>
        <v>0</v>
      </c>
      <c r="AC151" s="243">
        <f>スコア入力!AH151</f>
        <v>0</v>
      </c>
      <c r="AD151" s="243">
        <f>スコア入力!AI151</f>
        <v>0</v>
      </c>
      <c r="AE151" s="6"/>
      <c r="AF151" s="656">
        <f>スコア入力!N151</f>
        <v>3</v>
      </c>
      <c r="AG151" s="656">
        <f>スコア入力!P151</f>
        <v>3</v>
      </c>
      <c r="AH151" s="585">
        <f>スコア入力!AC151</f>
        <v>9.9999999999999992E-2</v>
      </c>
      <c r="AI151" s="585">
        <f>スコア入力!AE151</f>
        <v>0.1</v>
      </c>
      <c r="AJ151" s="656">
        <f>スコア入力!U151</f>
        <v>0</v>
      </c>
      <c r="AK151" s="656">
        <f>スコア入力!W151</f>
        <v>0</v>
      </c>
      <c r="AL151" s="585">
        <f>スコア入力!AJ151</f>
        <v>0</v>
      </c>
      <c r="AM151" s="585">
        <f>スコア入力!AL151</f>
        <v>0</v>
      </c>
      <c r="AN151" s="586"/>
      <c r="AO151" s="586"/>
    </row>
    <row r="152" spans="1:41" ht="14.25" thickBot="1">
      <c r="A152" s="406"/>
      <c r="B152" s="660"/>
      <c r="C152" s="418">
        <v>2.6</v>
      </c>
      <c r="D152" s="399" t="s">
        <v>712</v>
      </c>
      <c r="E152" s="419"/>
      <c r="F152" s="327"/>
      <c r="G152" s="327"/>
      <c r="H152" s="2904"/>
      <c r="I152" s="2905"/>
      <c r="J152" s="2905"/>
      <c r="K152" s="2906"/>
      <c r="L152" s="465">
        <f t="shared" si="65"/>
        <v>3</v>
      </c>
      <c r="M152" s="465">
        <f t="shared" si="66"/>
        <v>3</v>
      </c>
      <c r="N152" s="616">
        <f>スコア入力!AC152</f>
        <v>0.19999999999999998</v>
      </c>
      <c r="O152" s="616">
        <f>スコア入力!AE152</f>
        <v>0.2</v>
      </c>
      <c r="P152" s="465">
        <f t="shared" si="67"/>
        <v>0</v>
      </c>
      <c r="Q152" s="465">
        <f t="shared" si="68"/>
        <v>0</v>
      </c>
      <c r="R152" s="616">
        <f>スコア入力!AJ152</f>
        <v>0</v>
      </c>
      <c r="S152" s="616">
        <f>スコア入力!AL152</f>
        <v>0</v>
      </c>
      <c r="T152" s="617"/>
      <c r="U152" s="617"/>
      <c r="W152" s="244">
        <f t="shared" si="69"/>
        <v>3</v>
      </c>
      <c r="X152" s="244">
        <f t="shared" si="70"/>
        <v>3</v>
      </c>
      <c r="Y152" s="243">
        <f>スコア入力!AA152</f>
        <v>0.20000000000000004</v>
      </c>
      <c r="Z152" s="243">
        <f>スコア入力!AB152</f>
        <v>0.2</v>
      </c>
      <c r="AA152" s="244">
        <f t="shared" ref="AA152:AA180" si="71">AJ152</f>
        <v>0</v>
      </c>
      <c r="AB152" s="244">
        <f t="shared" ref="AB152:AB180" si="72">AK152</f>
        <v>0</v>
      </c>
      <c r="AC152" s="243">
        <f>スコア入力!AH152</f>
        <v>0</v>
      </c>
      <c r="AD152" s="243">
        <f>スコア入力!AI152</f>
        <v>0</v>
      </c>
      <c r="AE152" s="6"/>
      <c r="AF152" s="607">
        <f>スコア入力!N152</f>
        <v>3</v>
      </c>
      <c r="AG152" s="607">
        <f>スコア入力!P152</f>
        <v>3</v>
      </c>
      <c r="AH152" s="585">
        <f>スコア入力!AC152</f>
        <v>0.19999999999999998</v>
      </c>
      <c r="AI152" s="585">
        <f>スコア入力!AE152</f>
        <v>0.2</v>
      </c>
      <c r="AJ152" s="607">
        <f>スコア入力!U152</f>
        <v>0</v>
      </c>
      <c r="AK152" s="607">
        <f>スコア入力!W152</f>
        <v>0</v>
      </c>
      <c r="AL152" s="585">
        <f>スコア入力!AJ152</f>
        <v>0</v>
      </c>
      <c r="AM152" s="585">
        <f>スコア入力!AL152</f>
        <v>0</v>
      </c>
      <c r="AN152" s="586"/>
      <c r="AO152" s="586"/>
    </row>
    <row r="153" spans="1:41" ht="14.25" thickBot="1">
      <c r="A153" s="406"/>
      <c r="B153" s="659">
        <v>3</v>
      </c>
      <c r="C153" s="326" t="s">
        <v>882</v>
      </c>
      <c r="D153" s="285"/>
      <c r="E153" s="285"/>
      <c r="F153" s="584"/>
      <c r="G153" s="584"/>
      <c r="H153" s="2919"/>
      <c r="I153" s="2920"/>
      <c r="J153" s="2920"/>
      <c r="K153" s="2920"/>
      <c r="L153" s="661">
        <f t="shared" si="65"/>
        <v>3</v>
      </c>
      <c r="M153" s="661">
        <f t="shared" si="66"/>
        <v>3</v>
      </c>
      <c r="N153" s="616">
        <f>スコア入力!AC153</f>
        <v>0.20000000000000004</v>
      </c>
      <c r="O153" s="616">
        <f>スコア入力!AE153</f>
        <v>0.2</v>
      </c>
      <c r="P153" s="661">
        <f t="shared" si="67"/>
        <v>0</v>
      </c>
      <c r="Q153" s="661">
        <f t="shared" si="68"/>
        <v>0</v>
      </c>
      <c r="R153" s="662"/>
      <c r="S153" s="616"/>
      <c r="T153" s="617">
        <f>ROUNDDOWN(AN153,1)</f>
        <v>3</v>
      </c>
      <c r="U153" s="617">
        <f>ROUNDDOWN(AO153,1)</f>
        <v>3</v>
      </c>
      <c r="W153" s="575">
        <f t="shared" si="69"/>
        <v>3</v>
      </c>
      <c r="X153" s="575">
        <f t="shared" si="70"/>
        <v>3</v>
      </c>
      <c r="Y153" s="243">
        <f>スコア入力!AA153</f>
        <v>0.20000000000000004</v>
      </c>
      <c r="Z153" s="243">
        <f>スコア入力!AB153</f>
        <v>0.2</v>
      </c>
      <c r="AA153" s="575">
        <f t="shared" si="71"/>
        <v>0</v>
      </c>
      <c r="AB153" s="575">
        <f t="shared" si="72"/>
        <v>0</v>
      </c>
      <c r="AC153" s="243">
        <f>スコア入力!AH153</f>
        <v>0</v>
      </c>
      <c r="AD153" s="243">
        <f>スコア入力!AI153</f>
        <v>0</v>
      </c>
      <c r="AE153" s="6"/>
      <c r="AF153" s="604">
        <f>AF154*AH154+AF155*AH155</f>
        <v>3</v>
      </c>
      <c r="AG153" s="604">
        <f>AG154*AI154+AG155*AI155</f>
        <v>3</v>
      </c>
      <c r="AH153" s="599">
        <f>スコア入力!AC153</f>
        <v>0.20000000000000004</v>
      </c>
      <c r="AI153" s="663">
        <f>スコア入力!AE153</f>
        <v>0.2</v>
      </c>
      <c r="AJ153" s="604">
        <f>AJ154*AL154+AJ155*AL155</f>
        <v>0</v>
      </c>
      <c r="AK153" s="604">
        <f>AK154*AM154+AK155*AM155</f>
        <v>0</v>
      </c>
      <c r="AL153" s="599">
        <f>スコア入力!AJ153</f>
        <v>0</v>
      </c>
      <c r="AM153" s="663">
        <f>スコア入力!AL153</f>
        <v>0</v>
      </c>
      <c r="AN153" s="601">
        <f>IF(AJ153=0,AF153,IF(AF153=0,AJ153,AF153*AH$6+AJ153*AL$6))</f>
        <v>3</v>
      </c>
      <c r="AO153" s="601">
        <f>IF(AK153=0,AG153,IF(AG153=0,AK153,AG153*AI$6+AK153*AM$6))</f>
        <v>3</v>
      </c>
    </row>
    <row r="154" spans="1:41" ht="14.25" thickBot="1">
      <c r="A154" s="406"/>
      <c r="B154" s="347"/>
      <c r="C154" s="418">
        <v>3.1</v>
      </c>
      <c r="D154" s="399" t="s">
        <v>714</v>
      </c>
      <c r="E154" s="419"/>
      <c r="F154" s="327"/>
      <c r="G154" s="327"/>
      <c r="H154" s="2900"/>
      <c r="I154" s="2901"/>
      <c r="J154" s="2901"/>
      <c r="K154" s="2901"/>
      <c r="L154" s="461">
        <f t="shared" si="65"/>
        <v>3</v>
      </c>
      <c r="M154" s="461">
        <f t="shared" si="66"/>
        <v>3</v>
      </c>
      <c r="N154" s="657">
        <f>スコア入力!AC154</f>
        <v>0.3</v>
      </c>
      <c r="O154" s="591">
        <f>スコア入力!AE154</f>
        <v>0.3</v>
      </c>
      <c r="P154" s="461">
        <f t="shared" si="67"/>
        <v>0</v>
      </c>
      <c r="Q154" s="461">
        <f t="shared" si="68"/>
        <v>0</v>
      </c>
      <c r="R154" s="657">
        <f>スコア入力!AJ154</f>
        <v>0</v>
      </c>
      <c r="S154" s="585">
        <f>スコア入力!AL154</f>
        <v>0</v>
      </c>
      <c r="T154" s="586"/>
      <c r="U154" s="586"/>
      <c r="W154" s="244">
        <f t="shared" si="69"/>
        <v>3</v>
      </c>
      <c r="X154" s="244">
        <f t="shared" si="70"/>
        <v>3</v>
      </c>
      <c r="Y154" s="243">
        <f>スコア入力!AA154</f>
        <v>0.3</v>
      </c>
      <c r="Z154" s="243">
        <f>スコア入力!AB154</f>
        <v>0.29999999999999993</v>
      </c>
      <c r="AA154" s="244">
        <f t="shared" si="71"/>
        <v>0</v>
      </c>
      <c r="AB154" s="244">
        <f t="shared" si="72"/>
        <v>0</v>
      </c>
      <c r="AC154" s="243">
        <f>スコア入力!AH154</f>
        <v>0</v>
      </c>
      <c r="AD154" s="243">
        <f>スコア入力!AI154</f>
        <v>0</v>
      </c>
      <c r="AE154" s="6"/>
      <c r="AF154" s="658">
        <f>スコア入力!N154</f>
        <v>3</v>
      </c>
      <c r="AG154" s="658">
        <f>スコア入力!P154</f>
        <v>3</v>
      </c>
      <c r="AH154" s="585">
        <f>スコア入力!AC154</f>
        <v>0.3</v>
      </c>
      <c r="AI154" s="585">
        <f>スコア入力!AE154</f>
        <v>0.3</v>
      </c>
      <c r="AJ154" s="658">
        <f>スコア入力!U154</f>
        <v>0</v>
      </c>
      <c r="AK154" s="658">
        <f>スコア入力!W154</f>
        <v>0</v>
      </c>
      <c r="AL154" s="585">
        <f>スコア入力!AJ154</f>
        <v>0</v>
      </c>
      <c r="AM154" s="585">
        <f>スコア入力!AL154</f>
        <v>0</v>
      </c>
      <c r="AN154" s="586"/>
      <c r="AO154" s="586"/>
    </row>
    <row r="155" spans="1:41" ht="14.25" thickBot="1">
      <c r="A155" s="406"/>
      <c r="B155" s="347"/>
      <c r="C155" s="664">
        <v>3.2</v>
      </c>
      <c r="D155" s="399" t="s">
        <v>715</v>
      </c>
      <c r="E155" s="419"/>
      <c r="F155" s="327"/>
      <c r="G155" s="327"/>
      <c r="H155" s="2900"/>
      <c r="I155" s="2901"/>
      <c r="J155" s="2901"/>
      <c r="K155" s="2901"/>
      <c r="L155" s="661">
        <f t="shared" si="65"/>
        <v>3</v>
      </c>
      <c r="M155" s="661">
        <f t="shared" si="66"/>
        <v>3</v>
      </c>
      <c r="N155" s="585">
        <f>スコア入力!AC155</f>
        <v>0.70000000000000007</v>
      </c>
      <c r="O155" s="585">
        <f>スコア入力!AE155</f>
        <v>0.70000000000000007</v>
      </c>
      <c r="P155" s="661">
        <f t="shared" si="67"/>
        <v>0</v>
      </c>
      <c r="Q155" s="661">
        <f t="shared" si="68"/>
        <v>0</v>
      </c>
      <c r="R155" s="657">
        <f>スコア入力!AJ155</f>
        <v>0</v>
      </c>
      <c r="S155" s="585">
        <f>スコア入力!AL155</f>
        <v>0</v>
      </c>
      <c r="T155" s="586"/>
      <c r="U155" s="586"/>
      <c r="W155" s="575">
        <f t="shared" si="69"/>
        <v>3</v>
      </c>
      <c r="X155" s="575">
        <f t="shared" si="70"/>
        <v>3</v>
      </c>
      <c r="Y155" s="243">
        <f>スコア入力!AA155</f>
        <v>0.70000000000000007</v>
      </c>
      <c r="Z155" s="243">
        <f>スコア入力!AB155</f>
        <v>0.7</v>
      </c>
      <c r="AA155" s="575">
        <f t="shared" si="71"/>
        <v>0</v>
      </c>
      <c r="AB155" s="575">
        <f t="shared" si="72"/>
        <v>0</v>
      </c>
      <c r="AC155" s="243">
        <f>スコア入力!AH155</f>
        <v>0</v>
      </c>
      <c r="AD155" s="243">
        <f>スコア入力!AI155</f>
        <v>0</v>
      </c>
      <c r="AE155" s="6"/>
      <c r="AF155" s="604">
        <f>SUMPRODUCT(AF156:AF158,AH156:AH158)</f>
        <v>3</v>
      </c>
      <c r="AG155" s="604">
        <f>SUMPRODUCT(AG156:AG158,AI156:AI158)</f>
        <v>3</v>
      </c>
      <c r="AH155" s="585">
        <f>スコア入力!AC155</f>
        <v>0.70000000000000007</v>
      </c>
      <c r="AI155" s="585">
        <f>スコア入力!AE155</f>
        <v>0.70000000000000007</v>
      </c>
      <c r="AJ155" s="604">
        <f>SUMPRODUCT(AJ156:AJ158,AL156:AL158)</f>
        <v>0</v>
      </c>
      <c r="AK155" s="604">
        <f>SUMPRODUCT(AK156:AK158,AM156:AM158)</f>
        <v>0</v>
      </c>
      <c r="AL155" s="585">
        <f>スコア入力!AJ155</f>
        <v>0</v>
      </c>
      <c r="AM155" s="585">
        <f>スコア入力!AL155</f>
        <v>0</v>
      </c>
      <c r="AN155" s="586"/>
      <c r="AO155" s="586"/>
    </row>
    <row r="156" spans="1:41" ht="13.5">
      <c r="A156" s="406"/>
      <c r="B156" s="347"/>
      <c r="C156" s="303"/>
      <c r="D156" s="304">
        <v>1</v>
      </c>
      <c r="E156" s="324" t="s">
        <v>717</v>
      </c>
      <c r="F156" s="327"/>
      <c r="G156" s="327"/>
      <c r="H156" s="2900"/>
      <c r="I156" s="2901"/>
      <c r="J156" s="2901"/>
      <c r="K156" s="2901"/>
      <c r="L156" s="590">
        <f t="shared" si="65"/>
        <v>3</v>
      </c>
      <c r="M156" s="590">
        <f t="shared" si="66"/>
        <v>3</v>
      </c>
      <c r="N156" s="657">
        <f>スコア入力!AC156</f>
        <v>0.33333333333333337</v>
      </c>
      <c r="O156" s="591">
        <f>スコア入力!AE156</f>
        <v>0.33333333333333337</v>
      </c>
      <c r="P156" s="590">
        <f t="shared" si="67"/>
        <v>0</v>
      </c>
      <c r="Q156" s="590">
        <f t="shared" si="68"/>
        <v>0</v>
      </c>
      <c r="R156" s="657">
        <f>スコア入力!AJ156</f>
        <v>0</v>
      </c>
      <c r="S156" s="585">
        <f>スコア入力!AL156</f>
        <v>0</v>
      </c>
      <c r="T156" s="586"/>
      <c r="U156" s="586"/>
      <c r="W156" s="244">
        <f t="shared" si="69"/>
        <v>3</v>
      </c>
      <c r="X156" s="244">
        <f t="shared" si="70"/>
        <v>3</v>
      </c>
      <c r="Y156" s="243">
        <f>スコア入力!AA156</f>
        <v>0.33333333333333337</v>
      </c>
      <c r="Z156" s="243">
        <f>スコア入力!AB156</f>
        <v>0.33333333333333337</v>
      </c>
      <c r="AA156" s="244">
        <f t="shared" si="71"/>
        <v>0</v>
      </c>
      <c r="AB156" s="244">
        <f t="shared" si="72"/>
        <v>0</v>
      </c>
      <c r="AC156" s="243">
        <f>スコア入力!AH156</f>
        <v>0</v>
      </c>
      <c r="AD156" s="243">
        <f>スコア入力!AI156</f>
        <v>0</v>
      </c>
      <c r="AE156" s="6"/>
      <c r="AF156" s="637">
        <f>スコア入力!N156</f>
        <v>3</v>
      </c>
      <c r="AG156" s="637">
        <f>スコア入力!P156</f>
        <v>3</v>
      </c>
      <c r="AH156" s="585">
        <f>スコア入力!AC156</f>
        <v>0.33333333333333337</v>
      </c>
      <c r="AI156" s="585">
        <f>スコア入力!AE156</f>
        <v>0.33333333333333337</v>
      </c>
      <c r="AJ156" s="637">
        <f>スコア入力!U156</f>
        <v>0</v>
      </c>
      <c r="AK156" s="637">
        <f>スコア入力!W156</f>
        <v>0</v>
      </c>
      <c r="AL156" s="585">
        <f>スコア入力!AJ156</f>
        <v>0</v>
      </c>
      <c r="AM156" s="585">
        <f>スコア入力!AL156</f>
        <v>0</v>
      </c>
      <c r="AN156" s="586"/>
      <c r="AO156" s="586"/>
    </row>
    <row r="157" spans="1:41" ht="13.5">
      <c r="A157" s="406"/>
      <c r="B157" s="347"/>
      <c r="C157" s="303"/>
      <c r="D157" s="304">
        <v>2</v>
      </c>
      <c r="E157" s="324" t="s">
        <v>744</v>
      </c>
      <c r="F157" s="327"/>
      <c r="G157" s="327"/>
      <c r="H157" s="2900"/>
      <c r="I157" s="2901"/>
      <c r="J157" s="2901"/>
      <c r="K157" s="2901"/>
      <c r="L157" s="596">
        <f t="shared" si="65"/>
        <v>3</v>
      </c>
      <c r="M157" s="596">
        <f t="shared" si="66"/>
        <v>3</v>
      </c>
      <c r="N157" s="657">
        <f>スコア入力!AC157</f>
        <v>0.33333333333333337</v>
      </c>
      <c r="O157" s="591">
        <f>スコア入力!AE157</f>
        <v>0.33333333333333337</v>
      </c>
      <c r="P157" s="596">
        <f t="shared" si="67"/>
        <v>0</v>
      </c>
      <c r="Q157" s="596">
        <f t="shared" si="68"/>
        <v>0</v>
      </c>
      <c r="R157" s="657">
        <f>スコア入力!AJ157</f>
        <v>0</v>
      </c>
      <c r="S157" s="585">
        <f>スコア入力!AL157</f>
        <v>0</v>
      </c>
      <c r="T157" s="586"/>
      <c r="U157" s="586"/>
      <c r="W157" s="244">
        <f t="shared" si="69"/>
        <v>3</v>
      </c>
      <c r="X157" s="244">
        <f t="shared" si="70"/>
        <v>3</v>
      </c>
      <c r="Y157" s="243">
        <f>スコア入力!AA157</f>
        <v>0.33333333333333337</v>
      </c>
      <c r="Z157" s="243">
        <f>スコア入力!AB157</f>
        <v>0.33333333333333337</v>
      </c>
      <c r="AA157" s="244">
        <f t="shared" si="71"/>
        <v>0</v>
      </c>
      <c r="AB157" s="244">
        <f t="shared" si="72"/>
        <v>0</v>
      </c>
      <c r="AC157" s="243">
        <f>スコア入力!AH157</f>
        <v>0</v>
      </c>
      <c r="AD157" s="243">
        <f>スコア入力!AI157</f>
        <v>0</v>
      </c>
      <c r="AE157" s="6"/>
      <c r="AF157" s="656">
        <f>スコア入力!N157</f>
        <v>3</v>
      </c>
      <c r="AG157" s="656">
        <f>スコア入力!P157</f>
        <v>3</v>
      </c>
      <c r="AH157" s="585">
        <f>スコア入力!AC157</f>
        <v>0.33333333333333337</v>
      </c>
      <c r="AI157" s="585">
        <f>スコア入力!AE157</f>
        <v>0.33333333333333337</v>
      </c>
      <c r="AJ157" s="656">
        <f>スコア入力!U157</f>
        <v>0</v>
      </c>
      <c r="AK157" s="656">
        <f>スコア入力!W157</f>
        <v>0</v>
      </c>
      <c r="AL157" s="585">
        <f>スコア入力!AJ157</f>
        <v>0</v>
      </c>
      <c r="AM157" s="585">
        <f>スコア入力!AL157</f>
        <v>0</v>
      </c>
      <c r="AN157" s="586"/>
      <c r="AO157" s="586"/>
    </row>
    <row r="158" spans="1:41" ht="14.25" thickBot="1">
      <c r="A158" s="406"/>
      <c r="B158" s="476"/>
      <c r="C158" s="355"/>
      <c r="D158" s="356">
        <v>3</v>
      </c>
      <c r="E158" s="357" t="s">
        <v>718</v>
      </c>
      <c r="F158" s="609"/>
      <c r="G158" s="609"/>
      <c r="H158" s="2913"/>
      <c r="I158" s="2914"/>
      <c r="J158" s="2914"/>
      <c r="K158" s="2914"/>
      <c r="L158" s="593">
        <f t="shared" si="65"/>
        <v>3</v>
      </c>
      <c r="M158" s="593">
        <f t="shared" si="66"/>
        <v>3</v>
      </c>
      <c r="N158" s="665">
        <f>スコア入力!AC158</f>
        <v>0.33333333333333337</v>
      </c>
      <c r="O158" s="610">
        <f>スコア入力!AE158</f>
        <v>0.33333333333333337</v>
      </c>
      <c r="P158" s="593">
        <f t="shared" si="67"/>
        <v>0</v>
      </c>
      <c r="Q158" s="593">
        <f t="shared" si="68"/>
        <v>0</v>
      </c>
      <c r="R158" s="665">
        <f>スコア入力!AJ158</f>
        <v>0</v>
      </c>
      <c r="S158" s="634">
        <f>スコア入力!AL158</f>
        <v>0</v>
      </c>
      <c r="T158" s="611"/>
      <c r="U158" s="611"/>
      <c r="W158" s="244">
        <f t="shared" si="69"/>
        <v>3</v>
      </c>
      <c r="X158" s="244">
        <f t="shared" si="70"/>
        <v>3</v>
      </c>
      <c r="Y158" s="243">
        <f>スコア入力!AA158</f>
        <v>0.33333333333333337</v>
      </c>
      <c r="Z158" s="243">
        <f>スコア入力!AB158</f>
        <v>0.33333333333333337</v>
      </c>
      <c r="AA158" s="244">
        <f t="shared" si="71"/>
        <v>0</v>
      </c>
      <c r="AB158" s="244">
        <f t="shared" si="72"/>
        <v>0</v>
      </c>
      <c r="AC158" s="243">
        <f>スコア入力!AH158</f>
        <v>0</v>
      </c>
      <c r="AD158" s="243">
        <f>スコア入力!AI158</f>
        <v>0</v>
      </c>
      <c r="AE158" s="6"/>
      <c r="AF158" s="607">
        <f>スコア入力!N158</f>
        <v>3</v>
      </c>
      <c r="AG158" s="607">
        <f>スコア入力!P158</f>
        <v>3</v>
      </c>
      <c r="AH158" s="634">
        <f>スコア入力!AC158</f>
        <v>0.33333333333333337</v>
      </c>
      <c r="AI158" s="634">
        <f>スコア入力!AE158</f>
        <v>0.33333333333333337</v>
      </c>
      <c r="AJ158" s="607">
        <f>スコア入力!U158</f>
        <v>0</v>
      </c>
      <c r="AK158" s="607">
        <f>スコア入力!W158</f>
        <v>0</v>
      </c>
      <c r="AL158" s="634">
        <f>スコア入力!AJ158</f>
        <v>0</v>
      </c>
      <c r="AM158" s="634">
        <f>スコア入力!AL158</f>
        <v>0</v>
      </c>
      <c r="AN158" s="611"/>
      <c r="AO158" s="611"/>
    </row>
    <row r="159" spans="1:41" ht="15.75" thickBot="1">
      <c r="A159" s="406"/>
      <c r="B159" s="360" t="s">
        <v>383</v>
      </c>
      <c r="C159" s="407"/>
      <c r="D159" s="407" t="s">
        <v>384</v>
      </c>
      <c r="E159" s="407"/>
      <c r="F159" s="635"/>
      <c r="G159" s="635"/>
      <c r="H159" s="2916"/>
      <c r="I159" s="2917"/>
      <c r="J159" s="2917"/>
      <c r="K159" s="2918"/>
      <c r="L159" s="636"/>
      <c r="M159" s="636"/>
      <c r="N159" s="578" t="e">
        <f>スコア入力!AC159</f>
        <v>#VALUE!</v>
      </c>
      <c r="O159" s="578" t="e">
        <f>スコア入力!AE159</f>
        <v>#VALUE!</v>
      </c>
      <c r="P159" s="636"/>
      <c r="Q159" s="666"/>
      <c r="R159" s="578"/>
      <c r="S159" s="578"/>
      <c r="T159" s="614" t="e">
        <f t="shared" ref="T159:U161" si="73">ROUNDDOWN(AN159,1)</f>
        <v>#VALUE!</v>
      </c>
      <c r="U159" s="614" t="e">
        <f t="shared" si="73"/>
        <v>#VALUE!</v>
      </c>
      <c r="W159" s="575" t="e">
        <f>$AO159</f>
        <v>#VALUE!</v>
      </c>
      <c r="X159" s="575" t="e">
        <f>$AO159</f>
        <v>#VALUE!</v>
      </c>
      <c r="Y159" s="243">
        <f>スコア入力!AA159</f>
        <v>0.3</v>
      </c>
      <c r="Z159" s="243">
        <f>スコア入力!AB159</f>
        <v>0.3</v>
      </c>
      <c r="AA159" s="575">
        <f t="shared" si="71"/>
        <v>0</v>
      </c>
      <c r="AB159" s="575">
        <f t="shared" si="72"/>
        <v>0</v>
      </c>
      <c r="AC159" s="243">
        <f>スコア入力!AH159</f>
        <v>0</v>
      </c>
      <c r="AD159" s="243">
        <f>スコア入力!AI159</f>
        <v>0</v>
      </c>
      <c r="AE159" s="6"/>
      <c r="AF159" s="636"/>
      <c r="AG159" s="636"/>
      <c r="AH159" s="578" t="e">
        <f>スコア入力!AC159</f>
        <v>#VALUE!</v>
      </c>
      <c r="AI159" s="578" t="e">
        <f>スコア入力!AE159</f>
        <v>#VALUE!</v>
      </c>
      <c r="AJ159" s="636"/>
      <c r="AK159" s="636"/>
      <c r="AL159" s="578">
        <f>スコア入力!AJ159</f>
        <v>0</v>
      </c>
      <c r="AM159" s="578">
        <f>スコア入力!AL159</f>
        <v>0</v>
      </c>
      <c r="AN159" s="614" t="e">
        <f>AH160*AN160+AH161*AN161+AH169*AN169</f>
        <v>#VALUE!</v>
      </c>
      <c r="AO159" s="614" t="e">
        <f>AI160*AO160+AI161*AO161+AI169*AO169</f>
        <v>#VALUE!</v>
      </c>
    </row>
    <row r="160" spans="1:41" ht="14.25" thickBot="1">
      <c r="A160" s="406"/>
      <c r="B160" s="484">
        <v>1</v>
      </c>
      <c r="C160" s="414" t="s">
        <v>719</v>
      </c>
      <c r="D160" s="414"/>
      <c r="E160" s="414"/>
      <c r="F160" s="608"/>
      <c r="G160" s="608"/>
      <c r="H160" s="2897"/>
      <c r="I160" s="2898"/>
      <c r="J160" s="2898"/>
      <c r="K160" s="2898"/>
      <c r="L160" s="461" t="e">
        <f t="shared" ref="L160:L180" si="74">IF(Y160=0,0,ROUNDDOWN(AF160,1))</f>
        <v>#VALUE!</v>
      </c>
      <c r="M160" s="461" t="e">
        <f t="shared" ref="M160:M180" si="75">IF(Z160=0,0,ROUNDDOWN(AG160,1))</f>
        <v>#VALUE!</v>
      </c>
      <c r="N160" s="662" t="e">
        <f>スコア入力!AC160</f>
        <v>#VALUE!</v>
      </c>
      <c r="O160" s="667" t="e">
        <f>スコア入力!AE160</f>
        <v>#VALUE!</v>
      </c>
      <c r="P160" s="461">
        <f t="shared" ref="P160:P180" si="76">IF(AC160=0,0,ROUNDDOWN(AJ160,1))</f>
        <v>0</v>
      </c>
      <c r="Q160" s="461">
        <f t="shared" ref="Q160:Q180" si="77">IF(AD160=0,0,ROUNDDOWN(AK160,1))</f>
        <v>0</v>
      </c>
      <c r="R160" s="662"/>
      <c r="S160" s="667"/>
      <c r="T160" s="668" t="e">
        <f t="shared" si="73"/>
        <v>#VALUE!</v>
      </c>
      <c r="U160" s="668" t="e">
        <f t="shared" si="73"/>
        <v>#VALUE!</v>
      </c>
      <c r="W160" s="244" t="e">
        <f>AF160</f>
        <v>#VALUE!</v>
      </c>
      <c r="X160" s="244" t="e">
        <f t="shared" ref="X160:X180" si="78">AG160</f>
        <v>#VALUE!</v>
      </c>
      <c r="Y160" s="243">
        <f>スコア入力!AA160</f>
        <v>0.33333333333333337</v>
      </c>
      <c r="Z160" s="243">
        <f>スコア入力!AB160</f>
        <v>0.33333333333333331</v>
      </c>
      <c r="AA160" s="244">
        <f t="shared" si="71"/>
        <v>0</v>
      </c>
      <c r="AB160" s="244">
        <f t="shared" si="72"/>
        <v>0</v>
      </c>
      <c r="AC160" s="243">
        <f>スコア入力!AH160</f>
        <v>0</v>
      </c>
      <c r="AD160" s="243">
        <f>スコア入力!AI160</f>
        <v>0</v>
      </c>
      <c r="AE160" s="6"/>
      <c r="AF160" s="2305" t="e">
        <f>IF(スコア入力!L124="",CO2計算_前!L139,CO2計算_対象外!L139)</f>
        <v>#VALUE!</v>
      </c>
      <c r="AG160" s="669" t="e">
        <f>IF(スコア入力!L124="",CO2計算_後!L139,CO2計算_対象外!L139)</f>
        <v>#VALUE!</v>
      </c>
      <c r="AH160" s="670" t="e">
        <f>スコア入力!AC160</f>
        <v>#VALUE!</v>
      </c>
      <c r="AI160" s="671" t="e">
        <f>スコア入力!AE160</f>
        <v>#VALUE!</v>
      </c>
      <c r="AJ160" s="658">
        <f>スコア入力!U160</f>
        <v>0</v>
      </c>
      <c r="AK160" s="658">
        <f>スコア入力!W160</f>
        <v>0</v>
      </c>
      <c r="AL160" s="670">
        <f>スコア入力!AJ160</f>
        <v>0</v>
      </c>
      <c r="AM160" s="671">
        <f>スコア入力!AL160</f>
        <v>0</v>
      </c>
      <c r="AN160" s="668" t="e">
        <f>IF(AJ160=0,AF160,IF(AF160=0,AJ160,AF160*AH$6+AJ160*AL$6))</f>
        <v>#VALUE!</v>
      </c>
      <c r="AO160" s="668" t="e">
        <f>IF(AK160=0,AG160,IF(AG160=0,AK160,AG160*AI$6+AK160*AM$6))</f>
        <v>#VALUE!</v>
      </c>
    </row>
    <row r="161" spans="1:41" ht="14.25" thickBot="1">
      <c r="A161" s="406"/>
      <c r="B161" s="672">
        <v>2</v>
      </c>
      <c r="C161" s="414" t="s">
        <v>720</v>
      </c>
      <c r="D161" s="414"/>
      <c r="E161" s="414"/>
      <c r="F161" s="608"/>
      <c r="G161" s="608"/>
      <c r="H161" s="2919"/>
      <c r="I161" s="2920"/>
      <c r="J161" s="2920"/>
      <c r="K161" s="2920"/>
      <c r="L161" s="661">
        <f t="shared" si="74"/>
        <v>3</v>
      </c>
      <c r="M161" s="661">
        <f t="shared" si="75"/>
        <v>3</v>
      </c>
      <c r="N161" s="599" t="e">
        <f>スコア入力!AC161</f>
        <v>#VALUE!</v>
      </c>
      <c r="O161" s="599" t="e">
        <f>スコア入力!AE161</f>
        <v>#VALUE!</v>
      </c>
      <c r="P161" s="661">
        <f t="shared" si="76"/>
        <v>0</v>
      </c>
      <c r="Q161" s="661">
        <f t="shared" si="77"/>
        <v>0</v>
      </c>
      <c r="R161" s="599"/>
      <c r="S161" s="602"/>
      <c r="T161" s="601">
        <f t="shared" si="73"/>
        <v>3</v>
      </c>
      <c r="U161" s="601">
        <f t="shared" si="73"/>
        <v>3</v>
      </c>
      <c r="W161" s="605">
        <f t="shared" ref="W161:W180" si="79">AF161</f>
        <v>3</v>
      </c>
      <c r="X161" s="605">
        <f t="shared" si="78"/>
        <v>3</v>
      </c>
      <c r="Y161" s="243">
        <f>スコア入力!AA161</f>
        <v>0.33333333333333337</v>
      </c>
      <c r="Z161" s="243">
        <f>スコア入力!AB161</f>
        <v>0.3333333333333332</v>
      </c>
      <c r="AA161" s="605">
        <f t="shared" si="71"/>
        <v>0</v>
      </c>
      <c r="AB161" s="605">
        <f t="shared" si="72"/>
        <v>0</v>
      </c>
      <c r="AC161" s="243">
        <f>スコア入力!AH161</f>
        <v>0</v>
      </c>
      <c r="AD161" s="243">
        <f>スコア入力!AI161</f>
        <v>0</v>
      </c>
      <c r="AE161" s="6"/>
      <c r="AF161" s="595">
        <f>SUMPRODUCT(AF162:AF164,AH162:AH164)</f>
        <v>3</v>
      </c>
      <c r="AG161" s="604">
        <f>SUMPRODUCT(AG162:AG164,AI162:AI164)</f>
        <v>3</v>
      </c>
      <c r="AH161" s="599" t="e">
        <f>スコア入力!AC161</f>
        <v>#VALUE!</v>
      </c>
      <c r="AI161" s="602" t="e">
        <f>スコア入力!AE161</f>
        <v>#VALUE!</v>
      </c>
      <c r="AJ161" s="595">
        <f>SUMPRODUCT(AJ162:AJ164,AL162:AL164)</f>
        <v>0</v>
      </c>
      <c r="AK161" s="604">
        <f>SUMPRODUCT(AK162:AK164,AM162:AM164)</f>
        <v>0</v>
      </c>
      <c r="AL161" s="599">
        <f>スコア入力!AJ161</f>
        <v>0</v>
      </c>
      <c r="AM161" s="602">
        <f>スコア入力!AL161</f>
        <v>0</v>
      </c>
      <c r="AN161" s="601">
        <f>IF(AJ161=0,AF161,IF(AF161=0,AJ161,AF161*AH$6+AJ161*AL$6))</f>
        <v>3</v>
      </c>
      <c r="AO161" s="601">
        <f>IF(AK161=0,AG161,IF(AG161=0,AK161,AG161*AI$6+AK161*AM$6))</f>
        <v>3</v>
      </c>
    </row>
    <row r="162" spans="1:41" ht="13.5">
      <c r="A162" s="406"/>
      <c r="B162" s="485"/>
      <c r="C162" s="418">
        <v>2.1</v>
      </c>
      <c r="D162" s="399" t="s">
        <v>723</v>
      </c>
      <c r="E162" s="419"/>
      <c r="F162" s="327"/>
      <c r="G162" s="327"/>
      <c r="H162" s="2910"/>
      <c r="I162" s="2911"/>
      <c r="J162" s="2911"/>
      <c r="K162" s="2911"/>
      <c r="L162" s="463">
        <f t="shared" si="74"/>
        <v>3</v>
      </c>
      <c r="M162" s="463">
        <f t="shared" si="75"/>
        <v>3</v>
      </c>
      <c r="N162" s="657">
        <f>スコア入力!AC162</f>
        <v>0.25</v>
      </c>
      <c r="O162" s="591">
        <f>スコア入力!AE162</f>
        <v>0.25</v>
      </c>
      <c r="P162" s="463">
        <f t="shared" si="76"/>
        <v>0</v>
      </c>
      <c r="Q162" s="463">
        <f t="shared" si="77"/>
        <v>0</v>
      </c>
      <c r="R162" s="657">
        <f>スコア入力!AJ162</f>
        <v>0</v>
      </c>
      <c r="S162" s="591">
        <f>スコア入力!AL162</f>
        <v>0</v>
      </c>
      <c r="T162" s="586"/>
      <c r="U162" s="586"/>
      <c r="W162" s="244">
        <f t="shared" si="79"/>
        <v>3</v>
      </c>
      <c r="X162" s="244">
        <f t="shared" si="78"/>
        <v>3</v>
      </c>
      <c r="Y162" s="243">
        <f>スコア入力!AA162</f>
        <v>0.25000000000000006</v>
      </c>
      <c r="Z162" s="243">
        <f>スコア入力!AB162</f>
        <v>0.25000000000000011</v>
      </c>
      <c r="AA162" s="244">
        <f t="shared" si="71"/>
        <v>0</v>
      </c>
      <c r="AB162" s="244">
        <f t="shared" si="72"/>
        <v>0</v>
      </c>
      <c r="AC162" s="243">
        <f>スコア入力!AH162</f>
        <v>0</v>
      </c>
      <c r="AD162" s="243">
        <f>スコア入力!AI162</f>
        <v>0</v>
      </c>
      <c r="AE162" s="6"/>
      <c r="AF162" s="637">
        <f>スコア入力!N162</f>
        <v>3</v>
      </c>
      <c r="AG162" s="637">
        <f>スコア入力!P162</f>
        <v>3</v>
      </c>
      <c r="AH162" s="603">
        <f>スコア入力!AC162</f>
        <v>0.25</v>
      </c>
      <c r="AI162" s="603">
        <f>スコア入力!AE162</f>
        <v>0.25</v>
      </c>
      <c r="AJ162" s="637">
        <f>スコア入力!U162</f>
        <v>0</v>
      </c>
      <c r="AK162" s="637">
        <f>スコア入力!W162</f>
        <v>0</v>
      </c>
      <c r="AL162" s="603">
        <f>スコア入力!AJ162</f>
        <v>0</v>
      </c>
      <c r="AM162" s="603">
        <f>スコア入力!AL162</f>
        <v>0</v>
      </c>
      <c r="AN162" s="589"/>
      <c r="AO162" s="589"/>
    </row>
    <row r="163" spans="1:41" ht="14.25" thickBot="1">
      <c r="A163" s="406"/>
      <c r="B163" s="485"/>
      <c r="C163" s="418">
        <v>2.2000000000000002</v>
      </c>
      <c r="D163" s="399" t="s">
        <v>724</v>
      </c>
      <c r="E163" s="419"/>
      <c r="F163" s="327"/>
      <c r="G163" s="327"/>
      <c r="H163" s="2900"/>
      <c r="I163" s="2901"/>
      <c r="J163" s="2901"/>
      <c r="K163" s="2901"/>
      <c r="L163" s="465">
        <f t="shared" si="74"/>
        <v>3</v>
      </c>
      <c r="M163" s="465">
        <f t="shared" si="75"/>
        <v>3</v>
      </c>
      <c r="N163" s="657">
        <f>スコア入力!AC163</f>
        <v>0.5</v>
      </c>
      <c r="O163" s="591">
        <f>スコア入力!AE163</f>
        <v>0.5</v>
      </c>
      <c r="P163" s="465">
        <f t="shared" si="76"/>
        <v>0</v>
      </c>
      <c r="Q163" s="465">
        <f t="shared" si="77"/>
        <v>0</v>
      </c>
      <c r="R163" s="657">
        <f>スコア入力!AJ163</f>
        <v>0</v>
      </c>
      <c r="S163" s="591">
        <f>スコア入力!AL163</f>
        <v>0</v>
      </c>
      <c r="T163" s="586"/>
      <c r="U163" s="586"/>
      <c r="W163" s="244">
        <f t="shared" si="79"/>
        <v>3</v>
      </c>
      <c r="X163" s="244">
        <f t="shared" si="78"/>
        <v>3</v>
      </c>
      <c r="Y163" s="243">
        <f>スコア入力!AA163</f>
        <v>0.50000000000000011</v>
      </c>
      <c r="Z163" s="243">
        <f>スコア入力!AB163</f>
        <v>0.50000000000000022</v>
      </c>
      <c r="AA163" s="244">
        <f t="shared" si="71"/>
        <v>0</v>
      </c>
      <c r="AB163" s="244">
        <f t="shared" si="72"/>
        <v>0</v>
      </c>
      <c r="AC163" s="243">
        <f>スコア入力!AH163</f>
        <v>0</v>
      </c>
      <c r="AD163" s="243">
        <f>スコア入力!AI163</f>
        <v>0</v>
      </c>
      <c r="AE163" s="6"/>
      <c r="AF163" s="607">
        <f>スコア入力!N163</f>
        <v>3</v>
      </c>
      <c r="AG163" s="607">
        <f>スコア入力!P163</f>
        <v>3</v>
      </c>
      <c r="AH163" s="585">
        <f>スコア入力!AC163</f>
        <v>0.5</v>
      </c>
      <c r="AI163" s="585">
        <f>スコア入力!AE163</f>
        <v>0.5</v>
      </c>
      <c r="AJ163" s="607">
        <f>スコア入力!U163</f>
        <v>0</v>
      </c>
      <c r="AK163" s="607">
        <f>スコア入力!W163</f>
        <v>0</v>
      </c>
      <c r="AL163" s="585">
        <f>スコア入力!AJ163</f>
        <v>0</v>
      </c>
      <c r="AM163" s="585">
        <f>スコア入力!AL163</f>
        <v>0</v>
      </c>
      <c r="AN163" s="586"/>
      <c r="AO163" s="586"/>
    </row>
    <row r="164" spans="1:41" ht="14.25" thickBot="1">
      <c r="A164" s="406"/>
      <c r="B164" s="485"/>
      <c r="C164" s="664">
        <v>2.2999999999999998</v>
      </c>
      <c r="D164" s="399" t="s">
        <v>725</v>
      </c>
      <c r="E164" s="419"/>
      <c r="F164" s="327"/>
      <c r="G164" s="327"/>
      <c r="H164" s="2900"/>
      <c r="I164" s="2901"/>
      <c r="J164" s="2901"/>
      <c r="K164" s="2901"/>
      <c r="L164" s="661">
        <f t="shared" si="74"/>
        <v>3</v>
      </c>
      <c r="M164" s="661">
        <f t="shared" si="75"/>
        <v>3</v>
      </c>
      <c r="N164" s="585">
        <f>スコア入力!AC164</f>
        <v>0.25</v>
      </c>
      <c r="O164" s="585">
        <f>スコア入力!AE164</f>
        <v>0.25</v>
      </c>
      <c r="P164" s="661">
        <f t="shared" si="76"/>
        <v>0</v>
      </c>
      <c r="Q164" s="661">
        <f t="shared" si="77"/>
        <v>0</v>
      </c>
      <c r="R164" s="585">
        <f>スコア入力!AJ164</f>
        <v>0</v>
      </c>
      <c r="S164" s="591">
        <f>スコア入力!AL164</f>
        <v>0</v>
      </c>
      <c r="T164" s="586"/>
      <c r="U164" s="586"/>
      <c r="W164" s="575">
        <f t="shared" si="79"/>
        <v>3</v>
      </c>
      <c r="X164" s="575">
        <f t="shared" si="78"/>
        <v>3</v>
      </c>
      <c r="Y164" s="243">
        <f>スコア入力!AA164</f>
        <v>0.25000000000000006</v>
      </c>
      <c r="Z164" s="243">
        <f>スコア入力!AB164</f>
        <v>0.25000000000000011</v>
      </c>
      <c r="AA164" s="575">
        <f t="shared" si="71"/>
        <v>0</v>
      </c>
      <c r="AB164" s="575">
        <f t="shared" si="72"/>
        <v>0</v>
      </c>
      <c r="AC164" s="243">
        <f>スコア入力!AH164</f>
        <v>0</v>
      </c>
      <c r="AD164" s="243">
        <f>スコア入力!AI164</f>
        <v>0</v>
      </c>
      <c r="AE164" s="6"/>
      <c r="AF164" s="595">
        <f>SUMPRODUCT(AF165:AF168,AH165:AH168)</f>
        <v>3</v>
      </c>
      <c r="AG164" s="604">
        <f>SUMPRODUCT(AG165:AG168,AI165:AI168)</f>
        <v>3</v>
      </c>
      <c r="AH164" s="585">
        <f>スコア入力!AC164</f>
        <v>0.25</v>
      </c>
      <c r="AI164" s="585">
        <f>スコア入力!AE164</f>
        <v>0.25</v>
      </c>
      <c r="AJ164" s="595">
        <f>SUMPRODUCT(AJ165:AJ168,AL165:AL168)</f>
        <v>0</v>
      </c>
      <c r="AK164" s="604">
        <f>SUMPRODUCT(AK165:AK168,AM165:AM168)</f>
        <v>0</v>
      </c>
      <c r="AL164" s="585">
        <f>スコア入力!AJ164</f>
        <v>0</v>
      </c>
      <c r="AM164" s="585">
        <f>スコア入力!AL164</f>
        <v>0</v>
      </c>
      <c r="AN164" s="586"/>
      <c r="AO164" s="586"/>
    </row>
    <row r="165" spans="1:41" ht="13.5">
      <c r="A165" s="406"/>
      <c r="B165" s="495"/>
      <c r="C165" s="673"/>
      <c r="D165" s="304">
        <v>1</v>
      </c>
      <c r="E165" s="324" t="s">
        <v>728</v>
      </c>
      <c r="F165" s="327"/>
      <c r="G165" s="327"/>
      <c r="H165" s="2900"/>
      <c r="I165" s="2901"/>
      <c r="J165" s="2901"/>
      <c r="K165" s="2901"/>
      <c r="L165" s="463">
        <f t="shared" si="74"/>
        <v>3</v>
      </c>
      <c r="M165" s="463">
        <f t="shared" si="75"/>
        <v>3</v>
      </c>
      <c r="N165" s="657">
        <f>スコア入力!AC165</f>
        <v>0.25</v>
      </c>
      <c r="O165" s="591">
        <f>スコア入力!AE165</f>
        <v>0.25</v>
      </c>
      <c r="P165" s="463">
        <f t="shared" si="76"/>
        <v>0</v>
      </c>
      <c r="Q165" s="463">
        <f t="shared" si="77"/>
        <v>0</v>
      </c>
      <c r="R165" s="657">
        <f>スコア入力!AJ165</f>
        <v>0</v>
      </c>
      <c r="S165" s="591">
        <f>スコア入力!AL165</f>
        <v>0</v>
      </c>
      <c r="T165" s="586"/>
      <c r="U165" s="674"/>
      <c r="W165" s="244">
        <f t="shared" si="79"/>
        <v>3</v>
      </c>
      <c r="X165" s="244">
        <f t="shared" si="78"/>
        <v>3</v>
      </c>
      <c r="Y165" s="243">
        <f>スコア入力!AA165</f>
        <v>0.25000000000000006</v>
      </c>
      <c r="Z165" s="243">
        <f>スコア入力!AB165</f>
        <v>0.25</v>
      </c>
      <c r="AA165" s="244">
        <f t="shared" si="71"/>
        <v>0</v>
      </c>
      <c r="AB165" s="244">
        <f t="shared" si="72"/>
        <v>0</v>
      </c>
      <c r="AC165" s="243">
        <f>スコア入力!AH165</f>
        <v>0</v>
      </c>
      <c r="AD165" s="243">
        <f>スコア入力!AI165</f>
        <v>0</v>
      </c>
      <c r="AE165" s="6"/>
      <c r="AF165" s="637">
        <f>スコア入力!N165</f>
        <v>3</v>
      </c>
      <c r="AG165" s="637">
        <f>スコア入力!P165</f>
        <v>3</v>
      </c>
      <c r="AH165" s="591">
        <f>スコア入力!AC165</f>
        <v>0.25</v>
      </c>
      <c r="AI165" s="591">
        <f>スコア入力!AE165</f>
        <v>0.25</v>
      </c>
      <c r="AJ165" s="637">
        <f>スコア入力!U165</f>
        <v>0</v>
      </c>
      <c r="AK165" s="637">
        <f>スコア入力!W165</f>
        <v>0</v>
      </c>
      <c r="AL165" s="591">
        <f>スコア入力!AJ165</f>
        <v>0</v>
      </c>
      <c r="AM165" s="591">
        <f>スコア入力!AL165</f>
        <v>0</v>
      </c>
      <c r="AN165" s="586"/>
      <c r="AO165" s="674"/>
    </row>
    <row r="166" spans="1:41" ht="13.5">
      <c r="A166" s="406"/>
      <c r="B166" s="495"/>
      <c r="C166" s="303"/>
      <c r="D166" s="304">
        <v>2</v>
      </c>
      <c r="E166" s="324" t="s">
        <v>729</v>
      </c>
      <c r="F166" s="327"/>
      <c r="G166" s="327"/>
      <c r="H166" s="2900"/>
      <c r="I166" s="2901"/>
      <c r="J166" s="2901"/>
      <c r="K166" s="2901"/>
      <c r="L166" s="464">
        <f t="shared" si="74"/>
        <v>3</v>
      </c>
      <c r="M166" s="464">
        <f t="shared" si="75"/>
        <v>3</v>
      </c>
      <c r="N166" s="657">
        <f>スコア入力!AC166</f>
        <v>0.25</v>
      </c>
      <c r="O166" s="591">
        <f>スコア入力!AE166</f>
        <v>0.25</v>
      </c>
      <c r="P166" s="464">
        <f t="shared" si="76"/>
        <v>0</v>
      </c>
      <c r="Q166" s="464">
        <f t="shared" si="77"/>
        <v>0</v>
      </c>
      <c r="R166" s="657">
        <f>スコア入力!AJ166</f>
        <v>0</v>
      </c>
      <c r="S166" s="591">
        <f>スコア入力!AL166</f>
        <v>0</v>
      </c>
      <c r="T166" s="586"/>
      <c r="U166" s="674"/>
      <c r="W166" s="244">
        <f t="shared" si="79"/>
        <v>3</v>
      </c>
      <c r="X166" s="244">
        <f t="shared" si="78"/>
        <v>3</v>
      </c>
      <c r="Y166" s="243">
        <f>スコア入力!AA166</f>
        <v>0.25000000000000006</v>
      </c>
      <c r="Z166" s="243">
        <f>スコア入力!AB166</f>
        <v>0.25</v>
      </c>
      <c r="AA166" s="244">
        <f t="shared" si="71"/>
        <v>0</v>
      </c>
      <c r="AB166" s="244">
        <f t="shared" si="72"/>
        <v>0</v>
      </c>
      <c r="AC166" s="243">
        <f>スコア入力!AH166</f>
        <v>0</v>
      </c>
      <c r="AD166" s="243">
        <f>スコア入力!AI166</f>
        <v>0</v>
      </c>
      <c r="AE166" s="6"/>
      <c r="AF166" s="656">
        <f>スコア入力!N166</f>
        <v>3</v>
      </c>
      <c r="AG166" s="656">
        <f>スコア入力!P166</f>
        <v>3</v>
      </c>
      <c r="AH166" s="591">
        <f>スコア入力!AC166</f>
        <v>0.25</v>
      </c>
      <c r="AI166" s="591">
        <f>スコア入力!AE166</f>
        <v>0.25</v>
      </c>
      <c r="AJ166" s="656">
        <f>スコア入力!U166</f>
        <v>0</v>
      </c>
      <c r="AK166" s="656">
        <f>スコア入力!W166</f>
        <v>0</v>
      </c>
      <c r="AL166" s="591">
        <f>スコア入力!AJ166</f>
        <v>0</v>
      </c>
      <c r="AM166" s="591">
        <f>スコア入力!AL166</f>
        <v>0</v>
      </c>
      <c r="AN166" s="586"/>
      <c r="AO166" s="674"/>
    </row>
    <row r="167" spans="1:41" ht="13.5">
      <c r="A167" s="406"/>
      <c r="B167" s="347"/>
      <c r="C167" s="303"/>
      <c r="D167" s="304">
        <v>3</v>
      </c>
      <c r="E167" s="324" t="s">
        <v>730</v>
      </c>
      <c r="F167" s="327"/>
      <c r="G167" s="327"/>
      <c r="H167" s="2900"/>
      <c r="I167" s="2901"/>
      <c r="J167" s="2901"/>
      <c r="K167" s="2901"/>
      <c r="L167" s="464">
        <f t="shared" si="74"/>
        <v>3</v>
      </c>
      <c r="M167" s="464">
        <f t="shared" si="75"/>
        <v>3</v>
      </c>
      <c r="N167" s="657">
        <f>スコア入力!AC167</f>
        <v>0.25</v>
      </c>
      <c r="O167" s="591">
        <f>スコア入力!AE167</f>
        <v>0.25</v>
      </c>
      <c r="P167" s="464">
        <f t="shared" si="76"/>
        <v>0</v>
      </c>
      <c r="Q167" s="464">
        <f t="shared" si="77"/>
        <v>0</v>
      </c>
      <c r="R167" s="657">
        <f>スコア入力!AJ167</f>
        <v>0</v>
      </c>
      <c r="S167" s="591">
        <f>スコア入力!AL167</f>
        <v>0</v>
      </c>
      <c r="T167" s="586"/>
      <c r="U167" s="674"/>
      <c r="W167" s="244">
        <f t="shared" si="79"/>
        <v>3</v>
      </c>
      <c r="X167" s="244">
        <f t="shared" si="78"/>
        <v>3</v>
      </c>
      <c r="Y167" s="243">
        <f>スコア入力!AA167</f>
        <v>0.25000000000000006</v>
      </c>
      <c r="Z167" s="243">
        <f>スコア入力!AB167</f>
        <v>0.25</v>
      </c>
      <c r="AA167" s="244">
        <f t="shared" si="71"/>
        <v>0</v>
      </c>
      <c r="AB167" s="244">
        <f t="shared" si="72"/>
        <v>0</v>
      </c>
      <c r="AC167" s="243">
        <f>スコア入力!AH167</f>
        <v>0</v>
      </c>
      <c r="AD167" s="243">
        <f>スコア入力!AI167</f>
        <v>0</v>
      </c>
      <c r="AE167" s="6"/>
      <c r="AF167" s="656">
        <f>スコア入力!N167</f>
        <v>3</v>
      </c>
      <c r="AG167" s="656">
        <f>スコア入力!P167</f>
        <v>3</v>
      </c>
      <c r="AH167" s="591">
        <f>スコア入力!AC167</f>
        <v>0.25</v>
      </c>
      <c r="AI167" s="591">
        <f>スコア入力!AE167</f>
        <v>0.25</v>
      </c>
      <c r="AJ167" s="656">
        <f>スコア入力!U167</f>
        <v>0</v>
      </c>
      <c r="AK167" s="656">
        <f>スコア入力!W167</f>
        <v>0</v>
      </c>
      <c r="AL167" s="591">
        <f>スコア入力!AJ167</f>
        <v>0</v>
      </c>
      <c r="AM167" s="591">
        <f>スコア入力!AL167</f>
        <v>0</v>
      </c>
      <c r="AN167" s="586"/>
      <c r="AO167" s="674"/>
    </row>
    <row r="168" spans="1:41" ht="14.25" thickBot="1">
      <c r="A168" s="406"/>
      <c r="B168" s="484"/>
      <c r="C168" s="303"/>
      <c r="D168" s="304">
        <v>4</v>
      </c>
      <c r="E168" s="324" t="s">
        <v>731</v>
      </c>
      <c r="F168" s="327"/>
      <c r="G168" s="327"/>
      <c r="H168" s="2900"/>
      <c r="I168" s="2901"/>
      <c r="J168" s="2901"/>
      <c r="K168" s="2901"/>
      <c r="L168" s="465">
        <f t="shared" si="74"/>
        <v>3</v>
      </c>
      <c r="M168" s="465">
        <f t="shared" si="75"/>
        <v>3</v>
      </c>
      <c r="N168" s="657">
        <f>スコア入力!AC168</f>
        <v>0.25</v>
      </c>
      <c r="O168" s="591">
        <f>スコア入力!AE168</f>
        <v>0.25</v>
      </c>
      <c r="P168" s="465">
        <f t="shared" si="76"/>
        <v>0</v>
      </c>
      <c r="Q168" s="465">
        <f t="shared" si="77"/>
        <v>0</v>
      </c>
      <c r="R168" s="657">
        <f>スコア入力!AJ168</f>
        <v>0</v>
      </c>
      <c r="S168" s="591">
        <f>スコア入力!AL168</f>
        <v>0</v>
      </c>
      <c r="T168" s="586"/>
      <c r="U168" s="674"/>
      <c r="W168" s="244">
        <f t="shared" si="79"/>
        <v>3</v>
      </c>
      <c r="X168" s="244">
        <f t="shared" si="78"/>
        <v>3</v>
      </c>
      <c r="Y168" s="243">
        <f>スコア入力!AA168</f>
        <v>0.25000000000000006</v>
      </c>
      <c r="Z168" s="243">
        <f>スコア入力!AB168</f>
        <v>0.25</v>
      </c>
      <c r="AA168" s="244">
        <f t="shared" si="71"/>
        <v>0</v>
      </c>
      <c r="AB168" s="244">
        <f t="shared" si="72"/>
        <v>0</v>
      </c>
      <c r="AC168" s="243">
        <f>スコア入力!AH168</f>
        <v>0</v>
      </c>
      <c r="AD168" s="243">
        <f>スコア入力!AI168</f>
        <v>0</v>
      </c>
      <c r="AE168" s="6"/>
      <c r="AF168" s="607">
        <f>スコア入力!N168</f>
        <v>3</v>
      </c>
      <c r="AG168" s="607">
        <f>スコア入力!P168</f>
        <v>3</v>
      </c>
      <c r="AH168" s="610">
        <f>スコア入力!AC168</f>
        <v>0.25</v>
      </c>
      <c r="AI168" s="610">
        <f>スコア入力!AE168</f>
        <v>0.25</v>
      </c>
      <c r="AJ168" s="607">
        <f>スコア入力!U168</f>
        <v>0</v>
      </c>
      <c r="AK168" s="607">
        <f>スコア入力!W168</f>
        <v>0</v>
      </c>
      <c r="AL168" s="610">
        <f>スコア入力!AJ168</f>
        <v>0</v>
      </c>
      <c r="AM168" s="610">
        <f>スコア入力!AL168</f>
        <v>0</v>
      </c>
      <c r="AN168" s="611"/>
      <c r="AO168" s="675"/>
    </row>
    <row r="169" spans="1:41" ht="13.5">
      <c r="A169" s="406"/>
      <c r="B169" s="659">
        <v>3</v>
      </c>
      <c r="C169" s="326" t="s">
        <v>732</v>
      </c>
      <c r="D169" s="285"/>
      <c r="E169" s="285"/>
      <c r="F169" s="584"/>
      <c r="G169" s="584"/>
      <c r="H169" s="2919"/>
      <c r="I169" s="2920"/>
      <c r="J169" s="2920"/>
      <c r="K169" s="2920"/>
      <c r="L169" s="676">
        <f t="shared" si="74"/>
        <v>3</v>
      </c>
      <c r="M169" s="676">
        <f t="shared" si="75"/>
        <v>3</v>
      </c>
      <c r="N169" s="599">
        <f>スコア入力!AC170</f>
        <v>0.39999999999999997</v>
      </c>
      <c r="O169" s="599">
        <f>スコア入力!AE170</f>
        <v>0.40000000000000008</v>
      </c>
      <c r="P169" s="676">
        <f t="shared" si="76"/>
        <v>0</v>
      </c>
      <c r="Q169" s="676">
        <f t="shared" si="77"/>
        <v>0</v>
      </c>
      <c r="R169" s="599"/>
      <c r="S169" s="602"/>
      <c r="T169" s="601">
        <f>ROUNDDOWN(AN169,1)</f>
        <v>3</v>
      </c>
      <c r="U169" s="601">
        <f>ROUNDDOWN(AO169,1)</f>
        <v>3</v>
      </c>
      <c r="W169" s="575">
        <f t="shared" si="79"/>
        <v>3</v>
      </c>
      <c r="X169" s="575">
        <f t="shared" si="78"/>
        <v>3.0000000000000004</v>
      </c>
      <c r="Y169" s="243">
        <f>スコア入力!AA169</f>
        <v>0.33333333333333337</v>
      </c>
      <c r="Z169" s="243">
        <f>スコア入力!AB169</f>
        <v>0.33333333333333348</v>
      </c>
      <c r="AA169" s="575">
        <f t="shared" si="71"/>
        <v>0</v>
      </c>
      <c r="AB169" s="575">
        <f t="shared" si="72"/>
        <v>0</v>
      </c>
      <c r="AC169" s="243">
        <f>スコア入力!AH169</f>
        <v>0</v>
      </c>
      <c r="AD169" s="243">
        <f>スコア入力!AI169</f>
        <v>0</v>
      </c>
      <c r="AE169" s="6"/>
      <c r="AF169" s="677">
        <f>AF170*AH170+AF174*AH174+AF178*AH178</f>
        <v>3</v>
      </c>
      <c r="AG169" s="597">
        <f>AG170*AI170+AG174*AI174+AG178*AI178</f>
        <v>3.0000000000000004</v>
      </c>
      <c r="AH169" s="678" t="e">
        <f>スコア入力!AC169</f>
        <v>#VALUE!</v>
      </c>
      <c r="AI169" s="678" t="e">
        <f>スコア入力!AE169</f>
        <v>#VALUE!</v>
      </c>
      <c r="AJ169" s="677">
        <f>AJ170*AL170+AJ174*AL174+AJ178*AL178</f>
        <v>0</v>
      </c>
      <c r="AK169" s="597">
        <f>AK170*AM170+AK174*AM174+AK178*AM178</f>
        <v>0</v>
      </c>
      <c r="AL169" s="678">
        <f>スコア入力!AJ169</f>
        <v>0</v>
      </c>
      <c r="AM169" s="678">
        <f>スコア入力!AL169</f>
        <v>0</v>
      </c>
      <c r="AN169" s="679">
        <f>IF(AJ169=0,AF169,IF(AF169=0,AJ169,AF169*AH$6+AJ169*AL$6))</f>
        <v>3</v>
      </c>
      <c r="AO169" s="679">
        <f>IF(AK169=0,AG169,IF(AG169=0,AK169,AG169*AI$6+AK169*AM$6))</f>
        <v>3.0000000000000004</v>
      </c>
    </row>
    <row r="170" spans="1:41" ht="14.25" thickBot="1">
      <c r="A170" s="406"/>
      <c r="B170" s="500"/>
      <c r="C170" s="664">
        <v>3.1</v>
      </c>
      <c r="D170" s="399" t="s">
        <v>733</v>
      </c>
      <c r="E170" s="419"/>
      <c r="F170" s="327"/>
      <c r="G170" s="327"/>
      <c r="H170" s="2900"/>
      <c r="I170" s="2901"/>
      <c r="J170" s="2901"/>
      <c r="K170" s="2901"/>
      <c r="L170" s="661">
        <f t="shared" si="74"/>
        <v>3</v>
      </c>
      <c r="M170" s="661">
        <f t="shared" si="75"/>
        <v>3</v>
      </c>
      <c r="N170" s="585">
        <f>スコア入力!AC171</f>
        <v>0.33333333333333337</v>
      </c>
      <c r="O170" s="585">
        <f>スコア入力!AE171</f>
        <v>0.33333333333333331</v>
      </c>
      <c r="P170" s="661">
        <f t="shared" si="76"/>
        <v>0</v>
      </c>
      <c r="Q170" s="661">
        <f t="shared" si="77"/>
        <v>0</v>
      </c>
      <c r="R170" s="585">
        <f>スコア入力!AJ171</f>
        <v>0</v>
      </c>
      <c r="S170" s="591">
        <f>スコア入力!AL171</f>
        <v>0</v>
      </c>
      <c r="T170" s="586"/>
      <c r="U170" s="586"/>
      <c r="W170" s="575">
        <f t="shared" si="79"/>
        <v>3</v>
      </c>
      <c r="X170" s="575">
        <f t="shared" si="78"/>
        <v>3</v>
      </c>
      <c r="Y170" s="243">
        <f>スコア入力!AA170</f>
        <v>0.40000000000000008</v>
      </c>
      <c r="Z170" s="243">
        <f>スコア入力!AB170</f>
        <v>0.4</v>
      </c>
      <c r="AA170" s="575">
        <f t="shared" si="71"/>
        <v>0</v>
      </c>
      <c r="AB170" s="575">
        <f t="shared" si="72"/>
        <v>0</v>
      </c>
      <c r="AC170" s="243">
        <f>スコア入力!AH170</f>
        <v>0</v>
      </c>
      <c r="AD170" s="243">
        <f>スコア入力!AI170</f>
        <v>0</v>
      </c>
      <c r="AE170" s="6"/>
      <c r="AF170" s="604">
        <f>SUMPRODUCT(AF171:AF173,AH171:AH173)</f>
        <v>3</v>
      </c>
      <c r="AG170" s="604">
        <f>SUMPRODUCT(AG171:AG173,AI171:AI173)</f>
        <v>3</v>
      </c>
      <c r="AH170" s="603">
        <f>スコア入力!AC170</f>
        <v>0.39999999999999997</v>
      </c>
      <c r="AI170" s="603">
        <f>スコア入力!AE170</f>
        <v>0.40000000000000008</v>
      </c>
      <c r="AJ170" s="604">
        <f>SUMPRODUCT(AJ171:AJ173,AL171:AL173)</f>
        <v>0</v>
      </c>
      <c r="AK170" s="604">
        <f>SUMPRODUCT(AK171:AK173,AM171:AM173)</f>
        <v>0</v>
      </c>
      <c r="AL170" s="603">
        <f>スコア入力!AJ170</f>
        <v>0</v>
      </c>
      <c r="AM170" s="603">
        <f>スコア入力!AL170</f>
        <v>0</v>
      </c>
      <c r="AN170" s="586"/>
      <c r="AO170" s="586"/>
    </row>
    <row r="171" spans="1:41" ht="13.5">
      <c r="A171" s="406"/>
      <c r="B171" s="495"/>
      <c r="C171" s="673"/>
      <c r="D171" s="304">
        <v>1</v>
      </c>
      <c r="E171" s="324" t="s">
        <v>734</v>
      </c>
      <c r="F171" s="327"/>
      <c r="G171" s="327"/>
      <c r="H171" s="2900"/>
      <c r="I171" s="2901"/>
      <c r="J171" s="2901"/>
      <c r="K171" s="2901"/>
      <c r="L171" s="463">
        <f t="shared" si="74"/>
        <v>3</v>
      </c>
      <c r="M171" s="463">
        <f t="shared" si="75"/>
        <v>3</v>
      </c>
      <c r="N171" s="657">
        <f>スコア入力!AC171</f>
        <v>0.33333333333333337</v>
      </c>
      <c r="O171" s="591">
        <f>スコア入力!AE171</f>
        <v>0.33333333333333331</v>
      </c>
      <c r="P171" s="463">
        <f t="shared" si="76"/>
        <v>0</v>
      </c>
      <c r="Q171" s="463">
        <f t="shared" si="77"/>
        <v>0</v>
      </c>
      <c r="R171" s="657">
        <f>スコア入力!AJ171</f>
        <v>0</v>
      </c>
      <c r="S171" s="591">
        <f>スコア入力!AL171</f>
        <v>0</v>
      </c>
      <c r="T171" s="586"/>
      <c r="U171" s="586"/>
      <c r="W171" s="244">
        <f t="shared" si="79"/>
        <v>3</v>
      </c>
      <c r="X171" s="244">
        <f t="shared" si="78"/>
        <v>3</v>
      </c>
      <c r="Y171" s="243">
        <f>スコア入力!AA171</f>
        <v>0.33333333333333337</v>
      </c>
      <c r="Z171" s="243">
        <f>スコア入力!AB171</f>
        <v>0.33333333333333331</v>
      </c>
      <c r="AA171" s="244">
        <f t="shared" si="71"/>
        <v>0</v>
      </c>
      <c r="AB171" s="244">
        <f t="shared" si="72"/>
        <v>0</v>
      </c>
      <c r="AC171" s="243">
        <f>スコア入力!AH171</f>
        <v>0</v>
      </c>
      <c r="AD171" s="243">
        <f>スコア入力!AI171</f>
        <v>0</v>
      </c>
      <c r="AE171" s="6"/>
      <c r="AF171" s="637">
        <f>スコア入力!N171</f>
        <v>3</v>
      </c>
      <c r="AG171" s="637">
        <f>スコア入力!P171</f>
        <v>3</v>
      </c>
      <c r="AH171" s="585">
        <f>スコア入力!AC171</f>
        <v>0.33333333333333337</v>
      </c>
      <c r="AI171" s="585">
        <f>スコア入力!AE171</f>
        <v>0.33333333333333331</v>
      </c>
      <c r="AJ171" s="637">
        <f>スコア入力!U171</f>
        <v>0</v>
      </c>
      <c r="AK171" s="637">
        <f>スコア入力!W171</f>
        <v>0</v>
      </c>
      <c r="AL171" s="585">
        <f>スコア入力!AJ171</f>
        <v>0</v>
      </c>
      <c r="AM171" s="585">
        <f>スコア入力!AL171</f>
        <v>0</v>
      </c>
      <c r="AN171" s="586"/>
      <c r="AO171" s="586"/>
    </row>
    <row r="172" spans="1:41" ht="13.5">
      <c r="A172" s="406"/>
      <c r="B172" s="495"/>
      <c r="C172" s="303"/>
      <c r="D172" s="304">
        <v>2</v>
      </c>
      <c r="E172" s="324" t="s">
        <v>735</v>
      </c>
      <c r="F172" s="327"/>
      <c r="G172" s="327"/>
      <c r="H172" s="2900"/>
      <c r="I172" s="2901"/>
      <c r="J172" s="2901"/>
      <c r="K172" s="2901"/>
      <c r="L172" s="464">
        <f t="shared" si="74"/>
        <v>3</v>
      </c>
      <c r="M172" s="464">
        <f t="shared" si="75"/>
        <v>3</v>
      </c>
      <c r="N172" s="657">
        <f>スコア入力!AC172</f>
        <v>0.33333333333333337</v>
      </c>
      <c r="O172" s="591">
        <f>スコア入力!AE172</f>
        <v>0.33333333333333331</v>
      </c>
      <c r="P172" s="464">
        <f t="shared" si="76"/>
        <v>0</v>
      </c>
      <c r="Q172" s="464">
        <f t="shared" si="77"/>
        <v>0</v>
      </c>
      <c r="R172" s="657">
        <f>スコア入力!AJ172</f>
        <v>0</v>
      </c>
      <c r="S172" s="591">
        <f>スコア入力!AL172</f>
        <v>0</v>
      </c>
      <c r="T172" s="586"/>
      <c r="U172" s="586"/>
      <c r="W172" s="244">
        <f t="shared" si="79"/>
        <v>3</v>
      </c>
      <c r="X172" s="244">
        <f t="shared" si="78"/>
        <v>3</v>
      </c>
      <c r="Y172" s="243">
        <f>スコア入力!AA172</f>
        <v>0.33333333333333337</v>
      </c>
      <c r="Z172" s="243">
        <f>スコア入力!AB172</f>
        <v>0.33333333333333331</v>
      </c>
      <c r="AA172" s="244">
        <f t="shared" si="71"/>
        <v>0</v>
      </c>
      <c r="AB172" s="244">
        <f t="shared" si="72"/>
        <v>0</v>
      </c>
      <c r="AC172" s="243">
        <f>スコア入力!AH172</f>
        <v>0</v>
      </c>
      <c r="AD172" s="243">
        <f>スコア入力!AI172</f>
        <v>0</v>
      </c>
      <c r="AE172" s="6"/>
      <c r="AF172" s="656">
        <f>スコア入力!N172</f>
        <v>3</v>
      </c>
      <c r="AG172" s="656">
        <f>スコア入力!P172</f>
        <v>3</v>
      </c>
      <c r="AH172" s="585">
        <f>スコア入力!AC172</f>
        <v>0.33333333333333337</v>
      </c>
      <c r="AI172" s="585">
        <f>スコア入力!AE172</f>
        <v>0.33333333333333331</v>
      </c>
      <c r="AJ172" s="656">
        <f>スコア入力!U172</f>
        <v>0</v>
      </c>
      <c r="AK172" s="656">
        <f>スコア入力!W172</f>
        <v>0</v>
      </c>
      <c r="AL172" s="585">
        <f>スコア入力!AJ172</f>
        <v>0</v>
      </c>
      <c r="AM172" s="585">
        <f>スコア入力!AL172</f>
        <v>0</v>
      </c>
      <c r="AN172" s="586"/>
      <c r="AO172" s="586"/>
    </row>
    <row r="173" spans="1:41" ht="14.25" thickBot="1">
      <c r="A173" s="406"/>
      <c r="B173" s="347"/>
      <c r="C173" s="303"/>
      <c r="D173" s="304">
        <v>3</v>
      </c>
      <c r="E173" s="324" t="s">
        <v>736</v>
      </c>
      <c r="F173" s="327"/>
      <c r="G173" s="327"/>
      <c r="H173" s="2900"/>
      <c r="I173" s="2901"/>
      <c r="J173" s="2901"/>
      <c r="K173" s="2901"/>
      <c r="L173" s="465">
        <f t="shared" si="74"/>
        <v>3</v>
      </c>
      <c r="M173" s="465">
        <f t="shared" si="75"/>
        <v>3</v>
      </c>
      <c r="N173" s="657">
        <f>スコア入力!AC173</f>
        <v>0.33333333333333337</v>
      </c>
      <c r="O173" s="591">
        <f>スコア入力!AE173</f>
        <v>0.33333333333333331</v>
      </c>
      <c r="P173" s="465">
        <f t="shared" si="76"/>
        <v>0</v>
      </c>
      <c r="Q173" s="465">
        <f t="shared" si="77"/>
        <v>0</v>
      </c>
      <c r="R173" s="657">
        <f>スコア入力!AJ173</f>
        <v>0</v>
      </c>
      <c r="S173" s="591">
        <f>スコア入力!AL173</f>
        <v>0</v>
      </c>
      <c r="T173" s="586"/>
      <c r="U173" s="586"/>
      <c r="W173" s="244">
        <f t="shared" si="79"/>
        <v>3</v>
      </c>
      <c r="X173" s="244">
        <f t="shared" si="78"/>
        <v>3</v>
      </c>
      <c r="Y173" s="243">
        <f>スコア入力!AA173</f>
        <v>0.33333333333333337</v>
      </c>
      <c r="Z173" s="243">
        <f>スコア入力!AB173</f>
        <v>0.33333333333333331</v>
      </c>
      <c r="AA173" s="244">
        <f t="shared" si="71"/>
        <v>0</v>
      </c>
      <c r="AB173" s="244">
        <f t="shared" si="72"/>
        <v>0</v>
      </c>
      <c r="AC173" s="243">
        <f>スコア入力!AH173</f>
        <v>0</v>
      </c>
      <c r="AD173" s="243">
        <f>スコア入力!AI173</f>
        <v>0</v>
      </c>
      <c r="AE173" s="6"/>
      <c r="AF173" s="607">
        <f>スコア入力!N173</f>
        <v>3</v>
      </c>
      <c r="AG173" s="607">
        <f>スコア入力!P173</f>
        <v>3</v>
      </c>
      <c r="AH173" s="585">
        <f>スコア入力!AC173</f>
        <v>0.33333333333333337</v>
      </c>
      <c r="AI173" s="585">
        <f>スコア入力!AE173</f>
        <v>0.33333333333333331</v>
      </c>
      <c r="AJ173" s="607">
        <f>スコア入力!U173</f>
        <v>0</v>
      </c>
      <c r="AK173" s="607">
        <f>スコア入力!W173</f>
        <v>0</v>
      </c>
      <c r="AL173" s="585">
        <f>スコア入力!AJ173</f>
        <v>0</v>
      </c>
      <c r="AM173" s="585">
        <f>スコア入力!AL173</f>
        <v>0</v>
      </c>
      <c r="AN173" s="586"/>
      <c r="AO173" s="586"/>
    </row>
    <row r="174" spans="1:41" ht="14.25" thickBot="1">
      <c r="A174" s="406"/>
      <c r="B174" s="500"/>
      <c r="C174" s="664">
        <v>3.2</v>
      </c>
      <c r="D174" s="399" t="s">
        <v>576</v>
      </c>
      <c r="E174" s="414"/>
      <c r="F174" s="327"/>
      <c r="G174" s="327"/>
      <c r="H174" s="2900"/>
      <c r="I174" s="2901"/>
      <c r="J174" s="2901"/>
      <c r="K174" s="2901"/>
      <c r="L174" s="661">
        <f t="shared" si="74"/>
        <v>3</v>
      </c>
      <c r="M174" s="661">
        <f t="shared" si="75"/>
        <v>3</v>
      </c>
      <c r="N174" s="585">
        <f>スコア入力!AC174</f>
        <v>0.39999999999999997</v>
      </c>
      <c r="O174" s="585">
        <f>スコア入力!AE174</f>
        <v>0.39999999999999997</v>
      </c>
      <c r="P174" s="661">
        <f t="shared" si="76"/>
        <v>0</v>
      </c>
      <c r="Q174" s="661">
        <f t="shared" si="77"/>
        <v>0</v>
      </c>
      <c r="R174" s="585">
        <f>スコア入力!AJ174</f>
        <v>0</v>
      </c>
      <c r="S174" s="591">
        <f>スコア入力!AL174</f>
        <v>0</v>
      </c>
      <c r="T174" s="586"/>
      <c r="U174" s="586"/>
      <c r="W174" s="605">
        <f t="shared" si="79"/>
        <v>3</v>
      </c>
      <c r="X174" s="605">
        <f t="shared" si="78"/>
        <v>3</v>
      </c>
      <c r="Y174" s="243">
        <f>スコア入力!AA174</f>
        <v>0.40000000000000008</v>
      </c>
      <c r="Z174" s="243">
        <f>スコア入力!AB174</f>
        <v>0.39999999999999991</v>
      </c>
      <c r="AA174" s="605">
        <f t="shared" si="71"/>
        <v>0</v>
      </c>
      <c r="AB174" s="605">
        <f t="shared" si="72"/>
        <v>0</v>
      </c>
      <c r="AC174" s="243">
        <f>スコア入力!AH174</f>
        <v>0</v>
      </c>
      <c r="AD174" s="243">
        <f>スコア入力!AI174</f>
        <v>0</v>
      </c>
      <c r="AE174" s="6"/>
      <c r="AF174" s="604">
        <f>SUMPRODUCT(AF175:AF177,AH175:AH177)</f>
        <v>3</v>
      </c>
      <c r="AG174" s="604">
        <f>SUMPRODUCT(AG175:AG177,AI175:AI177)</f>
        <v>3</v>
      </c>
      <c r="AH174" s="585">
        <f>スコア入力!AC174</f>
        <v>0.39999999999999997</v>
      </c>
      <c r="AI174" s="585">
        <f>スコア入力!AE174</f>
        <v>0.39999999999999997</v>
      </c>
      <c r="AJ174" s="604">
        <f>SUMPRODUCT(AJ175:AJ177,AL175:AL177)</f>
        <v>0</v>
      </c>
      <c r="AK174" s="604">
        <f>SUMPRODUCT(AK175:AK177,AM175:AM177)</f>
        <v>0</v>
      </c>
      <c r="AL174" s="585">
        <f>スコア入力!AJ174</f>
        <v>0</v>
      </c>
      <c r="AM174" s="585">
        <f>スコア入力!AL174</f>
        <v>0</v>
      </c>
      <c r="AN174" s="586"/>
      <c r="AO174" s="586"/>
    </row>
    <row r="175" spans="1:41" ht="13.5">
      <c r="A175" s="406"/>
      <c r="B175" s="492"/>
      <c r="C175" s="673"/>
      <c r="D175" s="304">
        <v>1</v>
      </c>
      <c r="E175" s="399" t="s">
        <v>768</v>
      </c>
      <c r="F175" s="327"/>
      <c r="G175" s="327"/>
      <c r="H175" s="2900"/>
      <c r="I175" s="2901"/>
      <c r="J175" s="2901"/>
      <c r="K175" s="2901"/>
      <c r="L175" s="463">
        <f t="shared" ref="L175:M177" si="80">IF(Y175=0,0,ROUNDDOWN(AF175,1))</f>
        <v>3</v>
      </c>
      <c r="M175" s="463">
        <f t="shared" si="80"/>
        <v>3</v>
      </c>
      <c r="N175" s="657">
        <f>スコア入力!AC175</f>
        <v>0.70000000000000007</v>
      </c>
      <c r="O175" s="591">
        <f>スコア入力!AE175</f>
        <v>0.70000000000000007</v>
      </c>
      <c r="P175" s="463">
        <f t="shared" ref="P175:Q177" si="81">IF(AC175=0,0,ROUNDDOWN(AJ175,1))</f>
        <v>0</v>
      </c>
      <c r="Q175" s="463">
        <f t="shared" si="81"/>
        <v>0</v>
      </c>
      <c r="R175" s="657">
        <f>スコア入力!AJ175</f>
        <v>0</v>
      </c>
      <c r="S175" s="591">
        <f>スコア入力!AL175</f>
        <v>0</v>
      </c>
      <c r="T175" s="586"/>
      <c r="U175" s="586"/>
      <c r="W175" s="244">
        <f t="shared" si="79"/>
        <v>3</v>
      </c>
      <c r="X175" s="244">
        <f t="shared" si="78"/>
        <v>3</v>
      </c>
      <c r="Y175" s="243">
        <f>スコア入力!AA175</f>
        <v>0.70000000000000007</v>
      </c>
      <c r="Z175" s="243">
        <f>スコア入力!AB175</f>
        <v>0.70000000000000007</v>
      </c>
      <c r="AA175" s="244">
        <f t="shared" si="71"/>
        <v>0</v>
      </c>
      <c r="AB175" s="244">
        <f t="shared" si="72"/>
        <v>0</v>
      </c>
      <c r="AC175" s="243">
        <f>スコア入力!AH175</f>
        <v>0</v>
      </c>
      <c r="AD175" s="243">
        <f>スコア入力!AI175</f>
        <v>0</v>
      </c>
      <c r="AE175" s="6"/>
      <c r="AF175" s="637">
        <f>スコア入力!N175</f>
        <v>3</v>
      </c>
      <c r="AG175" s="637">
        <f>スコア入力!P175</f>
        <v>3</v>
      </c>
      <c r="AH175" s="585">
        <f>スコア入力!AC175</f>
        <v>0.70000000000000007</v>
      </c>
      <c r="AI175" s="585">
        <f>スコア入力!AE175</f>
        <v>0.70000000000000007</v>
      </c>
      <c r="AJ175" s="637">
        <f>スコア入力!U175</f>
        <v>0</v>
      </c>
      <c r="AK175" s="637">
        <f>スコア入力!W175</f>
        <v>0</v>
      </c>
      <c r="AL175" s="585">
        <f>スコア入力!AJ175</f>
        <v>0</v>
      </c>
      <c r="AM175" s="585">
        <f>スコア入力!AL175</f>
        <v>0</v>
      </c>
      <c r="AN175" s="586"/>
      <c r="AO175" s="586"/>
    </row>
    <row r="176" spans="1:41" ht="13.5">
      <c r="A176" s="406"/>
      <c r="B176" s="500"/>
      <c r="C176" s="303"/>
      <c r="D176" s="304">
        <v>2</v>
      </c>
      <c r="E176" s="399" t="s">
        <v>1016</v>
      </c>
      <c r="F176" s="327"/>
      <c r="G176" s="327"/>
      <c r="H176" s="2900"/>
      <c r="I176" s="2901"/>
      <c r="J176" s="2901"/>
      <c r="K176" s="2901"/>
      <c r="L176" s="464">
        <f t="shared" si="80"/>
        <v>0</v>
      </c>
      <c r="M176" s="464">
        <f t="shared" si="80"/>
        <v>0</v>
      </c>
      <c r="N176" s="657">
        <f>スコア入力!AC176</f>
        <v>0</v>
      </c>
      <c r="O176" s="591">
        <f>スコア入力!AE176</f>
        <v>0</v>
      </c>
      <c r="P176" s="464">
        <f t="shared" si="81"/>
        <v>0</v>
      </c>
      <c r="Q176" s="464">
        <f t="shared" si="81"/>
        <v>0</v>
      </c>
      <c r="R176" s="657">
        <f>スコア入力!AJ176</f>
        <v>0</v>
      </c>
      <c r="S176" s="591">
        <f>スコア入力!AL176</f>
        <v>0</v>
      </c>
      <c r="T176" s="586"/>
      <c r="U176" s="586"/>
      <c r="W176" s="244">
        <f t="shared" si="79"/>
        <v>3</v>
      </c>
      <c r="X176" s="244">
        <f t="shared" si="78"/>
        <v>3</v>
      </c>
      <c r="Y176" s="243">
        <f>スコア入力!AA176</f>
        <v>0</v>
      </c>
      <c r="Z176" s="243">
        <f>スコア入力!AB176</f>
        <v>0</v>
      </c>
      <c r="AA176" s="244">
        <f t="shared" si="71"/>
        <v>0</v>
      </c>
      <c r="AB176" s="244">
        <f t="shared" si="72"/>
        <v>0</v>
      </c>
      <c r="AC176" s="243">
        <f>スコア入力!AH176</f>
        <v>0</v>
      </c>
      <c r="AD176" s="243">
        <f>スコア入力!AI176</f>
        <v>0</v>
      </c>
      <c r="AE176" s="6"/>
      <c r="AF176" s="656">
        <f>スコア入力!N176</f>
        <v>3</v>
      </c>
      <c r="AG176" s="656">
        <f>スコア入力!P176</f>
        <v>3</v>
      </c>
      <c r="AH176" s="585">
        <f>スコア入力!AC176</f>
        <v>0</v>
      </c>
      <c r="AI176" s="585">
        <f>スコア入力!AE176</f>
        <v>0</v>
      </c>
      <c r="AJ176" s="656">
        <f>スコア入力!U176</f>
        <v>0</v>
      </c>
      <c r="AK176" s="656">
        <f>スコア入力!W176</f>
        <v>0</v>
      </c>
      <c r="AL176" s="585">
        <f>スコア入力!AJ176</f>
        <v>0</v>
      </c>
      <c r="AM176" s="585">
        <f>スコア入力!AL176</f>
        <v>0</v>
      </c>
      <c r="AN176" s="586"/>
      <c r="AO176" s="586"/>
    </row>
    <row r="177" spans="1:41" ht="14.25" thickBot="1">
      <c r="A177" s="406"/>
      <c r="B177" s="500"/>
      <c r="C177" s="303"/>
      <c r="D177" s="398">
        <v>3</v>
      </c>
      <c r="E177" s="399" t="s">
        <v>1017</v>
      </c>
      <c r="F177" s="327"/>
      <c r="G177" s="327"/>
      <c r="H177" s="2900"/>
      <c r="I177" s="2943"/>
      <c r="J177" s="2943"/>
      <c r="K177" s="2944"/>
      <c r="L177" s="465">
        <f t="shared" si="80"/>
        <v>3</v>
      </c>
      <c r="M177" s="465">
        <f t="shared" si="80"/>
        <v>3</v>
      </c>
      <c r="N177" s="657">
        <f>スコア入力!AC177</f>
        <v>0.3</v>
      </c>
      <c r="O177" s="591">
        <f>スコア入力!AE177</f>
        <v>0.3</v>
      </c>
      <c r="P177" s="465">
        <f t="shared" si="81"/>
        <v>0</v>
      </c>
      <c r="Q177" s="465">
        <f t="shared" si="81"/>
        <v>0</v>
      </c>
      <c r="R177" s="657">
        <f>スコア入力!AJ177</f>
        <v>0</v>
      </c>
      <c r="S177" s="591">
        <f>スコア入力!AL177</f>
        <v>0</v>
      </c>
      <c r="T177" s="586"/>
      <c r="U177" s="586"/>
      <c r="W177" s="244">
        <f>AF177</f>
        <v>3</v>
      </c>
      <c r="X177" s="244">
        <f>AG177</f>
        <v>3</v>
      </c>
      <c r="Y177" s="243">
        <f>スコア入力!AA177</f>
        <v>0.3</v>
      </c>
      <c r="Z177" s="243">
        <f>スコア入力!AB177</f>
        <v>0.3</v>
      </c>
      <c r="AA177" s="244">
        <f>AJ177</f>
        <v>0</v>
      </c>
      <c r="AB177" s="244">
        <f>AK177</f>
        <v>0</v>
      </c>
      <c r="AC177" s="243">
        <f>スコア入力!AH177</f>
        <v>0</v>
      </c>
      <c r="AD177" s="243">
        <f>スコア入力!AI177</f>
        <v>0</v>
      </c>
      <c r="AE177" s="6"/>
      <c r="AF177" s="607">
        <f>スコア入力!N177</f>
        <v>3</v>
      </c>
      <c r="AG177" s="607">
        <f>スコア入力!P177</f>
        <v>3</v>
      </c>
      <c r="AH177" s="585">
        <f>スコア入力!AC177</f>
        <v>0.3</v>
      </c>
      <c r="AI177" s="585">
        <f>スコア入力!AE177</f>
        <v>0.3</v>
      </c>
      <c r="AJ177" s="607">
        <f>スコア入力!U177</f>
        <v>0</v>
      </c>
      <c r="AK177" s="607">
        <f>スコア入力!W177</f>
        <v>0</v>
      </c>
      <c r="AL177" s="585">
        <f>スコア入力!AJ177</f>
        <v>0</v>
      </c>
      <c r="AM177" s="585">
        <f>スコア入力!AL177</f>
        <v>0</v>
      </c>
      <c r="AN177" s="586"/>
      <c r="AO177" s="586"/>
    </row>
    <row r="178" spans="1:41" ht="14.25" thickBot="1">
      <c r="A178" s="406"/>
      <c r="B178" s="485"/>
      <c r="C178" s="664">
        <v>3.3</v>
      </c>
      <c r="D178" s="399" t="s">
        <v>737</v>
      </c>
      <c r="E178" s="419"/>
      <c r="F178" s="327"/>
      <c r="G178" s="327"/>
      <c r="H178" s="2900"/>
      <c r="I178" s="2901"/>
      <c r="J178" s="2901"/>
      <c r="K178" s="2901"/>
      <c r="L178" s="661">
        <f t="shared" si="74"/>
        <v>3</v>
      </c>
      <c r="M178" s="661">
        <f t="shared" si="75"/>
        <v>3</v>
      </c>
      <c r="N178" s="585">
        <f>スコア入力!AC178</f>
        <v>0.19999999999999998</v>
      </c>
      <c r="O178" s="585">
        <f>スコア入力!AE178</f>
        <v>0.19999999999999998</v>
      </c>
      <c r="P178" s="661">
        <f t="shared" si="76"/>
        <v>0</v>
      </c>
      <c r="Q178" s="661">
        <f t="shared" si="77"/>
        <v>0</v>
      </c>
      <c r="R178" s="585">
        <f>スコア入力!AJ178</f>
        <v>0</v>
      </c>
      <c r="S178" s="591">
        <f>スコア入力!AL178</f>
        <v>0</v>
      </c>
      <c r="T178" s="586"/>
      <c r="U178" s="586"/>
      <c r="W178" s="605">
        <f t="shared" si="79"/>
        <v>3</v>
      </c>
      <c r="X178" s="605">
        <f t="shared" si="78"/>
        <v>3</v>
      </c>
      <c r="Y178" s="243">
        <f>スコア入力!AA178</f>
        <v>0.20000000000000004</v>
      </c>
      <c r="Z178" s="243">
        <f>スコア入力!AB178</f>
        <v>0.19999999999999996</v>
      </c>
      <c r="AA178" s="605">
        <f t="shared" si="71"/>
        <v>0</v>
      </c>
      <c r="AB178" s="605">
        <f t="shared" si="72"/>
        <v>0</v>
      </c>
      <c r="AC178" s="243">
        <f>スコア入力!AH178</f>
        <v>0</v>
      </c>
      <c r="AD178" s="243">
        <f>スコア入力!AI178</f>
        <v>0</v>
      </c>
      <c r="AE178" s="6"/>
      <c r="AF178" s="604">
        <f>SUMPRODUCT(AF179:AF180,AH179:AH180)</f>
        <v>3</v>
      </c>
      <c r="AG178" s="604">
        <f>SUMPRODUCT(AG179:AG180,AI179:AI180)</f>
        <v>3</v>
      </c>
      <c r="AH178" s="585">
        <f>スコア入力!AC178</f>
        <v>0.19999999999999998</v>
      </c>
      <c r="AI178" s="585">
        <f>スコア入力!AE178</f>
        <v>0.19999999999999998</v>
      </c>
      <c r="AJ178" s="604">
        <f>SUMPRODUCT(AJ179:AJ180,AL179:AL180)</f>
        <v>0</v>
      </c>
      <c r="AK178" s="604">
        <f>SUMPRODUCT(AK179:AK180,AM179:AM180)</f>
        <v>0</v>
      </c>
      <c r="AL178" s="585">
        <f>スコア入力!AJ178</f>
        <v>0</v>
      </c>
      <c r="AM178" s="585">
        <f>スコア入力!AL178</f>
        <v>0</v>
      </c>
      <c r="AN178" s="586"/>
      <c r="AO178" s="586"/>
    </row>
    <row r="179" spans="1:41" ht="13.5">
      <c r="A179" s="406"/>
      <c r="B179" s="492"/>
      <c r="C179" s="303"/>
      <c r="D179" s="304">
        <v>1</v>
      </c>
      <c r="E179" s="324" t="s">
        <v>740</v>
      </c>
      <c r="F179" s="327"/>
      <c r="G179" s="327"/>
      <c r="H179" s="2900"/>
      <c r="I179" s="2901"/>
      <c r="J179" s="2901"/>
      <c r="K179" s="2901"/>
      <c r="L179" s="463">
        <f t="shared" si="74"/>
        <v>3</v>
      </c>
      <c r="M179" s="463">
        <f t="shared" si="75"/>
        <v>3</v>
      </c>
      <c r="N179" s="657">
        <f>スコア入力!AC179</f>
        <v>0.70000000000000007</v>
      </c>
      <c r="O179" s="591">
        <f>スコア入力!AE179</f>
        <v>0.70000000000000007</v>
      </c>
      <c r="P179" s="463">
        <f t="shared" si="76"/>
        <v>0</v>
      </c>
      <c r="Q179" s="463">
        <f t="shared" si="77"/>
        <v>0</v>
      </c>
      <c r="R179" s="657">
        <f>スコア入力!AJ179</f>
        <v>0</v>
      </c>
      <c r="S179" s="591">
        <f>スコア入力!AL179</f>
        <v>0</v>
      </c>
      <c r="T179" s="586"/>
      <c r="U179" s="586"/>
      <c r="W179" s="244">
        <f t="shared" si="79"/>
        <v>3</v>
      </c>
      <c r="X179" s="244">
        <f t="shared" si="78"/>
        <v>3</v>
      </c>
      <c r="Y179" s="243">
        <f>スコア入力!AA179</f>
        <v>0.70000000000000007</v>
      </c>
      <c r="Z179" s="243">
        <f>スコア入力!AB179</f>
        <v>0.70000000000000007</v>
      </c>
      <c r="AA179" s="244">
        <f t="shared" si="71"/>
        <v>0</v>
      </c>
      <c r="AB179" s="244">
        <f t="shared" si="72"/>
        <v>0</v>
      </c>
      <c r="AC179" s="243">
        <f>スコア入力!AH179</f>
        <v>0</v>
      </c>
      <c r="AD179" s="243">
        <f>スコア入力!AI179</f>
        <v>0</v>
      </c>
      <c r="AE179" s="6"/>
      <c r="AF179" s="637">
        <f>スコア入力!N179</f>
        <v>3</v>
      </c>
      <c r="AG179" s="637">
        <f>スコア入力!P179</f>
        <v>3</v>
      </c>
      <c r="AH179" s="585">
        <f>スコア入力!AC179</f>
        <v>0.70000000000000007</v>
      </c>
      <c r="AI179" s="585">
        <f>スコア入力!AE179</f>
        <v>0.70000000000000007</v>
      </c>
      <c r="AJ179" s="637">
        <f>スコア入力!U179</f>
        <v>0</v>
      </c>
      <c r="AK179" s="637">
        <f>スコア入力!W179</f>
        <v>0</v>
      </c>
      <c r="AL179" s="585">
        <f>スコア入力!AJ179</f>
        <v>0</v>
      </c>
      <c r="AM179" s="585">
        <f>スコア入力!AL179</f>
        <v>0</v>
      </c>
      <c r="AN179" s="586"/>
      <c r="AO179" s="586"/>
    </row>
    <row r="180" spans="1:41" ht="14.25" thickBot="1">
      <c r="A180" s="406"/>
      <c r="B180" s="504"/>
      <c r="C180" s="355"/>
      <c r="D180" s="356">
        <v>2</v>
      </c>
      <c r="E180" s="2950" t="s">
        <v>741</v>
      </c>
      <c r="F180" s="2951"/>
      <c r="G180" s="609"/>
      <c r="H180" s="2913"/>
      <c r="I180" s="2914"/>
      <c r="J180" s="2914"/>
      <c r="K180" s="2914"/>
      <c r="L180" s="465">
        <f t="shared" si="74"/>
        <v>3</v>
      </c>
      <c r="M180" s="465">
        <f t="shared" si="75"/>
        <v>3</v>
      </c>
      <c r="N180" s="665">
        <f>スコア入力!AC180</f>
        <v>0.3</v>
      </c>
      <c r="O180" s="610">
        <f>スコア入力!AE180</f>
        <v>0.3</v>
      </c>
      <c r="P180" s="465">
        <f t="shared" si="76"/>
        <v>0</v>
      </c>
      <c r="Q180" s="465">
        <f t="shared" si="77"/>
        <v>0</v>
      </c>
      <c r="R180" s="665">
        <f>スコア入力!AJ180</f>
        <v>0</v>
      </c>
      <c r="S180" s="610">
        <f>スコア入力!AL180</f>
        <v>0</v>
      </c>
      <c r="T180" s="611"/>
      <c r="U180" s="611"/>
      <c r="W180" s="244">
        <f t="shared" si="79"/>
        <v>3</v>
      </c>
      <c r="X180" s="244">
        <f t="shared" si="78"/>
        <v>3</v>
      </c>
      <c r="Y180" s="243">
        <f>スコア入力!AA180</f>
        <v>0.3</v>
      </c>
      <c r="Z180" s="243">
        <f>スコア入力!AB180</f>
        <v>0.3</v>
      </c>
      <c r="AA180" s="244">
        <f t="shared" si="71"/>
        <v>0</v>
      </c>
      <c r="AB180" s="244">
        <f t="shared" si="72"/>
        <v>0</v>
      </c>
      <c r="AC180" s="243">
        <f>スコア入力!AH180</f>
        <v>0</v>
      </c>
      <c r="AD180" s="243">
        <f>スコア入力!AI180</f>
        <v>0</v>
      </c>
      <c r="AE180" s="6"/>
      <c r="AF180" s="607">
        <f>スコア入力!N180</f>
        <v>3</v>
      </c>
      <c r="AG180" s="607">
        <f>スコア入力!P180</f>
        <v>3</v>
      </c>
      <c r="AH180" s="634">
        <f>スコア入力!AC180</f>
        <v>0.3</v>
      </c>
      <c r="AI180" s="634">
        <f>スコア入力!AE180</f>
        <v>0.3</v>
      </c>
      <c r="AJ180" s="607">
        <f>スコア入力!U180</f>
        <v>0</v>
      </c>
      <c r="AK180" s="607">
        <f>スコア入力!W180</f>
        <v>0</v>
      </c>
      <c r="AL180" s="634">
        <f>スコア入力!AJ180</f>
        <v>0</v>
      </c>
      <c r="AM180" s="634">
        <f>スコア入力!AL180</f>
        <v>0</v>
      </c>
      <c r="AN180" s="611"/>
      <c r="AO180" s="611"/>
    </row>
    <row r="181" spans="1:41" ht="13.5">
      <c r="A181"/>
      <c r="B181"/>
      <c r="C181" s="509"/>
      <c r="D181" s="510"/>
      <c r="E181" s="511"/>
      <c r="F181" s="211"/>
      <c r="G181" s="194"/>
      <c r="H181" s="512"/>
      <c r="J181" s="512"/>
      <c r="K181" s="512"/>
      <c r="L181" s="512"/>
      <c r="M181" s="512"/>
      <c r="N181" s="512"/>
      <c r="O181" s="512"/>
      <c r="P181" s="512"/>
      <c r="Q181" s="512"/>
      <c r="R181" s="512"/>
      <c r="S181" s="512"/>
      <c r="T181" s="512"/>
      <c r="U181" s="512"/>
      <c r="V181" s="513"/>
      <c r="W181" s="513"/>
      <c r="X181" s="513"/>
      <c r="Y181" s="680"/>
      <c r="Z181" s="680"/>
      <c r="AA181" s="681"/>
      <c r="AB181" s="212"/>
      <c r="AC181" s="212"/>
      <c r="AD181" s="682"/>
      <c r="AE181" s="682"/>
      <c r="AF181" s="682"/>
      <c r="AH181" s="682"/>
      <c r="AI181" s="682"/>
      <c r="AJ181" s="682"/>
    </row>
    <row r="182" spans="1:41" ht="12" hidden="1" customHeight="1"/>
    <row r="183" spans="1:41" ht="12" hidden="1" customHeight="1"/>
  </sheetData>
  <sheetProtection password="82B4" sheet="1" objects="1" scenarios="1" formatRows="0"/>
  <mergeCells count="179">
    <mergeCell ref="B3:F3"/>
    <mergeCell ref="D46:E46"/>
    <mergeCell ref="H125:K125"/>
    <mergeCell ref="E180:F180"/>
    <mergeCell ref="E72:F72"/>
    <mergeCell ref="E73:F73"/>
    <mergeCell ref="E74:F74"/>
    <mergeCell ref="E144:F144"/>
    <mergeCell ref="E145:F145"/>
    <mergeCell ref="H180:K180"/>
    <mergeCell ref="H81:K81"/>
    <mergeCell ref="H84:K84"/>
    <mergeCell ref="H161:K161"/>
    <mergeCell ref="H162:K162"/>
    <mergeCell ref="H151:K151"/>
    <mergeCell ref="H150:K150"/>
    <mergeCell ref="H155:K155"/>
    <mergeCell ref="H96:K96"/>
    <mergeCell ref="H170:K170"/>
    <mergeCell ref="H112:K112"/>
    <mergeCell ref="H137:K137"/>
    <mergeCell ref="H134:K134"/>
    <mergeCell ref="H179:K179"/>
    <mergeCell ref="H168:K168"/>
    <mergeCell ref="H167:K167"/>
    <mergeCell ref="H165:K165"/>
    <mergeCell ref="H166:K166"/>
    <mergeCell ref="H178:K178"/>
    <mergeCell ref="H174:K174"/>
    <mergeCell ref="H140:K140"/>
    <mergeCell ref="H130:K130"/>
    <mergeCell ref="H131:K131"/>
    <mergeCell ref="H132:K132"/>
    <mergeCell ref="H175:K175"/>
    <mergeCell ref="H176:K176"/>
    <mergeCell ref="H177:K177"/>
    <mergeCell ref="H164:K164"/>
    <mergeCell ref="H163:K163"/>
    <mergeCell ref="H153:K153"/>
    <mergeCell ref="H159:K159"/>
    <mergeCell ref="H154:K154"/>
    <mergeCell ref="H135:K135"/>
    <mergeCell ref="H136:K136"/>
    <mergeCell ref="H138:K138"/>
    <mergeCell ref="H139:K139"/>
    <mergeCell ref="H123:K123"/>
    <mergeCell ref="T5:U5"/>
    <mergeCell ref="H173:K173"/>
    <mergeCell ref="H172:K172"/>
    <mergeCell ref="H171:K171"/>
    <mergeCell ref="H169:K169"/>
    <mergeCell ref="H160:K160"/>
    <mergeCell ref="H158:K158"/>
    <mergeCell ref="H157:K157"/>
    <mergeCell ref="H156:K156"/>
    <mergeCell ref="H149:K149"/>
    <mergeCell ref="T6:U6"/>
    <mergeCell ref="H147:K147"/>
    <mergeCell ref="H146:K146"/>
    <mergeCell ref="H145:K145"/>
    <mergeCell ref="H144:K144"/>
    <mergeCell ref="H143:K143"/>
    <mergeCell ref="H119:K119"/>
    <mergeCell ref="H118:K118"/>
    <mergeCell ref="H114:K114"/>
    <mergeCell ref="H113:K113"/>
    <mergeCell ref="H117:K117"/>
    <mergeCell ref="H108:K108"/>
    <mergeCell ref="H152:K152"/>
    <mergeCell ref="H126:K126"/>
    <mergeCell ref="H127:K127"/>
    <mergeCell ref="H128:K128"/>
    <mergeCell ref="H148:K148"/>
    <mergeCell ref="H129:K129"/>
    <mergeCell ref="H141:K141"/>
    <mergeCell ref="H142:K142"/>
    <mergeCell ref="H133:K133"/>
    <mergeCell ref="H124:K124"/>
    <mergeCell ref="H109:K109"/>
    <mergeCell ref="H115:K115"/>
    <mergeCell ref="H116:K116"/>
    <mergeCell ref="H111:K111"/>
    <mergeCell ref="H101:K101"/>
    <mergeCell ref="H100:K100"/>
    <mergeCell ref="H99:K99"/>
    <mergeCell ref="H98:K98"/>
    <mergeCell ref="H97:K97"/>
    <mergeCell ref="H110:K110"/>
    <mergeCell ref="H95:K95"/>
    <mergeCell ref="H107:K107"/>
    <mergeCell ref="H106:K106"/>
    <mergeCell ref="H105:K105"/>
    <mergeCell ref="H104:K104"/>
    <mergeCell ref="H103:K103"/>
    <mergeCell ref="H102:K102"/>
    <mergeCell ref="H88:K88"/>
    <mergeCell ref="H87:K87"/>
    <mergeCell ref="H86:K86"/>
    <mergeCell ref="H85:K85"/>
    <mergeCell ref="H83:K83"/>
    <mergeCell ref="H82:K82"/>
    <mergeCell ref="H94:K94"/>
    <mergeCell ref="H93:K93"/>
    <mergeCell ref="H92:K92"/>
    <mergeCell ref="H91:K91"/>
    <mergeCell ref="H90:K90"/>
    <mergeCell ref="H89:K89"/>
    <mergeCell ref="H70:K70"/>
    <mergeCell ref="H74:K74"/>
    <mergeCell ref="H69:K69"/>
    <mergeCell ref="H71:K71"/>
    <mergeCell ref="H72:K72"/>
    <mergeCell ref="H73:K73"/>
    <mergeCell ref="H80:K80"/>
    <mergeCell ref="H79:K79"/>
    <mergeCell ref="H78:K78"/>
    <mergeCell ref="H77:K77"/>
    <mergeCell ref="H76:K76"/>
    <mergeCell ref="H75:K75"/>
    <mergeCell ref="H34:K34"/>
    <mergeCell ref="H46:K46"/>
    <mergeCell ref="H62:K62"/>
    <mergeCell ref="H60:K60"/>
    <mergeCell ref="H61:K61"/>
    <mergeCell ref="H59:K59"/>
    <mergeCell ref="H58:K58"/>
    <mergeCell ref="H57:K57"/>
    <mergeCell ref="H68:K68"/>
    <mergeCell ref="H67:K67"/>
    <mergeCell ref="H66:K66"/>
    <mergeCell ref="H65:K65"/>
    <mergeCell ref="H64:K64"/>
    <mergeCell ref="H63:K63"/>
    <mergeCell ref="H50:K50"/>
    <mergeCell ref="H49:K49"/>
    <mergeCell ref="H48:K48"/>
    <mergeCell ref="H47:K47"/>
    <mergeCell ref="H56:K56"/>
    <mergeCell ref="H55:K55"/>
    <mergeCell ref="H54:K54"/>
    <mergeCell ref="H53:K53"/>
    <mergeCell ref="H52:K52"/>
    <mergeCell ref="H51:K51"/>
    <mergeCell ref="H41:K41"/>
    <mergeCell ref="H40:K40"/>
    <mergeCell ref="H39:K39"/>
    <mergeCell ref="H38:K38"/>
    <mergeCell ref="H36:K36"/>
    <mergeCell ref="H35:K35"/>
    <mergeCell ref="H45:K45"/>
    <mergeCell ref="H44:K44"/>
    <mergeCell ref="H43:K43"/>
    <mergeCell ref="H37:K37"/>
    <mergeCell ref="H42:K42"/>
    <mergeCell ref="H33:K33"/>
    <mergeCell ref="H22:K22"/>
    <mergeCell ref="H15:K15"/>
    <mergeCell ref="H26:K26"/>
    <mergeCell ref="H27:K27"/>
    <mergeCell ref="H16:K16"/>
    <mergeCell ref="H17:K17"/>
    <mergeCell ref="H23:K23"/>
    <mergeCell ref="H20:K20"/>
    <mergeCell ref="H18:K18"/>
    <mergeCell ref="H19:K19"/>
    <mergeCell ref="H21:K21"/>
    <mergeCell ref="H24:K24"/>
    <mergeCell ref="H25:K25"/>
    <mergeCell ref="H28:K28"/>
    <mergeCell ref="H29:K29"/>
    <mergeCell ref="N3:U3"/>
    <mergeCell ref="H10:K10"/>
    <mergeCell ref="H11:K11"/>
    <mergeCell ref="H12:K12"/>
    <mergeCell ref="H13:K13"/>
    <mergeCell ref="H14:K14"/>
    <mergeCell ref="H30:K30"/>
    <mergeCell ref="H31:K31"/>
    <mergeCell ref="H32:K32"/>
  </mergeCells>
  <phoneticPr fontId="20"/>
  <conditionalFormatting sqref="H12:K13 H15:K19 H22:K30 H32:K33 H36:K38 I175:K176 H49:K52 H54:K57 H59:K60 H64:K66 H68:K70 H72:K74 H77:K78 H99:K101 H103:K108 H110:K111 H113:K114 H118:K118 H120:K120 H122:K123 H40:K46 H142:K142 H144:K145 H148:K152 H154:K154 H156:K158 H160:K160 H162:K163 H165:K168 H171:K173 H179:K180 H175:H177 H80:K95">
    <cfRule type="expression" dxfId="49" priority="12" stopIfTrue="1">
      <formula>OR(L12&gt;=4,M12&gt;=4,P12&gt;=4,Q12&gt;=4)</formula>
    </cfRule>
  </conditionalFormatting>
  <conditionalFormatting sqref="H125:K125">
    <cfRule type="expression" dxfId="48" priority="11" stopIfTrue="1">
      <formula>OR(L125&gt;=4,M125&gt;=4,P125&gt;=4,Q125&gt;=4)</formula>
    </cfRule>
  </conditionalFormatting>
  <conditionalFormatting sqref="H126:K126">
    <cfRule type="expression" dxfId="47" priority="10" stopIfTrue="1">
      <formula>OR(L126&gt;=4,M126&gt;=4,P126&gt;=4,Q126&gt;=4)</formula>
    </cfRule>
  </conditionalFormatting>
  <conditionalFormatting sqref="H121:K121">
    <cfRule type="expression" dxfId="46" priority="5" stopIfTrue="1">
      <formula>OR(L121&gt;=4,M121&gt;=4,P121&gt;=4,Q121&gt;=4)</formula>
    </cfRule>
  </conditionalFormatting>
  <conditionalFormatting sqref="H11:K11">
    <cfRule type="expression" dxfId="45" priority="4" stopIfTrue="1">
      <formula>OR(L11&gt;=4,M11&gt;=4,P11&gt;=4,Q11&gt;=4)</formula>
    </cfRule>
  </conditionalFormatting>
  <conditionalFormatting sqref="H135:K136">
    <cfRule type="expression" dxfId="44" priority="3" stopIfTrue="1">
      <formula>OR(L135&gt;=4,M135&gt;=4,P135&gt;=4,Q135&gt;=4)</formula>
    </cfRule>
  </conditionalFormatting>
  <conditionalFormatting sqref="H138:K139">
    <cfRule type="expression" dxfId="43" priority="2" stopIfTrue="1">
      <formula>OR(L138&gt;=4,M138&gt;=4,P138&gt;=4,Q138&gt;=4)</formula>
    </cfRule>
  </conditionalFormatting>
  <conditionalFormatting sqref="H119:K119">
    <cfRule type="expression" dxfId="42" priority="1" stopIfTrue="1">
      <formula>OR(L119&gt;=4,M119&gt;=4,P119&gt;=4,Q119&gt;=4)</formula>
    </cfRule>
  </conditionalFormatting>
  <dataValidations xWindow="1076" yWindow="324" count="1">
    <dataValidation allowBlank="1" showErrorMessage="1" sqref="AH152:AM180 AH9:AI151 AL9:AM151 AJ10:AK151 AF10:AG180"/>
  </dataValidations>
  <printOptions horizontalCentered="1"/>
  <pageMargins left="0.59055118110236227" right="0.59055118110236227" top="0.78740157480314965" bottom="0.59055118110236227" header="0.51181102362204722" footer="0.51181102362204722"/>
  <pageSetup paperSize="9" scale="60" fitToHeight="2" orientation="portrait" verticalDpi="4294967293" r:id="rId1"/>
  <headerFooter alignWithMargins="0">
    <oddHeader>&amp;L&amp;F&amp;R&amp;A</oddHeader>
    <oddFooter>&amp;C&amp;P/&amp;N</oddFooter>
  </headerFooter>
  <rowBreaks count="1" manualBreakCount="1">
    <brk id="95" max="21" man="1"/>
  </rowBreaks>
</worksheet>
</file>

<file path=xl/worksheets/sheet13.xml><?xml version="1.0" encoding="utf-8"?>
<worksheet xmlns="http://schemas.openxmlformats.org/spreadsheetml/2006/main" xmlns:r="http://schemas.openxmlformats.org/officeDocument/2006/relationships">
  <sheetPr codeName="Sheet4">
    <pageSetUpPr autoPageBreaks="0"/>
  </sheetPr>
  <dimension ref="A1:AL181"/>
  <sheetViews>
    <sheetView showGridLines="0" zoomScaleNormal="100" workbookViewId="0">
      <selection activeCell="L16" sqref="L16"/>
    </sheetView>
  </sheetViews>
  <sheetFormatPr defaultColWidth="0" defaultRowHeight="0" customHeight="1" zeroHeight="1"/>
  <cols>
    <col min="1" max="1" width="2.25" style="194" customWidth="1"/>
    <col min="2" max="2" width="4.375" style="194" customWidth="1"/>
    <col min="3" max="3" width="5.25" style="195" customWidth="1"/>
    <col min="4" max="4" width="5.5" style="196" customWidth="1"/>
    <col min="5" max="5" width="24.75" style="194" customWidth="1"/>
    <col min="6" max="6" width="6.75" style="514" bestFit="1" customWidth="1"/>
    <col min="7" max="8" width="5" style="514" bestFit="1" customWidth="1"/>
    <col min="9" max="9" width="6.75" style="514" bestFit="1" customWidth="1"/>
    <col min="10" max="11" width="5" style="514" bestFit="1" customWidth="1"/>
    <col min="12" max="12" width="9.625" style="514" bestFit="1" customWidth="1"/>
    <col min="13" max="13" width="4.75" style="514" bestFit="1" customWidth="1"/>
    <col min="14" max="14" width="7.125" style="514" customWidth="1"/>
    <col min="15" max="15" width="4.75" style="197" bestFit="1" customWidth="1"/>
    <col min="16" max="16" width="7.125" style="197" customWidth="1"/>
    <col min="17" max="18" width="0" style="197" hidden="1" customWidth="1"/>
    <col min="19" max="19" width="9.625" style="197" customWidth="1"/>
    <col min="20" max="20" width="4.5" style="197" customWidth="1"/>
    <col min="21" max="21" width="7.125" style="198" customWidth="1"/>
    <col min="22" max="22" width="4.375" style="198" customWidth="1"/>
    <col min="23" max="23" width="7.125" style="198" customWidth="1"/>
    <col min="24" max="24" width="0" style="197" hidden="1" customWidth="1"/>
    <col min="25" max="25" width="7.375" style="197" hidden="1" customWidth="1"/>
    <col min="26" max="26" width="3.125" style="515" customWidth="1"/>
    <col min="27" max="33" width="0" style="200" hidden="1" customWidth="1"/>
    <col min="34" max="35" width="0" style="201" hidden="1" customWidth="1"/>
    <col min="36" max="38" width="0" style="6" hidden="1" customWidth="1"/>
    <col min="39" max="16384" width="8.5" style="6" hidden="1"/>
  </cols>
  <sheetData>
    <row r="1" spans="2:38" ht="6" customHeight="1">
      <c r="F1" s="197"/>
      <c r="G1" s="197"/>
      <c r="H1" s="197"/>
      <c r="I1" s="197"/>
      <c r="J1" s="197"/>
      <c r="K1" s="197"/>
      <c r="L1" s="197"/>
      <c r="M1" s="197"/>
      <c r="N1" s="197"/>
      <c r="Z1" s="198"/>
      <c r="AA1" s="199"/>
    </row>
    <row r="2" spans="2:38" ht="5.25" customHeight="1">
      <c r="B2" s="202"/>
      <c r="C2" s="203"/>
      <c r="D2" s="204"/>
      <c r="E2" s="202"/>
      <c r="F2" s="205"/>
      <c r="G2" s="205"/>
      <c r="H2" s="205"/>
      <c r="I2" s="205"/>
      <c r="J2" s="205"/>
      <c r="K2" s="205"/>
      <c r="L2" s="205"/>
      <c r="M2" s="205"/>
      <c r="N2" s="197"/>
      <c r="Z2" s="206"/>
      <c r="AA2" s="207"/>
    </row>
    <row r="3" spans="2:38" ht="17.25" customHeight="1">
      <c r="B3" s="208" t="s">
        <v>511</v>
      </c>
      <c r="C3" s="209"/>
      <c r="D3" s="210"/>
      <c r="E3" s="211"/>
      <c r="F3" s="205"/>
      <c r="G3" s="205"/>
      <c r="H3" s="205"/>
      <c r="I3" s="205"/>
      <c r="J3" s="205"/>
      <c r="K3" s="205"/>
      <c r="L3" s="205"/>
      <c r="M3" s="205"/>
      <c r="N3" s="197"/>
      <c r="Z3" s="212"/>
      <c r="AA3" s="213" t="s">
        <v>512</v>
      </c>
    </row>
    <row r="4" spans="2:38" ht="3.75" customHeight="1" thickBot="1">
      <c r="B4" s="214"/>
      <c r="C4" s="215"/>
      <c r="D4" s="216"/>
      <c r="F4" s="194"/>
      <c r="G4" s="194"/>
      <c r="H4" s="194"/>
      <c r="I4" s="194"/>
      <c r="J4" s="194"/>
      <c r="K4" s="194"/>
      <c r="L4" s="194"/>
      <c r="M4" s="194"/>
      <c r="N4" s="217"/>
      <c r="O4" s="217"/>
      <c r="P4" s="217"/>
      <c r="Q4" s="217"/>
      <c r="R4" s="217"/>
      <c r="S4" s="217"/>
      <c r="T4" s="217"/>
      <c r="U4" s="194"/>
      <c r="V4" s="194"/>
      <c r="W4" s="194"/>
      <c r="X4" s="217"/>
      <c r="Y4" s="217"/>
      <c r="Z4" s="212"/>
    </row>
    <row r="5" spans="2:38" ht="15" thickBot="1">
      <c r="B5" s="218"/>
      <c r="C5" s="219"/>
      <c r="D5" s="220"/>
      <c r="E5" s="221" t="str">
        <f>IF(メイン!H38=0,"",メイン!H38)</f>
        <v/>
      </c>
      <c r="F5" s="222"/>
      <c r="G5" s="222"/>
      <c r="H5" s="222"/>
      <c r="I5" s="222"/>
      <c r="J5" s="222"/>
      <c r="K5" s="222"/>
      <c r="L5" s="223" t="s">
        <v>513</v>
      </c>
      <c r="M5" s="224"/>
      <c r="N5" s="224"/>
      <c r="O5" s="225"/>
      <c r="P5" s="226"/>
      <c r="Q5" s="227"/>
      <c r="R5" s="227"/>
      <c r="S5" s="223" t="s">
        <v>514</v>
      </c>
      <c r="T5" s="224"/>
      <c r="U5" s="224"/>
      <c r="V5" s="227"/>
      <c r="W5" s="228"/>
      <c r="X5" s="227"/>
      <c r="Y5" s="228"/>
      <c r="Z5" s="212"/>
      <c r="AA5" s="229" t="s">
        <v>515</v>
      </c>
      <c r="AH5" s="230" t="s">
        <v>516</v>
      </c>
    </row>
    <row r="6" spans="2:38" ht="25.5" customHeight="1">
      <c r="B6" s="231"/>
      <c r="C6" s="232"/>
      <c r="D6" s="233"/>
      <c r="E6" s="234"/>
      <c r="F6" s="235" t="s">
        <v>517</v>
      </c>
      <c r="G6" s="236"/>
      <c r="H6" s="236"/>
      <c r="I6" s="235" t="s">
        <v>518</v>
      </c>
      <c r="J6" s="236"/>
      <c r="K6" s="236"/>
      <c r="L6" s="237"/>
      <c r="M6" s="2962" t="s">
        <v>519</v>
      </c>
      <c r="N6" s="2963"/>
      <c r="O6" s="2960" t="s">
        <v>520</v>
      </c>
      <c r="P6" s="2961"/>
      <c r="Q6" s="238"/>
      <c r="R6" s="238"/>
      <c r="S6" s="239"/>
      <c r="T6" s="2962" t="s">
        <v>519</v>
      </c>
      <c r="U6" s="2963"/>
      <c r="V6" s="2960" t="s">
        <v>520</v>
      </c>
      <c r="W6" s="2961"/>
      <c r="X6" s="238"/>
      <c r="Y6" s="240"/>
      <c r="Z6" s="212"/>
      <c r="AA6" s="241">
        <f>重み_後!D7</f>
        <v>1</v>
      </c>
      <c r="AB6" s="241">
        <f>重み_後!E7</f>
        <v>0</v>
      </c>
      <c r="AC6" s="242"/>
      <c r="AD6" s="242"/>
      <c r="AE6" s="242"/>
      <c r="AF6" s="242"/>
      <c r="AG6" s="242"/>
      <c r="AH6" s="243">
        <f>重み_後!H7</f>
        <v>0</v>
      </c>
      <c r="AI6" s="243">
        <f>重み_後!I7</f>
        <v>0</v>
      </c>
      <c r="AJ6" s="244"/>
      <c r="AK6" s="244"/>
      <c r="AL6" s="244"/>
    </row>
    <row r="7" spans="2:38" ht="27.75" customHeight="1">
      <c r="B7" s="245" t="s">
        <v>521</v>
      </c>
      <c r="C7" s="246"/>
      <c r="D7" s="247"/>
      <c r="E7" s="1896" t="s">
        <v>522</v>
      </c>
      <c r="F7" s="249" t="s">
        <v>525</v>
      </c>
      <c r="G7" s="250" t="s">
        <v>395</v>
      </c>
      <c r="H7" s="250" t="s">
        <v>396</v>
      </c>
      <c r="I7" s="249" t="s">
        <v>526</v>
      </c>
      <c r="J7" s="250" t="s">
        <v>395</v>
      </c>
      <c r="K7" s="249" t="s">
        <v>396</v>
      </c>
      <c r="L7" s="251" t="s">
        <v>527</v>
      </c>
      <c r="M7" s="252" t="s">
        <v>528</v>
      </c>
      <c r="N7" s="253" t="s">
        <v>529</v>
      </c>
      <c r="O7" s="252" t="s">
        <v>528</v>
      </c>
      <c r="P7" s="253" t="s">
        <v>529</v>
      </c>
      <c r="Q7" s="252"/>
      <c r="R7" s="254"/>
      <c r="S7" s="251" t="s">
        <v>527</v>
      </c>
      <c r="T7" s="252" t="s">
        <v>528</v>
      </c>
      <c r="U7" s="253" t="s">
        <v>529</v>
      </c>
      <c r="V7" s="252" t="s">
        <v>528</v>
      </c>
      <c r="W7" s="253" t="s">
        <v>529</v>
      </c>
      <c r="X7" s="255"/>
      <c r="Y7" s="256"/>
      <c r="Z7" s="212"/>
      <c r="AA7" s="257" t="s">
        <v>530</v>
      </c>
      <c r="AB7" s="257" t="s">
        <v>531</v>
      </c>
      <c r="AC7" s="258" t="s">
        <v>532</v>
      </c>
      <c r="AD7" s="258"/>
      <c r="AE7" s="258" t="s">
        <v>533</v>
      </c>
      <c r="AF7" s="258"/>
      <c r="AG7" s="258"/>
      <c r="AH7" s="259" t="s">
        <v>530</v>
      </c>
      <c r="AI7" s="259" t="s">
        <v>531</v>
      </c>
      <c r="AJ7" s="258" t="s">
        <v>532</v>
      </c>
      <c r="AK7" s="258"/>
      <c r="AL7" s="258" t="s">
        <v>533</v>
      </c>
    </row>
    <row r="8" spans="2:38" ht="15" thickBot="1">
      <c r="B8" s="260" t="s">
        <v>534</v>
      </c>
      <c r="C8" s="261"/>
      <c r="D8" s="262"/>
      <c r="E8" s="263"/>
      <c r="F8" s="266"/>
      <c r="G8" s="266"/>
      <c r="H8" s="265"/>
      <c r="I8" s="266"/>
      <c r="J8" s="266"/>
      <c r="K8" s="267"/>
      <c r="L8" s="264"/>
      <c r="M8" s="268"/>
      <c r="N8" s="269"/>
      <c r="O8" s="270"/>
      <c r="P8" s="269"/>
      <c r="Q8" s="271"/>
      <c r="R8" s="264"/>
      <c r="S8" s="264"/>
      <c r="T8" s="268"/>
      <c r="U8" s="269"/>
      <c r="V8" s="270"/>
      <c r="W8" s="269"/>
      <c r="X8" s="271"/>
      <c r="Y8" s="264"/>
      <c r="Z8" s="212"/>
      <c r="AA8" s="272">
        <f>重み_前!M8</f>
        <v>0</v>
      </c>
      <c r="AB8" s="272">
        <f>重み_後!N8</f>
        <v>0</v>
      </c>
      <c r="AC8" s="242"/>
      <c r="AD8" s="242"/>
      <c r="AE8" s="242"/>
      <c r="AF8" s="242"/>
      <c r="AG8" s="242"/>
      <c r="AH8" s="243">
        <f>重み_前!N8</f>
        <v>0</v>
      </c>
      <c r="AI8" s="243">
        <f>重み_後!O8</f>
        <v>0</v>
      </c>
      <c r="AJ8" s="242"/>
      <c r="AK8" s="242"/>
      <c r="AL8" s="242"/>
    </row>
    <row r="9" spans="2:38" ht="14.25" thickBot="1">
      <c r="B9" s="273" t="s">
        <v>535</v>
      </c>
      <c r="C9" s="274" t="s">
        <v>536</v>
      </c>
      <c r="D9" s="274"/>
      <c r="E9" s="274"/>
      <c r="F9" s="277"/>
      <c r="G9" s="277"/>
      <c r="H9" s="277"/>
      <c r="I9" s="277"/>
      <c r="J9" s="278"/>
      <c r="K9" s="277"/>
      <c r="L9" s="275"/>
      <c r="M9" s="279"/>
      <c r="N9" s="280"/>
      <c r="O9" s="281"/>
      <c r="P9" s="280"/>
      <c r="Q9" s="282"/>
      <c r="R9" s="275"/>
      <c r="S9" s="275"/>
      <c r="T9" s="279"/>
      <c r="U9" s="280"/>
      <c r="V9" s="281"/>
      <c r="W9" s="280"/>
      <c r="X9" s="282"/>
      <c r="Y9" s="275"/>
      <c r="Z9" s="212"/>
      <c r="AA9" s="272">
        <f>重み_前!M9</f>
        <v>0.40000000000000008</v>
      </c>
      <c r="AB9" s="272">
        <f>重み_後!N9</f>
        <v>0.37389033942558753</v>
      </c>
      <c r="AC9" s="242">
        <f>重み_前!D9</f>
        <v>0.40000000000000008</v>
      </c>
      <c r="AD9" s="242"/>
      <c r="AE9" s="242">
        <f>重み_後!D9</f>
        <v>0.37389033942558753</v>
      </c>
      <c r="AF9" s="242"/>
      <c r="AG9" s="242"/>
      <c r="AH9" s="243">
        <f>重み_前!N9</f>
        <v>0</v>
      </c>
      <c r="AI9" s="243">
        <f>重み_後!O9</f>
        <v>0</v>
      </c>
      <c r="AJ9" s="242">
        <f>重み_前!E9</f>
        <v>0</v>
      </c>
      <c r="AK9" s="242"/>
      <c r="AL9" s="242">
        <f>重み_後!E9</f>
        <v>0</v>
      </c>
    </row>
    <row r="10" spans="2:38" ht="14.25" thickBot="1">
      <c r="B10" s="283">
        <v>1</v>
      </c>
      <c r="C10" s="284" t="s">
        <v>537</v>
      </c>
      <c r="D10" s="285"/>
      <c r="E10" s="286"/>
      <c r="F10" s="287" t="s">
        <v>538</v>
      </c>
      <c r="G10" s="287" t="s">
        <v>538</v>
      </c>
      <c r="H10" s="287" t="s">
        <v>539</v>
      </c>
      <c r="I10" s="288"/>
      <c r="J10" s="288"/>
      <c r="K10" s="289"/>
      <c r="L10" s="290" t="str">
        <f>IF(COUNTIF(L11:L19,$AA$3)&gt;=ROWS(L11:L19),$AA$3,"")</f>
        <v/>
      </c>
      <c r="M10" s="291"/>
      <c r="N10" s="292"/>
      <c r="O10" s="289"/>
      <c r="P10" s="292"/>
      <c r="Q10" s="293" t="str">
        <f t="shared" ref="Q10:Q40" si="0">IF(L10=$AA$3,$F10,$G10)</f>
        <v>EB</v>
      </c>
      <c r="R10" s="294" t="str">
        <f t="shared" ref="R10:R40" si="1">IF(L10=$AA$3,$F10,$H10)</f>
        <v>NC</v>
      </c>
      <c r="S10" s="290" t="str">
        <f>IF(COUNTIF(S11:S19,$AA$3)&gt;=ROWS(S11:S19),$AA$3,"")</f>
        <v/>
      </c>
      <c r="T10" s="291"/>
      <c r="U10" s="292"/>
      <c r="V10" s="289"/>
      <c r="W10" s="292"/>
      <c r="X10" s="293" t="str">
        <f t="shared" ref="X10:X42" si="2">IF(S10=$AA$3,$F10,$G10)</f>
        <v>EB</v>
      </c>
      <c r="Y10" s="294" t="str">
        <f t="shared" ref="Y10:Y42" si="3">IF(S10=$AA$3,$F10,$H10)</f>
        <v>NC</v>
      </c>
      <c r="Z10" s="212"/>
      <c r="AA10" s="272">
        <f>重み_前!M10</f>
        <v>0.15</v>
      </c>
      <c r="AB10" s="272">
        <f>重み_後!N10</f>
        <v>0.15015354274288756</v>
      </c>
      <c r="AC10" s="242">
        <f>重み_前!D10</f>
        <v>0.15</v>
      </c>
      <c r="AD10" s="242"/>
      <c r="AE10" s="242">
        <f>重み_後!D10</f>
        <v>0.15015354274288756</v>
      </c>
      <c r="AF10" s="242"/>
      <c r="AG10" s="242"/>
      <c r="AH10" s="243">
        <f>重み_前!N10</f>
        <v>1</v>
      </c>
      <c r="AI10" s="243">
        <f>重み_後!O10</f>
        <v>0.44220764532911105</v>
      </c>
      <c r="AJ10" s="242">
        <f>重み_前!E10</f>
        <v>0.25</v>
      </c>
      <c r="AK10" s="242"/>
      <c r="AL10" s="242">
        <f>重み_後!E10</f>
        <v>0</v>
      </c>
    </row>
    <row r="11" spans="2:38" ht="14.25" thickBot="1">
      <c r="B11" s="295"/>
      <c r="C11" s="296">
        <v>1.1000000000000001</v>
      </c>
      <c r="D11" s="297" t="s">
        <v>540</v>
      </c>
      <c r="E11" s="298"/>
      <c r="F11" s="287" t="s">
        <v>538</v>
      </c>
      <c r="G11" s="287" t="s">
        <v>538</v>
      </c>
      <c r="H11" s="287" t="s">
        <v>539</v>
      </c>
      <c r="I11" s="287" t="s">
        <v>381</v>
      </c>
      <c r="J11" s="287" t="s">
        <v>381</v>
      </c>
      <c r="K11" s="305" t="s">
        <v>92</v>
      </c>
      <c r="L11" s="444"/>
      <c r="M11" s="307" t="str">
        <f>IF(L11=$AA$3,$I11,$J11)</f>
        <v>EB</v>
      </c>
      <c r="N11" s="444">
        <v>3</v>
      </c>
      <c r="O11" s="307" t="str">
        <f>IF(L11=$AA$3,$I11,$K11)</f>
        <v>NC</v>
      </c>
      <c r="P11" s="444">
        <v>3</v>
      </c>
      <c r="Q11" s="309" t="str">
        <f t="shared" ref="Q11" si="4">IF(L11=$AA$3,$F11,$G11)</f>
        <v>EB</v>
      </c>
      <c r="R11" s="306" t="str">
        <f t="shared" ref="R11" si="5">IF(L11=$AA$3,$F11,$H11)</f>
        <v>NC</v>
      </c>
      <c r="S11" s="444"/>
      <c r="T11" s="307" t="str">
        <f>IF(S11=$AA$3,$I11,$J11)</f>
        <v>EB</v>
      </c>
      <c r="U11" s="444">
        <v>3</v>
      </c>
      <c r="V11" s="307" t="str">
        <f>IF(S11=$AA$3,$I11,$K11)</f>
        <v>NC</v>
      </c>
      <c r="W11" s="444">
        <v>0</v>
      </c>
      <c r="X11" s="309" t="str">
        <f t="shared" ref="X11" si="6">IF(S11=$AA$3,$F11,$G11)</f>
        <v>EB</v>
      </c>
      <c r="Y11" s="306" t="str">
        <f t="shared" ref="Y11" si="7">IF(S11=$AA$3,$F11,$H11)</f>
        <v>NC</v>
      </c>
      <c r="Z11" s="212"/>
      <c r="AA11" s="272">
        <f>重み_前!M11</f>
        <v>0.4083550913838121</v>
      </c>
      <c r="AB11" s="272">
        <f>重み_後!N11</f>
        <v>0.40208877284595301</v>
      </c>
      <c r="AC11" s="242">
        <f>重み_前!D11</f>
        <v>0.40835509138381199</v>
      </c>
      <c r="AD11" s="242"/>
      <c r="AE11" s="242">
        <f>重み_後!D11</f>
        <v>0.40208877284595301</v>
      </c>
      <c r="AF11" s="242"/>
      <c r="AG11" s="242"/>
      <c r="AH11" s="243">
        <f>重み_前!N11</f>
        <v>8.3550913838120102E-3</v>
      </c>
      <c r="AI11" s="243">
        <f>重み_後!O11</f>
        <v>0.979539641943734</v>
      </c>
      <c r="AJ11" s="242">
        <f>重み_前!E11</f>
        <v>0.39999999999999997</v>
      </c>
      <c r="AK11" s="242"/>
      <c r="AL11" s="242">
        <f>重み_後!E11</f>
        <v>0</v>
      </c>
    </row>
    <row r="12" spans="2:38" ht="13.5" hidden="1">
      <c r="B12" s="295"/>
      <c r="C12" s="303"/>
      <c r="D12" s="2009">
        <v>1</v>
      </c>
      <c r="E12" s="2316" t="s">
        <v>748</v>
      </c>
      <c r="F12" s="287" t="s">
        <v>538</v>
      </c>
      <c r="G12" s="287" t="s">
        <v>538</v>
      </c>
      <c r="H12" s="287" t="s">
        <v>539</v>
      </c>
      <c r="I12" s="287" t="s">
        <v>538</v>
      </c>
      <c r="J12" s="287" t="s">
        <v>538</v>
      </c>
      <c r="K12" s="305" t="s">
        <v>539</v>
      </c>
      <c r="L12" s="306"/>
      <c r="M12" s="307" t="str">
        <f>IF(L12=$AA$3,$I12,$J12)</f>
        <v>EB</v>
      </c>
      <c r="N12" s="308"/>
      <c r="O12" s="307" t="str">
        <f>IF(L12=$AA$3,$I12,$K12)</f>
        <v>NC</v>
      </c>
      <c r="P12" s="308"/>
      <c r="Q12" s="309" t="str">
        <f t="shared" si="0"/>
        <v>EB</v>
      </c>
      <c r="R12" s="306" t="str">
        <f t="shared" si="1"/>
        <v>NC</v>
      </c>
      <c r="S12" s="306"/>
      <c r="T12" s="307" t="str">
        <f>IF(S12=$AA$3,$I12,$J12)</f>
        <v>EB</v>
      </c>
      <c r="U12" s="308"/>
      <c r="V12" s="307" t="str">
        <f>IF(S12=$AA$3,$I12,$K12)</f>
        <v>NC</v>
      </c>
      <c r="W12" s="308">
        <v>0</v>
      </c>
      <c r="X12" s="309" t="str">
        <f t="shared" si="2"/>
        <v>EB</v>
      </c>
      <c r="Y12" s="306" t="str">
        <f t="shared" si="3"/>
        <v>NC</v>
      </c>
      <c r="Z12" s="212"/>
      <c r="AA12" s="272">
        <f>重み_前!M12</f>
        <v>0</v>
      </c>
      <c r="AB12" s="272">
        <f>重み_後!N12</f>
        <v>0</v>
      </c>
      <c r="AC12" s="242">
        <f>重み_前!D12</f>
        <v>0</v>
      </c>
      <c r="AD12" s="242"/>
      <c r="AE12" s="242">
        <f>重み_後!D12</f>
        <v>0</v>
      </c>
      <c r="AF12" s="242"/>
      <c r="AG12" s="242"/>
      <c r="AH12" s="243">
        <f>重み_前!N12</f>
        <v>0</v>
      </c>
      <c r="AI12" s="243">
        <f>重み_後!O12</f>
        <v>0</v>
      </c>
      <c r="AJ12" s="242">
        <f>重み_前!E12</f>
        <v>0</v>
      </c>
      <c r="AK12" s="242"/>
      <c r="AL12" s="242">
        <f>重み_後!E12</f>
        <v>0</v>
      </c>
    </row>
    <row r="13" spans="2:38" ht="14.25" hidden="1" thickBot="1">
      <c r="B13" s="295"/>
      <c r="C13" s="310"/>
      <c r="D13" s="2009">
        <v>2</v>
      </c>
      <c r="E13" s="2317" t="s">
        <v>747</v>
      </c>
      <c r="F13" s="287" t="s">
        <v>543</v>
      </c>
      <c r="G13" s="287" t="s">
        <v>543</v>
      </c>
      <c r="H13" s="287" t="s">
        <v>544</v>
      </c>
      <c r="I13" s="287">
        <v>0</v>
      </c>
      <c r="J13" s="287">
        <v>0</v>
      </c>
      <c r="K13" s="305" t="s">
        <v>544</v>
      </c>
      <c r="L13" s="312"/>
      <c r="M13" s="307">
        <f>IF(L13=$AA$3,$I13,$J13)</f>
        <v>0</v>
      </c>
      <c r="N13" s="313"/>
      <c r="O13" s="305" t="str">
        <f>IF(L13=$AA$3,$I13,$K13)</f>
        <v>NC</v>
      </c>
      <c r="P13" s="313"/>
      <c r="Q13" s="314" t="str">
        <f t="shared" si="0"/>
        <v>EB</v>
      </c>
      <c r="R13" s="312" t="str">
        <f t="shared" si="1"/>
        <v>NC</v>
      </c>
      <c r="S13" s="312"/>
      <c r="T13" s="307">
        <f>IF(S13=$AA$3,$I13,$J13)</f>
        <v>0</v>
      </c>
      <c r="U13" s="313"/>
      <c r="V13" s="305" t="str">
        <f>IF(S13=$AA$3,$I13,$K13)</f>
        <v>NC</v>
      </c>
      <c r="W13" s="313">
        <v>0</v>
      </c>
      <c r="X13" s="314" t="str">
        <f t="shared" si="2"/>
        <v>EB</v>
      </c>
      <c r="Y13" s="312" t="str">
        <f t="shared" si="3"/>
        <v>NC</v>
      </c>
      <c r="Z13" s="212"/>
      <c r="AA13" s="272">
        <f>重み_前!M13</f>
        <v>0</v>
      </c>
      <c r="AB13" s="272">
        <f>重み_後!N13</f>
        <v>0</v>
      </c>
      <c r="AC13" s="242">
        <f>重み_前!D13</f>
        <v>0</v>
      </c>
      <c r="AD13" s="242"/>
      <c r="AE13" s="242">
        <f>重み_後!D13</f>
        <v>0</v>
      </c>
      <c r="AF13" s="242"/>
      <c r="AG13" s="242"/>
      <c r="AH13" s="243">
        <f>重み_前!N13</f>
        <v>0</v>
      </c>
      <c r="AI13" s="243">
        <f>重み_後!O13</f>
        <v>0</v>
      </c>
      <c r="AJ13" s="242">
        <f>重み_前!E13</f>
        <v>0</v>
      </c>
      <c r="AK13" s="242"/>
      <c r="AL13" s="242">
        <f>重み_後!E13</f>
        <v>0</v>
      </c>
    </row>
    <row r="14" spans="2:38" ht="14.25" thickBot="1">
      <c r="B14" s="295"/>
      <c r="C14" s="296">
        <v>1.2</v>
      </c>
      <c r="D14" s="297" t="s">
        <v>545</v>
      </c>
      <c r="E14" s="81"/>
      <c r="F14" s="287" t="s">
        <v>543</v>
      </c>
      <c r="G14" s="287" t="s">
        <v>543</v>
      </c>
      <c r="H14" s="287" t="s">
        <v>546</v>
      </c>
      <c r="I14" s="287"/>
      <c r="J14" s="287"/>
      <c r="K14" s="305"/>
      <c r="L14" s="302" t="str">
        <f>IF(COUNTIF(L15:L18,$AA$3)&gt;=ROWS(L15:L18),$AA$3,"")</f>
        <v/>
      </c>
      <c r="M14" s="307"/>
      <c r="N14" s="316"/>
      <c r="O14" s="305"/>
      <c r="P14" s="316"/>
      <c r="Q14" s="317" t="str">
        <f t="shared" si="0"/>
        <v>EB</v>
      </c>
      <c r="R14" s="318" t="str">
        <f t="shared" si="1"/>
        <v>NC</v>
      </c>
      <c r="S14" s="302" t="str">
        <f>IF(COUNTIF(S15:S18,$AA$3)&gt;=ROWS(S15:S18),$AA$3,"")</f>
        <v/>
      </c>
      <c r="T14" s="307"/>
      <c r="U14" s="316"/>
      <c r="V14" s="305"/>
      <c r="W14" s="316"/>
      <c r="X14" s="317" t="str">
        <f t="shared" si="2"/>
        <v>EB</v>
      </c>
      <c r="Y14" s="318" t="str">
        <f t="shared" si="3"/>
        <v>NC</v>
      </c>
      <c r="Z14" s="212"/>
      <c r="AA14" s="272">
        <f>重み_前!M14</f>
        <v>0.39164490861618806</v>
      </c>
      <c r="AB14" s="272">
        <f>重み_後!N14</f>
        <v>0.40208877284595301</v>
      </c>
      <c r="AC14" s="242">
        <f>重み_前!D14</f>
        <v>0.39164490861618795</v>
      </c>
      <c r="AD14" s="242"/>
      <c r="AE14" s="242">
        <f>重み_後!D14</f>
        <v>0.40208877284595301</v>
      </c>
      <c r="AF14" s="242"/>
      <c r="AG14" s="242"/>
      <c r="AH14" s="243">
        <f>重み_前!N14</f>
        <v>8.3550913838120102E-3</v>
      </c>
      <c r="AI14" s="243">
        <f>重み_後!O14</f>
        <v>2.0460358056265983E-2</v>
      </c>
      <c r="AJ14" s="242">
        <f>重み_前!E14</f>
        <v>0.39999999999999997</v>
      </c>
      <c r="AK14" s="242"/>
      <c r="AL14" s="242">
        <f>重み_後!E14</f>
        <v>0</v>
      </c>
    </row>
    <row r="15" spans="2:38" ht="13.5">
      <c r="B15" s="295"/>
      <c r="C15" s="315"/>
      <c r="D15" s="304">
        <v>1</v>
      </c>
      <c r="E15" s="311" t="s">
        <v>547</v>
      </c>
      <c r="F15" s="287" t="s">
        <v>543</v>
      </c>
      <c r="G15" s="287" t="s">
        <v>543</v>
      </c>
      <c r="H15" s="287" t="s">
        <v>544</v>
      </c>
      <c r="I15" s="287">
        <v>0</v>
      </c>
      <c r="J15" s="287">
        <v>0</v>
      </c>
      <c r="K15" s="305" t="s">
        <v>544</v>
      </c>
      <c r="L15" s="306"/>
      <c r="M15" s="307">
        <f>IF(L15=$AA$3,$I15,$J15)</f>
        <v>0</v>
      </c>
      <c r="N15" s="308">
        <v>0</v>
      </c>
      <c r="O15" s="305" t="str">
        <f>IF(L15=$AA$3,$I15,$K15)</f>
        <v>NC</v>
      </c>
      <c r="P15" s="308">
        <v>3</v>
      </c>
      <c r="Q15" s="309" t="str">
        <f t="shared" si="0"/>
        <v>EB</v>
      </c>
      <c r="R15" s="306" t="str">
        <f t="shared" si="1"/>
        <v>NC</v>
      </c>
      <c r="S15" s="306"/>
      <c r="T15" s="307">
        <f>IF(S15=$AA$3,$I15,$J15)</f>
        <v>0</v>
      </c>
      <c r="U15" s="308">
        <v>0</v>
      </c>
      <c r="V15" s="305" t="str">
        <f>IF(S15=$AA$3,$I15,$K15)</f>
        <v>NC</v>
      </c>
      <c r="W15" s="308">
        <v>0</v>
      </c>
      <c r="X15" s="309" t="str">
        <f t="shared" si="2"/>
        <v>EB</v>
      </c>
      <c r="Y15" s="306" t="str">
        <f t="shared" si="3"/>
        <v>NC</v>
      </c>
      <c r="Z15" s="212"/>
      <c r="AA15" s="272">
        <f>重み_前!M15</f>
        <v>0</v>
      </c>
      <c r="AB15" s="272">
        <f>重み_後!N15</f>
        <v>0.60835509138381205</v>
      </c>
      <c r="AC15" s="242">
        <f>重み_前!D15</f>
        <v>0</v>
      </c>
      <c r="AD15" s="242"/>
      <c r="AE15" s="242">
        <f>重み_後!D15</f>
        <v>0.60835509138381205</v>
      </c>
      <c r="AF15" s="242"/>
      <c r="AG15" s="242"/>
      <c r="AH15" s="243">
        <f>重み_前!N15</f>
        <v>0</v>
      </c>
      <c r="AI15" s="243">
        <f>重み_後!O15</f>
        <v>0.30000000000000004</v>
      </c>
      <c r="AJ15" s="242">
        <f>重み_前!E15</f>
        <v>0</v>
      </c>
      <c r="AK15" s="242"/>
      <c r="AL15" s="242">
        <f>重み_後!E15</f>
        <v>0</v>
      </c>
    </row>
    <row r="16" spans="2:38" ht="13.5">
      <c r="B16" s="295"/>
      <c r="C16" s="303"/>
      <c r="D16" s="304">
        <v>2</v>
      </c>
      <c r="E16" s="311" t="s">
        <v>548</v>
      </c>
      <c r="F16" s="287" t="s">
        <v>543</v>
      </c>
      <c r="G16" s="287" t="s">
        <v>543</v>
      </c>
      <c r="H16" s="287" t="s">
        <v>544</v>
      </c>
      <c r="I16" s="287" t="s">
        <v>543</v>
      </c>
      <c r="J16" s="287" t="s">
        <v>2067</v>
      </c>
      <c r="K16" s="305" t="s">
        <v>544</v>
      </c>
      <c r="L16" s="319"/>
      <c r="M16" s="307" t="str">
        <f>IF(L16=$AA$3,$I16,$J16)</f>
        <v>EB</v>
      </c>
      <c r="N16" s="320">
        <v>3</v>
      </c>
      <c r="O16" s="305" t="str">
        <f>IF(L16=$AA$3,$I16,$K16)</f>
        <v>NC</v>
      </c>
      <c r="P16" s="320">
        <v>3</v>
      </c>
      <c r="Q16" s="321" t="str">
        <f t="shared" si="0"/>
        <v>EB</v>
      </c>
      <c r="R16" s="319" t="str">
        <f t="shared" si="1"/>
        <v>NC</v>
      </c>
      <c r="S16" s="319"/>
      <c r="T16" s="307" t="str">
        <f>IF(S16=$AA$3,$I16,$J16)</f>
        <v>EB</v>
      </c>
      <c r="U16" s="320">
        <v>3</v>
      </c>
      <c r="V16" s="305" t="str">
        <f>IF(S16=$AA$3,$I16,$K16)</f>
        <v>NC</v>
      </c>
      <c r="W16" s="320">
        <v>0</v>
      </c>
      <c r="X16" s="321" t="str">
        <f t="shared" si="2"/>
        <v>EB</v>
      </c>
      <c r="Y16" s="319" t="str">
        <f t="shared" si="3"/>
        <v>NC</v>
      </c>
      <c r="Z16" s="212"/>
      <c r="AA16" s="272">
        <f>重み_前!M16</f>
        <v>0.97911227154047009</v>
      </c>
      <c r="AB16" s="272">
        <f>重み_後!N16</f>
        <v>0.39164490861618806</v>
      </c>
      <c r="AC16" s="242">
        <f>重み_前!D16</f>
        <v>1</v>
      </c>
      <c r="AD16" s="242"/>
      <c r="AE16" s="242">
        <f>重み_後!D16</f>
        <v>0.39164490861618806</v>
      </c>
      <c r="AF16" s="242"/>
      <c r="AG16" s="242"/>
      <c r="AH16" s="243">
        <f>重み_前!N16</f>
        <v>8.3550913838120102E-3</v>
      </c>
      <c r="AI16" s="243">
        <f>重み_後!O16</f>
        <v>0.30000000000000004</v>
      </c>
      <c r="AJ16" s="242">
        <f>重み_前!E16</f>
        <v>0.39999999999999997</v>
      </c>
      <c r="AK16" s="242"/>
      <c r="AL16" s="242">
        <f>重み_後!E16</f>
        <v>0</v>
      </c>
    </row>
    <row r="17" spans="2:38" ht="13.5">
      <c r="B17" s="295"/>
      <c r="C17" s="303"/>
      <c r="D17" s="304">
        <v>3</v>
      </c>
      <c r="E17" s="353" t="s">
        <v>749</v>
      </c>
      <c r="F17" s="287" t="s">
        <v>543</v>
      </c>
      <c r="G17" s="287" t="s">
        <v>543</v>
      </c>
      <c r="H17" s="287" t="s">
        <v>544</v>
      </c>
      <c r="I17" s="287" t="s">
        <v>543</v>
      </c>
      <c r="J17" s="287" t="s">
        <v>543</v>
      </c>
      <c r="K17" s="305" t="s">
        <v>544</v>
      </c>
      <c r="L17" s="319"/>
      <c r="M17" s="307" t="str">
        <f>IF(L17=$AA$3,$I17,$J17)</f>
        <v>EB</v>
      </c>
      <c r="N17" s="320">
        <v>0</v>
      </c>
      <c r="O17" s="305" t="str">
        <f>IF(L17=$AA$3,$I17,$K17)</f>
        <v>NC</v>
      </c>
      <c r="P17" s="320">
        <v>0</v>
      </c>
      <c r="Q17" s="321" t="str">
        <f t="shared" si="0"/>
        <v>EB</v>
      </c>
      <c r="R17" s="319" t="str">
        <f t="shared" si="1"/>
        <v>NC</v>
      </c>
      <c r="S17" s="319"/>
      <c r="T17" s="307" t="str">
        <f>IF(S17=$AA$3,$I17,$J17)</f>
        <v>EB</v>
      </c>
      <c r="U17" s="320">
        <v>3</v>
      </c>
      <c r="V17" s="305" t="str">
        <f>IF(S17=$AA$3,$I17,$K17)</f>
        <v>NC</v>
      </c>
      <c r="W17" s="320">
        <v>0</v>
      </c>
      <c r="X17" s="321" t="str">
        <f t="shared" si="2"/>
        <v>EB</v>
      </c>
      <c r="Y17" s="319" t="str">
        <f t="shared" si="3"/>
        <v>NC</v>
      </c>
      <c r="Z17" s="212"/>
      <c r="AA17" s="272">
        <f>重み_前!M17</f>
        <v>0</v>
      </c>
      <c r="AB17" s="272">
        <f>重み_後!N17</f>
        <v>0</v>
      </c>
      <c r="AC17" s="242">
        <f>重み_前!D17</f>
        <v>0</v>
      </c>
      <c r="AD17" s="242"/>
      <c r="AE17" s="242">
        <f>重み_後!D17</f>
        <v>0</v>
      </c>
      <c r="AF17" s="242"/>
      <c r="AG17" s="242"/>
      <c r="AH17" s="243">
        <f>重み_前!N17</f>
        <v>6.2663185378590081E-3</v>
      </c>
      <c r="AI17" s="243">
        <f>重み_後!O17</f>
        <v>0.2</v>
      </c>
      <c r="AJ17" s="242">
        <f>重み_前!E17</f>
        <v>0.3</v>
      </c>
      <c r="AK17" s="242"/>
      <c r="AL17" s="242">
        <f>重み_後!E17</f>
        <v>0</v>
      </c>
    </row>
    <row r="18" spans="2:38" ht="13.5">
      <c r="B18" s="295"/>
      <c r="C18" s="310"/>
      <c r="D18" s="304">
        <v>4</v>
      </c>
      <c r="E18" s="353" t="s">
        <v>750</v>
      </c>
      <c r="F18" s="287" t="s">
        <v>543</v>
      </c>
      <c r="G18" s="287" t="s">
        <v>543</v>
      </c>
      <c r="H18" s="287" t="s">
        <v>544</v>
      </c>
      <c r="I18" s="287" t="s">
        <v>543</v>
      </c>
      <c r="J18" s="287" t="s">
        <v>543</v>
      </c>
      <c r="K18" s="305" t="s">
        <v>544</v>
      </c>
      <c r="L18" s="319"/>
      <c r="M18" s="307" t="str">
        <f>IF(L18=$AA$3,$I18,$J18)</f>
        <v>EB</v>
      </c>
      <c r="N18" s="320">
        <v>0</v>
      </c>
      <c r="O18" s="305" t="str">
        <f>IF(L18=$AA$3,$I18,$K18)</f>
        <v>NC</v>
      </c>
      <c r="P18" s="320">
        <v>0</v>
      </c>
      <c r="Q18" s="321" t="str">
        <f t="shared" si="0"/>
        <v>EB</v>
      </c>
      <c r="R18" s="319" t="str">
        <f t="shared" si="1"/>
        <v>NC</v>
      </c>
      <c r="S18" s="319"/>
      <c r="T18" s="307" t="str">
        <f>IF(S18=$AA$3,$I18,$J18)</f>
        <v>EB</v>
      </c>
      <c r="U18" s="320">
        <v>3</v>
      </c>
      <c r="V18" s="305" t="str">
        <f>IF(S18=$AA$3,$I18,$K18)</f>
        <v>NC</v>
      </c>
      <c r="W18" s="320">
        <v>0</v>
      </c>
      <c r="X18" s="321" t="str">
        <f t="shared" si="2"/>
        <v>EB</v>
      </c>
      <c r="Y18" s="319" t="str">
        <f t="shared" si="3"/>
        <v>NC</v>
      </c>
      <c r="Z18" s="212"/>
      <c r="AA18" s="272">
        <f>重み_前!M18</f>
        <v>0</v>
      </c>
      <c r="AB18" s="272">
        <f>重み_後!N18</f>
        <v>0</v>
      </c>
      <c r="AC18" s="242">
        <f>重み_前!D18</f>
        <v>0</v>
      </c>
      <c r="AD18" s="242"/>
      <c r="AE18" s="242">
        <f>重み_後!D18</f>
        <v>0</v>
      </c>
      <c r="AF18" s="242"/>
      <c r="AG18" s="242"/>
      <c r="AH18" s="243">
        <f>重み_前!N18</f>
        <v>6.2663185378590081E-3</v>
      </c>
      <c r="AI18" s="243">
        <f>重み_後!O18</f>
        <v>0.2</v>
      </c>
      <c r="AJ18" s="242">
        <f>重み_前!E18</f>
        <v>0.3</v>
      </c>
      <c r="AK18" s="242"/>
      <c r="AL18" s="242">
        <f>重み_後!E18</f>
        <v>0</v>
      </c>
    </row>
    <row r="19" spans="2:38" ht="14.25" thickBot="1">
      <c r="B19" s="322"/>
      <c r="C19" s="323">
        <v>1.3</v>
      </c>
      <c r="D19" s="324" t="s">
        <v>551</v>
      </c>
      <c r="E19" s="324"/>
      <c r="F19" s="287" t="s">
        <v>543</v>
      </c>
      <c r="G19" s="287" t="s">
        <v>543</v>
      </c>
      <c r="H19" s="287" t="s">
        <v>544</v>
      </c>
      <c r="I19" s="287" t="s">
        <v>543</v>
      </c>
      <c r="J19" s="287" t="s">
        <v>543</v>
      </c>
      <c r="K19" s="305" t="s">
        <v>544</v>
      </c>
      <c r="L19" s="312"/>
      <c r="M19" s="307" t="str">
        <f>IF(L19=$AA$3,$I19,$J19)</f>
        <v>EB</v>
      </c>
      <c r="N19" s="325">
        <v>3</v>
      </c>
      <c r="O19" s="305" t="str">
        <f>IF(L19=$AA$3,$I19,$K19)</f>
        <v>NC</v>
      </c>
      <c r="P19" s="325">
        <v>3</v>
      </c>
      <c r="Q19" s="314" t="str">
        <f t="shared" si="0"/>
        <v>EB</v>
      </c>
      <c r="R19" s="312" t="str">
        <f t="shared" si="1"/>
        <v>NC</v>
      </c>
      <c r="S19" s="312"/>
      <c r="T19" s="307" t="str">
        <f>IF(S19=$AA$3,$I19,$J19)</f>
        <v>EB</v>
      </c>
      <c r="U19" s="325">
        <v>3</v>
      </c>
      <c r="V19" s="305" t="str">
        <f>IF(S19=$AA$3,$I19,$K19)</f>
        <v>NC</v>
      </c>
      <c r="W19" s="325">
        <v>0</v>
      </c>
      <c r="X19" s="314" t="str">
        <f t="shared" si="2"/>
        <v>EB</v>
      </c>
      <c r="Y19" s="312" t="str">
        <f t="shared" si="3"/>
        <v>NC</v>
      </c>
      <c r="Z19" s="212"/>
      <c r="AA19" s="272">
        <f>重み_前!M19</f>
        <v>0.20000000000000004</v>
      </c>
      <c r="AB19" s="272">
        <f>重み_後!N19</f>
        <v>0.195822454308094</v>
      </c>
      <c r="AC19" s="242">
        <f>重み_前!D19</f>
        <v>0.19999999999999998</v>
      </c>
      <c r="AD19" s="242"/>
      <c r="AE19" s="242">
        <f>重み_後!D19</f>
        <v>0.195822454308094</v>
      </c>
      <c r="AF19" s="242"/>
      <c r="AG19" s="242"/>
      <c r="AH19" s="243">
        <f>重み_前!N19</f>
        <v>4.1775456919060051E-3</v>
      </c>
      <c r="AI19" s="243">
        <f>重み_後!O19</f>
        <v>0</v>
      </c>
      <c r="AJ19" s="242">
        <f>重み_前!E19</f>
        <v>0.19999999999999998</v>
      </c>
      <c r="AK19" s="242"/>
      <c r="AL19" s="242">
        <f>重み_後!E19</f>
        <v>0</v>
      </c>
    </row>
    <row r="20" spans="2:38" ht="13.5">
      <c r="B20" s="395">
        <v>2</v>
      </c>
      <c r="C20" s="326" t="s">
        <v>552</v>
      </c>
      <c r="D20" s="396"/>
      <c r="E20" s="377"/>
      <c r="F20" s="287" t="s">
        <v>553</v>
      </c>
      <c r="G20" s="287" t="s">
        <v>553</v>
      </c>
      <c r="H20" s="287" t="s">
        <v>554</v>
      </c>
      <c r="I20" s="328"/>
      <c r="J20" s="328"/>
      <c r="K20" s="329"/>
      <c r="L20" s="330" t="str">
        <f>IF(COUNTIF(L21:L33,$AA$3)&gt;=ROWS(L21:L33),$AA$3,"")</f>
        <v/>
      </c>
      <c r="M20" s="331"/>
      <c r="N20" s="332"/>
      <c r="O20" s="329"/>
      <c r="P20" s="332"/>
      <c r="Q20" s="293" t="str">
        <f t="shared" si="0"/>
        <v>EB</v>
      </c>
      <c r="R20" s="294" t="str">
        <f t="shared" si="1"/>
        <v>NC</v>
      </c>
      <c r="S20" s="330" t="str">
        <f>IF(COUNTIF(S21:S33,$AA$3)&gt;=ROWS(S21:S33),$AA$3,"")</f>
        <v/>
      </c>
      <c r="T20" s="331"/>
      <c r="U20" s="332"/>
      <c r="V20" s="329"/>
      <c r="W20" s="332"/>
      <c r="X20" s="293" t="str">
        <f t="shared" si="2"/>
        <v>EB</v>
      </c>
      <c r="Y20" s="294" t="str">
        <f t="shared" si="3"/>
        <v>NC</v>
      </c>
      <c r="Z20" s="212"/>
      <c r="AA20" s="272">
        <f>重み_前!M20</f>
        <v>0.35000000000000003</v>
      </c>
      <c r="AB20" s="272">
        <f>重み_後!N20</f>
        <v>0.35035826640007101</v>
      </c>
      <c r="AC20" s="242">
        <f>重み_前!D20</f>
        <v>0.35000000000000003</v>
      </c>
      <c r="AD20" s="242"/>
      <c r="AE20" s="242">
        <f>重み_後!D20</f>
        <v>0.35035826640007101</v>
      </c>
      <c r="AF20" s="242"/>
      <c r="AG20" s="242"/>
      <c r="AH20" s="243">
        <f>重み_前!N20</f>
        <v>1</v>
      </c>
      <c r="AI20" s="243">
        <f>重み_後!O20</f>
        <v>0.18231169418683554</v>
      </c>
      <c r="AJ20" s="242">
        <f>重み_前!E20</f>
        <v>0.25</v>
      </c>
      <c r="AK20" s="242"/>
      <c r="AL20" s="242">
        <f>重み_後!E20</f>
        <v>0.3268450932684509</v>
      </c>
    </row>
    <row r="21" spans="2:38" ht="14.25" thickBot="1">
      <c r="B21" s="295"/>
      <c r="C21" s="296">
        <v>2.1</v>
      </c>
      <c r="D21" s="333" t="s">
        <v>555</v>
      </c>
      <c r="E21" s="377"/>
      <c r="F21" s="287" t="s">
        <v>553</v>
      </c>
      <c r="G21" s="287" t="s">
        <v>553</v>
      </c>
      <c r="H21" s="287" t="s">
        <v>554</v>
      </c>
      <c r="I21" s="334"/>
      <c r="J21" s="334"/>
      <c r="K21" s="335"/>
      <c r="L21" s="299" t="str">
        <f>IF(COUNTIF(L22:L29,$AA$3)&gt;=ROWS(L22:L29),$AA$3,"")</f>
        <v/>
      </c>
      <c r="M21" s="336"/>
      <c r="N21" s="300"/>
      <c r="O21" s="335"/>
      <c r="P21" s="300"/>
      <c r="Q21" s="301" t="str">
        <f t="shared" si="0"/>
        <v>EB</v>
      </c>
      <c r="R21" s="302" t="str">
        <f t="shared" si="1"/>
        <v>NC</v>
      </c>
      <c r="S21" s="299" t="str">
        <f>IF(COUNTIF(S22:S29,$AA$3)&gt;=ROWS(S22:S29),$AA$3,"")</f>
        <v/>
      </c>
      <c r="T21" s="336"/>
      <c r="U21" s="300"/>
      <c r="V21" s="335"/>
      <c r="W21" s="300"/>
      <c r="X21" s="301" t="str">
        <f t="shared" si="2"/>
        <v>EB</v>
      </c>
      <c r="Y21" s="302" t="str">
        <f t="shared" si="3"/>
        <v>NC</v>
      </c>
      <c r="Z21" s="212"/>
      <c r="AA21" s="272">
        <f>重み_前!M21</f>
        <v>0.50000000000000011</v>
      </c>
      <c r="AB21" s="272">
        <f>重み_後!N21</f>
        <v>0.50422873566481596</v>
      </c>
      <c r="AC21" s="242">
        <f>重み_前!D21</f>
        <v>0.5</v>
      </c>
      <c r="AD21" s="242"/>
      <c r="AE21" s="242">
        <f>重み_後!D21</f>
        <v>0.50422873566481596</v>
      </c>
      <c r="AF21" s="242"/>
      <c r="AG21" s="242"/>
      <c r="AH21" s="243">
        <f>重み_前!N21</f>
        <v>2.0887728459530026E-2</v>
      </c>
      <c r="AI21" s="243">
        <f>重み_後!O21</f>
        <v>4.9627791563275438E-2</v>
      </c>
      <c r="AJ21" s="242">
        <f>重み_前!E21</f>
        <v>1</v>
      </c>
      <c r="AK21" s="242"/>
      <c r="AL21" s="242">
        <f>重み_後!E21</f>
        <v>1</v>
      </c>
    </row>
    <row r="22" spans="2:38" ht="13.5">
      <c r="B22" s="295"/>
      <c r="C22" s="2309"/>
      <c r="D22" s="304">
        <v>1</v>
      </c>
      <c r="E22" s="324" t="s">
        <v>772</v>
      </c>
      <c r="F22" s="287" t="s">
        <v>556</v>
      </c>
      <c r="G22" s="287" t="s">
        <v>556</v>
      </c>
      <c r="H22" s="287" t="s">
        <v>544</v>
      </c>
      <c r="I22" s="287" t="s">
        <v>556</v>
      </c>
      <c r="J22" s="287" t="s">
        <v>556</v>
      </c>
      <c r="K22" s="305" t="s">
        <v>544</v>
      </c>
      <c r="L22" s="306"/>
      <c r="M22" s="307" t="str">
        <f t="shared" ref="M22:M33" si="8">IF(L22=$AA$3,$I22,$J22)</f>
        <v>EB</v>
      </c>
      <c r="N22" s="308">
        <v>3</v>
      </c>
      <c r="O22" s="305" t="str">
        <f t="shared" ref="O22:O33" si="9">IF(L22=$AA$3,$I22,$K22)</f>
        <v>NC</v>
      </c>
      <c r="P22" s="308">
        <v>3</v>
      </c>
      <c r="Q22" s="309" t="str">
        <f t="shared" si="0"/>
        <v>EB</v>
      </c>
      <c r="R22" s="306" t="str">
        <f t="shared" si="1"/>
        <v>NC</v>
      </c>
      <c r="S22" s="306"/>
      <c r="T22" s="307" t="str">
        <f t="shared" ref="T22:T33" si="10">IF(S22=$AA$3,$I22,$J22)</f>
        <v>EB</v>
      </c>
      <c r="U22" s="308">
        <v>0</v>
      </c>
      <c r="V22" s="305" t="str">
        <f t="shared" ref="V22:V33" si="11">IF(S22=$AA$3,$I22,$K22)</f>
        <v>NC</v>
      </c>
      <c r="W22" s="308">
        <v>3</v>
      </c>
      <c r="X22" s="309" t="str">
        <f t="shared" si="2"/>
        <v>EB</v>
      </c>
      <c r="Y22" s="306" t="str">
        <f t="shared" si="3"/>
        <v>NC</v>
      </c>
      <c r="Z22" s="212"/>
      <c r="AA22" s="272">
        <f>重み_前!M22</f>
        <v>0.30417754569190597</v>
      </c>
      <c r="AB22" s="272">
        <f>重み_後!N22</f>
        <v>0.29907554993116231</v>
      </c>
      <c r="AC22" s="242">
        <f>重み_前!D22</f>
        <v>0.40677374301675973</v>
      </c>
      <c r="AD22" s="242"/>
      <c r="AE22" s="242">
        <f>重み_後!D22</f>
        <v>0.38022193211488253</v>
      </c>
      <c r="AF22" s="242"/>
      <c r="AG22" s="242"/>
      <c r="AH22" s="243">
        <f>重み_前!N22</f>
        <v>0</v>
      </c>
      <c r="AI22" s="243">
        <f>重み_後!O22</f>
        <v>0.5</v>
      </c>
      <c r="AJ22" s="242">
        <f>重み_前!E22</f>
        <v>0</v>
      </c>
      <c r="AK22" s="242"/>
      <c r="AL22" s="242">
        <f>重み_後!E22</f>
        <v>0.625</v>
      </c>
    </row>
    <row r="23" spans="2:38" ht="13.5" hidden="1">
      <c r="B23" s="295"/>
      <c r="C23" s="2309"/>
      <c r="D23" s="2009">
        <v>2</v>
      </c>
      <c r="E23" s="1985" t="s">
        <v>1674</v>
      </c>
      <c r="F23" s="287" t="s">
        <v>556</v>
      </c>
      <c r="G23" s="287" t="s">
        <v>556</v>
      </c>
      <c r="H23" s="287" t="s">
        <v>544</v>
      </c>
      <c r="I23" s="287" t="s">
        <v>556</v>
      </c>
      <c r="J23" s="287" t="s">
        <v>556</v>
      </c>
      <c r="K23" s="305" t="s">
        <v>544</v>
      </c>
      <c r="L23" s="421" t="s">
        <v>512</v>
      </c>
      <c r="M23" s="307" t="str">
        <f>IF(L23=$AA$3,$I23,$J23)</f>
        <v>EB</v>
      </c>
      <c r="N23" s="2013">
        <v>0</v>
      </c>
      <c r="O23" s="305" t="str">
        <f>IF(L23=$AA$3,$I23,$K23)</f>
        <v>EB</v>
      </c>
      <c r="P23" s="2013">
        <v>0</v>
      </c>
      <c r="Q23" s="425" t="str">
        <f t="shared" si="0"/>
        <v>EB</v>
      </c>
      <c r="R23" s="421" t="str">
        <f t="shared" si="1"/>
        <v>EB</v>
      </c>
      <c r="S23" s="421"/>
      <c r="T23" s="307" t="str">
        <f>IF(S23=$AA$3,$I23,$J23)</f>
        <v>EB</v>
      </c>
      <c r="U23" s="2013">
        <v>0</v>
      </c>
      <c r="V23" s="305" t="str">
        <f>IF(S23=$AA$3,$I23,$K23)</f>
        <v>NC</v>
      </c>
      <c r="W23" s="2013">
        <v>0</v>
      </c>
      <c r="X23" s="321" t="str">
        <f t="shared" si="2"/>
        <v>EB</v>
      </c>
      <c r="Y23" s="319" t="str">
        <f t="shared" si="3"/>
        <v>NC</v>
      </c>
      <c r="Z23" s="212"/>
      <c r="AA23" s="272">
        <f>重み_前!M23</f>
        <v>5.2219321148825076E-2</v>
      </c>
      <c r="AB23" s="272">
        <f>重み_後!N23</f>
        <v>0</v>
      </c>
      <c r="AC23" s="242">
        <f>重み_前!D23</f>
        <v>0</v>
      </c>
      <c r="AD23" s="242"/>
      <c r="AE23" s="242">
        <f>重み_後!D23</f>
        <v>0</v>
      </c>
      <c r="AF23" s="242"/>
      <c r="AG23" s="242"/>
      <c r="AH23" s="243">
        <f>重み_前!N23</f>
        <v>0</v>
      </c>
      <c r="AI23" s="243">
        <f>重み_後!O23</f>
        <v>0</v>
      </c>
      <c r="AJ23" s="242">
        <f>重み_前!E23</f>
        <v>0</v>
      </c>
      <c r="AK23" s="242"/>
      <c r="AL23" s="242">
        <f>重み_後!E23</f>
        <v>0</v>
      </c>
    </row>
    <row r="24" spans="2:38" ht="13.5">
      <c r="B24" s="295"/>
      <c r="C24" s="2309"/>
      <c r="D24" s="304">
        <v>2</v>
      </c>
      <c r="E24" s="324" t="s">
        <v>557</v>
      </c>
      <c r="F24" s="287" t="s">
        <v>558</v>
      </c>
      <c r="G24" s="287" t="s">
        <v>558</v>
      </c>
      <c r="H24" s="287" t="s">
        <v>544</v>
      </c>
      <c r="I24" s="287" t="s">
        <v>558</v>
      </c>
      <c r="J24" s="287" t="s">
        <v>558</v>
      </c>
      <c r="K24" s="305" t="s">
        <v>544</v>
      </c>
      <c r="L24" s="319"/>
      <c r="M24" s="307" t="str">
        <f t="shared" si="8"/>
        <v>EB</v>
      </c>
      <c r="N24" s="320">
        <v>3</v>
      </c>
      <c r="O24" s="305" t="str">
        <f t="shared" si="9"/>
        <v>NC</v>
      </c>
      <c r="P24" s="320">
        <v>3</v>
      </c>
      <c r="Q24" s="321" t="str">
        <f t="shared" si="0"/>
        <v>EB</v>
      </c>
      <c r="R24" s="319" t="str">
        <f t="shared" si="1"/>
        <v>NC</v>
      </c>
      <c r="S24" s="319"/>
      <c r="T24" s="307" t="str">
        <f t="shared" si="10"/>
        <v>EB</v>
      </c>
      <c r="U24" s="320">
        <v>3</v>
      </c>
      <c r="V24" s="305" t="str">
        <f t="shared" si="11"/>
        <v>NC</v>
      </c>
      <c r="W24" s="320">
        <v>3</v>
      </c>
      <c r="X24" s="321" t="str">
        <f t="shared" si="2"/>
        <v>EB</v>
      </c>
      <c r="Y24" s="319" t="str">
        <f t="shared" si="3"/>
        <v>NC</v>
      </c>
      <c r="Z24" s="212"/>
      <c r="AA24" s="272">
        <f>重み_前!M24</f>
        <v>0.17597911227154048</v>
      </c>
      <c r="AB24" s="272">
        <f>重み_後!N24</f>
        <v>0.19869912072679796</v>
      </c>
      <c r="AC24" s="242">
        <f>重み_前!D24</f>
        <v>0.23533519553072627</v>
      </c>
      <c r="AD24" s="242"/>
      <c r="AE24" s="242">
        <f>重み_後!D24</f>
        <v>0.25261096605744127</v>
      </c>
      <c r="AF24" s="242"/>
      <c r="AG24" s="242"/>
      <c r="AH24" s="243">
        <f>重み_前!N24</f>
        <v>1.2532637075718016E-2</v>
      </c>
      <c r="AI24" s="243">
        <f>重み_後!O24</f>
        <v>0.30000000000000004</v>
      </c>
      <c r="AJ24" s="242">
        <f>重み_前!E24</f>
        <v>1</v>
      </c>
      <c r="AK24" s="242"/>
      <c r="AL24" s="242">
        <f>重み_後!E24</f>
        <v>0.37500000000000006</v>
      </c>
    </row>
    <row r="25" spans="2:38" ht="13.5">
      <c r="B25" s="295"/>
      <c r="C25" s="2309"/>
      <c r="D25" s="304">
        <v>3</v>
      </c>
      <c r="E25" s="324" t="s">
        <v>559</v>
      </c>
      <c r="F25" s="287" t="s">
        <v>560</v>
      </c>
      <c r="G25" s="287" t="s">
        <v>560</v>
      </c>
      <c r="H25" s="287" t="s">
        <v>544</v>
      </c>
      <c r="I25" s="287" t="s">
        <v>560</v>
      </c>
      <c r="J25" s="287" t="s">
        <v>560</v>
      </c>
      <c r="K25" s="305" t="s">
        <v>544</v>
      </c>
      <c r="L25" s="319"/>
      <c r="M25" s="307" t="str">
        <f t="shared" si="8"/>
        <v>EB</v>
      </c>
      <c r="N25" s="320">
        <v>3</v>
      </c>
      <c r="O25" s="305" t="str">
        <f t="shared" si="9"/>
        <v>NC</v>
      </c>
      <c r="P25" s="320">
        <v>3</v>
      </c>
      <c r="Q25" s="321" t="str">
        <f t="shared" si="0"/>
        <v>EB</v>
      </c>
      <c r="R25" s="319" t="str">
        <f t="shared" si="1"/>
        <v>NC</v>
      </c>
      <c r="S25" s="319"/>
      <c r="T25" s="307" t="str">
        <f t="shared" si="10"/>
        <v>EB</v>
      </c>
      <c r="U25" s="320">
        <v>0</v>
      </c>
      <c r="V25" s="305" t="str">
        <f t="shared" si="11"/>
        <v>NC</v>
      </c>
      <c r="W25" s="320">
        <v>0</v>
      </c>
      <c r="X25" s="321" t="str">
        <f t="shared" si="2"/>
        <v>EB</v>
      </c>
      <c r="Y25" s="319" t="str">
        <f t="shared" si="3"/>
        <v>NC</v>
      </c>
      <c r="Z25" s="212"/>
      <c r="AA25" s="272">
        <f>重み_前!M25</f>
        <v>0.26762402088772846</v>
      </c>
      <c r="AB25" s="272">
        <f>重み_後!N25</f>
        <v>0.28880686152150858</v>
      </c>
      <c r="AC25" s="242">
        <f>重み_前!D25</f>
        <v>0.35789106145251398</v>
      </c>
      <c r="AD25" s="242"/>
      <c r="AE25" s="242">
        <f>重み_後!D25</f>
        <v>0.36716710182767615</v>
      </c>
      <c r="AF25" s="242"/>
      <c r="AG25" s="242"/>
      <c r="AH25" s="243">
        <f>重み_前!N25</f>
        <v>0</v>
      </c>
      <c r="AI25" s="243">
        <f>重み_後!O25</f>
        <v>0</v>
      </c>
      <c r="AJ25" s="242">
        <f>重み_前!E25</f>
        <v>0</v>
      </c>
      <c r="AK25" s="242"/>
      <c r="AL25" s="242">
        <f>重み_後!E25</f>
        <v>0</v>
      </c>
    </row>
    <row r="26" spans="2:38" ht="13.5" hidden="1">
      <c r="B26" s="295"/>
      <c r="C26" s="2309"/>
      <c r="D26" s="2009">
        <v>5</v>
      </c>
      <c r="E26" s="1985" t="s">
        <v>1675</v>
      </c>
      <c r="F26" s="287" t="s">
        <v>560</v>
      </c>
      <c r="G26" s="287" t="s">
        <v>560</v>
      </c>
      <c r="H26" s="287" t="s">
        <v>544</v>
      </c>
      <c r="I26" s="287" t="s">
        <v>560</v>
      </c>
      <c r="J26" s="287" t="s">
        <v>560</v>
      </c>
      <c r="K26" s="305" t="s">
        <v>544</v>
      </c>
      <c r="L26" s="421" t="s">
        <v>512</v>
      </c>
      <c r="M26" s="307" t="str">
        <f t="shared" si="8"/>
        <v>EB</v>
      </c>
      <c r="N26" s="2013">
        <v>0</v>
      </c>
      <c r="O26" s="305" t="str">
        <f t="shared" si="9"/>
        <v>EB</v>
      </c>
      <c r="P26" s="2013">
        <v>0</v>
      </c>
      <c r="Q26" s="425" t="str">
        <f t="shared" si="0"/>
        <v>EB</v>
      </c>
      <c r="R26" s="421" t="str">
        <f t="shared" si="1"/>
        <v>EB</v>
      </c>
      <c r="S26" s="421"/>
      <c r="T26" s="307" t="str">
        <f t="shared" si="10"/>
        <v>EB</v>
      </c>
      <c r="U26" s="2013">
        <v>0</v>
      </c>
      <c r="V26" s="305" t="str">
        <f t="shared" si="11"/>
        <v>NC</v>
      </c>
      <c r="W26" s="2013">
        <v>0</v>
      </c>
      <c r="X26" s="321" t="str">
        <f t="shared" si="2"/>
        <v>EB</v>
      </c>
      <c r="Y26" s="319" t="str">
        <f t="shared" si="3"/>
        <v>NC</v>
      </c>
      <c r="Z26" s="212"/>
      <c r="AA26" s="272">
        <f>重み_前!M26</f>
        <v>0.10208877284595302</v>
      </c>
      <c r="AB26" s="272">
        <f>重み_後!N26</f>
        <v>0.10456970039828034</v>
      </c>
      <c r="AC26" s="242">
        <f>重み_前!D26</f>
        <v>0</v>
      </c>
      <c r="AD26" s="242"/>
      <c r="AE26" s="242">
        <f>重み_後!D26</f>
        <v>0</v>
      </c>
      <c r="AF26" s="242"/>
      <c r="AG26" s="242"/>
      <c r="AH26" s="243">
        <f>重み_前!N26</f>
        <v>0</v>
      </c>
      <c r="AI26" s="243">
        <f>重み_後!O26</f>
        <v>0</v>
      </c>
      <c r="AJ26" s="242">
        <f>重み_前!E26</f>
        <v>0</v>
      </c>
      <c r="AK26" s="242"/>
      <c r="AL26" s="242">
        <f>重み_後!E26</f>
        <v>0</v>
      </c>
    </row>
    <row r="27" spans="2:38" ht="13.5" hidden="1">
      <c r="B27" s="295"/>
      <c r="C27" s="2309"/>
      <c r="D27" s="2009">
        <v>6</v>
      </c>
      <c r="E27" s="1985" t="s">
        <v>561</v>
      </c>
      <c r="F27" s="287" t="s">
        <v>562</v>
      </c>
      <c r="G27" s="287" t="s">
        <v>562</v>
      </c>
      <c r="H27" s="287" t="s">
        <v>544</v>
      </c>
      <c r="I27" s="287" t="s">
        <v>562</v>
      </c>
      <c r="J27" s="287" t="s">
        <v>562</v>
      </c>
      <c r="K27" s="305" t="s">
        <v>544</v>
      </c>
      <c r="L27" s="421" t="s">
        <v>512</v>
      </c>
      <c r="M27" s="307" t="str">
        <f t="shared" si="8"/>
        <v>EB</v>
      </c>
      <c r="N27" s="2013">
        <v>0</v>
      </c>
      <c r="O27" s="305" t="str">
        <f t="shared" si="9"/>
        <v>EB</v>
      </c>
      <c r="P27" s="2013">
        <v>0</v>
      </c>
      <c r="Q27" s="425" t="str">
        <f t="shared" si="0"/>
        <v>EB</v>
      </c>
      <c r="R27" s="421" t="str">
        <f t="shared" si="1"/>
        <v>EB</v>
      </c>
      <c r="S27" s="421"/>
      <c r="T27" s="307" t="str">
        <f t="shared" si="10"/>
        <v>EB</v>
      </c>
      <c r="U27" s="2013">
        <v>0</v>
      </c>
      <c r="V27" s="305" t="str">
        <f t="shared" si="11"/>
        <v>NC</v>
      </c>
      <c r="W27" s="2013">
        <v>0</v>
      </c>
      <c r="X27" s="321" t="str">
        <f t="shared" si="2"/>
        <v>EB</v>
      </c>
      <c r="Y27" s="319" t="str">
        <f t="shared" si="3"/>
        <v>NC</v>
      </c>
      <c r="Z27" s="212"/>
      <c r="AA27" s="272">
        <f>重み_前!M27</f>
        <v>0</v>
      </c>
      <c r="AB27" s="272">
        <f>重み_後!N27</f>
        <v>8.5581340479410992E-3</v>
      </c>
      <c r="AC27" s="242">
        <f>重み_前!D27</f>
        <v>0</v>
      </c>
      <c r="AD27" s="242"/>
      <c r="AE27" s="242">
        <f>重み_後!D27</f>
        <v>0</v>
      </c>
      <c r="AF27" s="242"/>
      <c r="AG27" s="242"/>
      <c r="AH27" s="243">
        <f>重み_前!N27</f>
        <v>8.3550913838120102E-3</v>
      </c>
      <c r="AI27" s="243">
        <f>重み_後!O27</f>
        <v>0.2</v>
      </c>
      <c r="AJ27" s="242">
        <f>重み_前!E27</f>
        <v>0</v>
      </c>
      <c r="AK27" s="242"/>
      <c r="AL27" s="242">
        <f>重み_後!E27</f>
        <v>0</v>
      </c>
    </row>
    <row r="28" spans="2:38" ht="13.5" hidden="1">
      <c r="B28" s="295"/>
      <c r="C28" s="2309"/>
      <c r="D28" s="2009">
        <v>7</v>
      </c>
      <c r="E28" s="1985" t="s">
        <v>1676</v>
      </c>
      <c r="F28" s="287" t="s">
        <v>558</v>
      </c>
      <c r="G28" s="287" t="s">
        <v>558</v>
      </c>
      <c r="H28" s="287" t="s">
        <v>544</v>
      </c>
      <c r="I28" s="287" t="s">
        <v>558</v>
      </c>
      <c r="J28" s="287" t="s">
        <v>558</v>
      </c>
      <c r="K28" s="305" t="s">
        <v>544</v>
      </c>
      <c r="L28" s="421" t="s">
        <v>512</v>
      </c>
      <c r="M28" s="307" t="str">
        <f t="shared" si="8"/>
        <v>EB</v>
      </c>
      <c r="N28" s="2013">
        <v>0</v>
      </c>
      <c r="O28" s="305" t="str">
        <f t="shared" si="9"/>
        <v>EB</v>
      </c>
      <c r="P28" s="2013">
        <v>0</v>
      </c>
      <c r="Q28" s="425" t="str">
        <f t="shared" si="0"/>
        <v>EB</v>
      </c>
      <c r="R28" s="421" t="str">
        <f t="shared" si="1"/>
        <v>EB</v>
      </c>
      <c r="S28" s="421"/>
      <c r="T28" s="307" t="str">
        <f t="shared" si="10"/>
        <v>EB</v>
      </c>
      <c r="U28" s="2013">
        <v>0</v>
      </c>
      <c r="V28" s="305" t="str">
        <f t="shared" si="11"/>
        <v>NC</v>
      </c>
      <c r="W28" s="2013">
        <v>0</v>
      </c>
      <c r="X28" s="321" t="str">
        <f t="shared" si="2"/>
        <v>EB</v>
      </c>
      <c r="Y28" s="319" t="str">
        <f t="shared" si="3"/>
        <v>NC</v>
      </c>
      <c r="Z28" s="212"/>
      <c r="AA28" s="272">
        <f>重み_前!M28</f>
        <v>7.1801566579634477E-2</v>
      </c>
      <c r="AB28" s="272">
        <f>重み_後!N28</f>
        <v>0.1002906333743098</v>
      </c>
      <c r="AC28" s="242">
        <f>重み_前!D28</f>
        <v>0</v>
      </c>
      <c r="AD28" s="242"/>
      <c r="AE28" s="242">
        <f>重み_後!D28</f>
        <v>0</v>
      </c>
      <c r="AF28" s="242"/>
      <c r="AG28" s="242"/>
      <c r="AH28" s="243">
        <f>重み_前!N28</f>
        <v>0</v>
      </c>
      <c r="AI28" s="243">
        <f>重み_後!O28</f>
        <v>0</v>
      </c>
      <c r="AJ28" s="242">
        <f>重み_前!E28</f>
        <v>0</v>
      </c>
      <c r="AK28" s="242"/>
      <c r="AL28" s="242">
        <f>重み_後!E28</f>
        <v>0</v>
      </c>
    </row>
    <row r="29" spans="2:38" ht="13.5" hidden="1">
      <c r="B29" s="295"/>
      <c r="C29" s="2309"/>
      <c r="D29" s="2009">
        <v>8</v>
      </c>
      <c r="E29" s="1985" t="s">
        <v>563</v>
      </c>
      <c r="F29" s="287" t="s">
        <v>558</v>
      </c>
      <c r="G29" s="287" t="s">
        <v>558</v>
      </c>
      <c r="H29" s="287" t="s">
        <v>544</v>
      </c>
      <c r="I29" s="287" t="s">
        <v>558</v>
      </c>
      <c r="J29" s="287" t="s">
        <v>558</v>
      </c>
      <c r="K29" s="305" t="s">
        <v>544</v>
      </c>
      <c r="L29" s="421" t="s">
        <v>512</v>
      </c>
      <c r="M29" s="307" t="str">
        <f t="shared" si="8"/>
        <v>EB</v>
      </c>
      <c r="N29" s="2013">
        <v>0</v>
      </c>
      <c r="O29" s="305" t="str">
        <f t="shared" si="9"/>
        <v>EB</v>
      </c>
      <c r="P29" s="2013">
        <v>0</v>
      </c>
      <c r="Q29" s="425" t="str">
        <f t="shared" si="0"/>
        <v>EB</v>
      </c>
      <c r="R29" s="421" t="str">
        <f t="shared" si="1"/>
        <v>EB</v>
      </c>
      <c r="S29" s="421"/>
      <c r="T29" s="307" t="str">
        <f t="shared" si="10"/>
        <v>EB</v>
      </c>
      <c r="U29" s="2013">
        <v>0</v>
      </c>
      <c r="V29" s="305" t="str">
        <f t="shared" si="11"/>
        <v>NC</v>
      </c>
      <c r="W29" s="2013">
        <v>0</v>
      </c>
      <c r="X29" s="321" t="str">
        <f t="shared" si="2"/>
        <v>EB</v>
      </c>
      <c r="Y29" s="319" t="str">
        <f t="shared" si="3"/>
        <v>NC</v>
      </c>
      <c r="Z29" s="212"/>
      <c r="AA29" s="272">
        <f>重み_前!M29</f>
        <v>2.6109660574412538E-2</v>
      </c>
      <c r="AB29" s="272">
        <f>重み_後!N29</f>
        <v>0</v>
      </c>
      <c r="AC29" s="242">
        <f>重み_前!D29</f>
        <v>0</v>
      </c>
      <c r="AD29" s="242"/>
      <c r="AE29" s="242">
        <f>重み_後!D29</f>
        <v>0</v>
      </c>
      <c r="AF29" s="242"/>
      <c r="AG29" s="242"/>
      <c r="AH29" s="243">
        <f>重み_前!N29</f>
        <v>0</v>
      </c>
      <c r="AI29" s="243">
        <f>重み_後!O29</f>
        <v>0</v>
      </c>
      <c r="AJ29" s="242">
        <f>重み_前!E29</f>
        <v>0</v>
      </c>
      <c r="AK29" s="242"/>
      <c r="AL29" s="242">
        <f>重み_後!E29</f>
        <v>0</v>
      </c>
    </row>
    <row r="30" spans="2:38" ht="14.25" thickBot="1">
      <c r="B30" s="295"/>
      <c r="C30" s="323">
        <v>2.2000000000000002</v>
      </c>
      <c r="D30" s="324" t="s">
        <v>878</v>
      </c>
      <c r="E30" s="327"/>
      <c r="F30" s="287" t="s">
        <v>553</v>
      </c>
      <c r="G30" s="287" t="s">
        <v>553</v>
      </c>
      <c r="H30" s="287" t="s">
        <v>544</v>
      </c>
      <c r="I30" s="287" t="s">
        <v>553</v>
      </c>
      <c r="J30" s="287" t="s">
        <v>553</v>
      </c>
      <c r="K30" s="305" t="s">
        <v>544</v>
      </c>
      <c r="L30" s="319"/>
      <c r="M30" s="307" t="str">
        <f t="shared" si="8"/>
        <v>EB</v>
      </c>
      <c r="N30" s="325">
        <v>3</v>
      </c>
      <c r="O30" s="305" t="str">
        <f t="shared" si="9"/>
        <v>NC</v>
      </c>
      <c r="P30" s="325">
        <v>3</v>
      </c>
      <c r="Q30" s="314" t="str">
        <f t="shared" si="0"/>
        <v>EB</v>
      </c>
      <c r="R30" s="312" t="str">
        <f t="shared" si="1"/>
        <v>NC</v>
      </c>
      <c r="S30" s="319"/>
      <c r="T30" s="307" t="str">
        <f t="shared" si="10"/>
        <v>EB</v>
      </c>
      <c r="U30" s="325">
        <v>0</v>
      </c>
      <c r="V30" s="305" t="str">
        <f t="shared" si="11"/>
        <v>NC</v>
      </c>
      <c r="W30" s="325">
        <v>0</v>
      </c>
      <c r="X30" s="314" t="str">
        <f t="shared" si="2"/>
        <v>EB</v>
      </c>
      <c r="Y30" s="312" t="str">
        <f t="shared" si="3"/>
        <v>NC</v>
      </c>
      <c r="Z30" s="212"/>
      <c r="AA30" s="272">
        <f>重み_前!M30</f>
        <v>0.20000000000000004</v>
      </c>
      <c r="AB30" s="272">
        <f>重み_後!N30</f>
        <v>0.19830850573407369</v>
      </c>
      <c r="AC30" s="242">
        <f>重み_前!D30</f>
        <v>0.19999999999999998</v>
      </c>
      <c r="AD30" s="242"/>
      <c r="AE30" s="242">
        <f>重み_後!D30</f>
        <v>0.19830850573407369</v>
      </c>
      <c r="AF30" s="242"/>
      <c r="AG30" s="242"/>
      <c r="AH30" s="243">
        <f>重み_前!N30</f>
        <v>0</v>
      </c>
      <c r="AI30" s="243">
        <f>重み_後!O30</f>
        <v>0.95037220843672454</v>
      </c>
      <c r="AJ30" s="242">
        <f>重み_前!E30</f>
        <v>0</v>
      </c>
      <c r="AK30" s="242"/>
      <c r="AL30" s="242">
        <f>重み_後!E30</f>
        <v>0</v>
      </c>
    </row>
    <row r="31" spans="2:38" ht="14.25" thickBot="1">
      <c r="B31" s="295"/>
      <c r="C31" s="315">
        <v>2.2999999999999998</v>
      </c>
      <c r="D31" s="324" t="s">
        <v>564</v>
      </c>
      <c r="E31" s="327"/>
      <c r="F31" s="287" t="s">
        <v>558</v>
      </c>
      <c r="G31" s="287" t="s">
        <v>558</v>
      </c>
      <c r="H31" s="287" t="s">
        <v>565</v>
      </c>
      <c r="I31" s="287">
        <v>0</v>
      </c>
      <c r="J31" s="287">
        <v>0</v>
      </c>
      <c r="K31" s="305" t="s">
        <v>544</v>
      </c>
      <c r="L31" s="312"/>
      <c r="M31" s="307">
        <f t="shared" si="8"/>
        <v>0</v>
      </c>
      <c r="N31" s="339"/>
      <c r="O31" s="305" t="str">
        <f t="shared" si="9"/>
        <v>NC</v>
      </c>
      <c r="P31" s="339"/>
      <c r="Q31" s="301" t="str">
        <f t="shared" si="0"/>
        <v>EB</v>
      </c>
      <c r="R31" s="302" t="str">
        <f t="shared" si="1"/>
        <v>NC</v>
      </c>
      <c r="S31" s="312"/>
      <c r="T31" s="307">
        <f t="shared" si="10"/>
        <v>0</v>
      </c>
      <c r="U31" s="339"/>
      <c r="V31" s="305" t="str">
        <f t="shared" si="11"/>
        <v>NC</v>
      </c>
      <c r="W31" s="339"/>
      <c r="X31" s="301" t="str">
        <f t="shared" si="2"/>
        <v>EB</v>
      </c>
      <c r="Y31" s="302" t="str">
        <f t="shared" si="3"/>
        <v>NC</v>
      </c>
      <c r="Z31" s="212"/>
      <c r="AA31" s="272">
        <f>重み_前!M31</f>
        <v>0.3</v>
      </c>
      <c r="AB31" s="272">
        <f>重み_後!N31</f>
        <v>0.29746275860111043</v>
      </c>
      <c r="AC31" s="242">
        <f>重み_前!D31</f>
        <v>0.29999999999999993</v>
      </c>
      <c r="AD31" s="242"/>
      <c r="AE31" s="242">
        <f>重み_後!D31</f>
        <v>0.29746275860111043</v>
      </c>
      <c r="AF31" s="242"/>
      <c r="AG31" s="242"/>
      <c r="AH31" s="243">
        <f>重み_前!N31</f>
        <v>0</v>
      </c>
      <c r="AI31" s="243">
        <f>重み_後!O31</f>
        <v>0</v>
      </c>
      <c r="AJ31" s="242">
        <f>重み_前!E31</f>
        <v>0</v>
      </c>
      <c r="AK31" s="242"/>
      <c r="AL31" s="242">
        <f>重み_後!E31</f>
        <v>0</v>
      </c>
    </row>
    <row r="32" spans="2:38" ht="13.5">
      <c r="B32" s="295"/>
      <c r="C32" s="2310"/>
      <c r="D32" s="304">
        <v>1</v>
      </c>
      <c r="E32" s="324" t="s">
        <v>566</v>
      </c>
      <c r="F32" s="287" t="s">
        <v>567</v>
      </c>
      <c r="G32" s="287" t="s">
        <v>567</v>
      </c>
      <c r="H32" s="287" t="s">
        <v>568</v>
      </c>
      <c r="I32" s="287" t="s">
        <v>567</v>
      </c>
      <c r="J32" s="287" t="s">
        <v>567</v>
      </c>
      <c r="K32" s="305">
        <v>0</v>
      </c>
      <c r="L32" s="340">
        <f>L31</f>
        <v>0</v>
      </c>
      <c r="M32" s="307" t="str">
        <f t="shared" si="8"/>
        <v>EB</v>
      </c>
      <c r="N32" s="308">
        <v>3</v>
      </c>
      <c r="O32" s="305">
        <f t="shared" si="9"/>
        <v>0</v>
      </c>
      <c r="P32" s="308">
        <v>3</v>
      </c>
      <c r="Q32" s="341" t="str">
        <f t="shared" si="0"/>
        <v>EB</v>
      </c>
      <c r="R32" s="342" t="str">
        <f t="shared" si="1"/>
        <v>NC</v>
      </c>
      <c r="S32" s="340">
        <f>S31</f>
        <v>0</v>
      </c>
      <c r="T32" s="307" t="str">
        <f t="shared" si="10"/>
        <v>EB</v>
      </c>
      <c r="U32" s="308">
        <v>0</v>
      </c>
      <c r="V32" s="305">
        <f t="shared" si="11"/>
        <v>0</v>
      </c>
      <c r="W32" s="308">
        <v>0</v>
      </c>
      <c r="X32" s="341" t="str">
        <f t="shared" si="2"/>
        <v>EB</v>
      </c>
      <c r="Y32" s="342" t="str">
        <f t="shared" si="3"/>
        <v>NC</v>
      </c>
      <c r="Z32" s="212"/>
      <c r="AA32" s="272">
        <f>重み_前!M32</f>
        <v>0.50000000000000011</v>
      </c>
      <c r="AB32" s="272">
        <f>重み_後!N32</f>
        <v>0.5</v>
      </c>
      <c r="AC32" s="242">
        <f>重み_前!D32</f>
        <v>0.5</v>
      </c>
      <c r="AD32" s="242"/>
      <c r="AE32" s="242">
        <f>重み_後!D32</f>
        <v>0.5</v>
      </c>
      <c r="AF32" s="242"/>
      <c r="AG32" s="242"/>
      <c r="AH32" s="243">
        <f>重み_前!N32</f>
        <v>0</v>
      </c>
      <c r="AI32" s="243">
        <f>重み_後!O32</f>
        <v>0</v>
      </c>
      <c r="AJ32" s="242">
        <f>重み_前!E32</f>
        <v>0</v>
      </c>
      <c r="AK32" s="242"/>
      <c r="AL32" s="242">
        <f>重み_後!E32</f>
        <v>0</v>
      </c>
    </row>
    <row r="33" spans="2:38" ht="14.25" thickBot="1">
      <c r="B33" s="2311"/>
      <c r="C33" s="2312"/>
      <c r="D33" s="304">
        <v>2</v>
      </c>
      <c r="E33" s="324" t="s">
        <v>569</v>
      </c>
      <c r="F33" s="287" t="s">
        <v>570</v>
      </c>
      <c r="G33" s="287" t="s">
        <v>570</v>
      </c>
      <c r="H33" s="287" t="s">
        <v>571</v>
      </c>
      <c r="I33" s="287" t="s">
        <v>570</v>
      </c>
      <c r="J33" s="287" t="s">
        <v>570</v>
      </c>
      <c r="K33" s="305">
        <v>0</v>
      </c>
      <c r="L33" s="307">
        <f>L31</f>
        <v>0</v>
      </c>
      <c r="M33" s="307" t="str">
        <f t="shared" si="8"/>
        <v>EB</v>
      </c>
      <c r="N33" s="325">
        <v>3</v>
      </c>
      <c r="O33" s="305">
        <f t="shared" si="9"/>
        <v>0</v>
      </c>
      <c r="P33" s="325">
        <v>3</v>
      </c>
      <c r="Q33" s="343" t="str">
        <f t="shared" si="0"/>
        <v>EB</v>
      </c>
      <c r="R33" s="344" t="str">
        <f t="shared" si="1"/>
        <v>NC</v>
      </c>
      <c r="S33" s="307">
        <f>S31</f>
        <v>0</v>
      </c>
      <c r="T33" s="307" t="str">
        <f t="shared" si="10"/>
        <v>EB</v>
      </c>
      <c r="U33" s="325">
        <v>0</v>
      </c>
      <c r="V33" s="305">
        <f t="shared" si="11"/>
        <v>0</v>
      </c>
      <c r="W33" s="325">
        <v>0</v>
      </c>
      <c r="X33" s="343" t="str">
        <f t="shared" si="2"/>
        <v>EB</v>
      </c>
      <c r="Y33" s="344" t="str">
        <f t="shared" si="3"/>
        <v>NC</v>
      </c>
      <c r="Z33" s="212"/>
      <c r="AA33" s="272">
        <f>重み_前!M33</f>
        <v>0.50000000000000011</v>
      </c>
      <c r="AB33" s="272">
        <f>重み_後!N33</f>
        <v>0.5</v>
      </c>
      <c r="AC33" s="242">
        <f>重み_前!D33</f>
        <v>0.5</v>
      </c>
      <c r="AD33" s="242"/>
      <c r="AE33" s="242">
        <f>重み_後!D33</f>
        <v>0.5</v>
      </c>
      <c r="AF33" s="242"/>
      <c r="AG33" s="242"/>
      <c r="AH33" s="243">
        <f>重み_前!N33</f>
        <v>0</v>
      </c>
      <c r="AI33" s="243">
        <f>重み_後!O33</f>
        <v>0</v>
      </c>
      <c r="AJ33" s="242">
        <f>重み_前!E33</f>
        <v>0</v>
      </c>
      <c r="AK33" s="242"/>
      <c r="AL33" s="242">
        <f>重み_後!E33</f>
        <v>0</v>
      </c>
    </row>
    <row r="34" spans="2:38" ht="13.5">
      <c r="B34" s="395">
        <v>3</v>
      </c>
      <c r="C34" s="326" t="s">
        <v>572</v>
      </c>
      <c r="D34" s="396"/>
      <c r="E34" s="377"/>
      <c r="F34" s="287" t="s">
        <v>553</v>
      </c>
      <c r="G34" s="287" t="s">
        <v>553</v>
      </c>
      <c r="H34" s="287" t="s">
        <v>554</v>
      </c>
      <c r="I34" s="334"/>
      <c r="J34" s="334"/>
      <c r="K34" s="335"/>
      <c r="L34" s="345" t="str">
        <f>IF(COUNTIF(L35:L46,$AA$3)&gt;=ROWS(L35:L46),$AA$3,"")</f>
        <v/>
      </c>
      <c r="M34" s="336"/>
      <c r="N34" s="332"/>
      <c r="O34" s="335"/>
      <c r="P34" s="332"/>
      <c r="Q34" s="341" t="str">
        <f t="shared" si="0"/>
        <v>EB</v>
      </c>
      <c r="R34" s="342" t="str">
        <f t="shared" si="1"/>
        <v>NC</v>
      </c>
      <c r="S34" s="345" t="str">
        <f>IF(COUNTIF(S35:S46,$AA$3)&gt;=ROWS(S35:S46),$AA$3,"")</f>
        <v/>
      </c>
      <c r="T34" s="336"/>
      <c r="U34" s="332"/>
      <c r="V34" s="335"/>
      <c r="W34" s="332"/>
      <c r="X34" s="341" t="str">
        <f t="shared" si="2"/>
        <v>EB</v>
      </c>
      <c r="Y34" s="342" t="str">
        <f t="shared" si="3"/>
        <v>NC</v>
      </c>
      <c r="Z34" s="212"/>
      <c r="AA34" s="272">
        <f>重み_前!M34</f>
        <v>0.25000000000000006</v>
      </c>
      <c r="AB34" s="272">
        <f>重み_後!N34</f>
        <v>0.25025590457147923</v>
      </c>
      <c r="AC34" s="242">
        <f>重み_前!D34</f>
        <v>0.25000000000000006</v>
      </c>
      <c r="AD34" s="242"/>
      <c r="AE34" s="242">
        <f>重み_後!D34</f>
        <v>0.25025590457147923</v>
      </c>
      <c r="AF34" s="242"/>
      <c r="AG34" s="242"/>
      <c r="AH34" s="243">
        <f>重み_前!N34</f>
        <v>1</v>
      </c>
      <c r="AI34" s="243">
        <f>重み_後!O34</f>
        <v>0.35738520696674958</v>
      </c>
      <c r="AJ34" s="242">
        <f>重み_前!E34</f>
        <v>0.25</v>
      </c>
      <c r="AK34" s="242"/>
      <c r="AL34" s="242">
        <f>重み_後!E34</f>
        <v>0.64071370640713698</v>
      </c>
    </row>
    <row r="35" spans="2:38" ht="14.25" thickBot="1">
      <c r="B35" s="295"/>
      <c r="C35" s="296">
        <v>3.1</v>
      </c>
      <c r="D35" s="333" t="s">
        <v>573</v>
      </c>
      <c r="E35" s="377"/>
      <c r="F35" s="287" t="s">
        <v>574</v>
      </c>
      <c r="G35" s="287" t="s">
        <v>574</v>
      </c>
      <c r="H35" s="287" t="s">
        <v>575</v>
      </c>
      <c r="I35" s="334"/>
      <c r="J35" s="334"/>
      <c r="K35" s="335"/>
      <c r="L35" s="299" t="str">
        <f>IF(COUNTIF(L36:L38,$AA$3)&gt;=ROWS(L36:L38),$AA$3,"")</f>
        <v/>
      </c>
      <c r="M35" s="336"/>
      <c r="N35" s="300"/>
      <c r="O35" s="335"/>
      <c r="P35" s="300"/>
      <c r="Q35" s="301" t="str">
        <f t="shared" si="0"/>
        <v>EB</v>
      </c>
      <c r="R35" s="302" t="str">
        <f t="shared" si="1"/>
        <v>NC</v>
      </c>
      <c r="S35" s="299" t="str">
        <f>IF(COUNTIF(S36:S38,$AA$3)&gt;=ROWS(S36:S38),$AA$3,"")</f>
        <v/>
      </c>
      <c r="T35" s="336"/>
      <c r="U35" s="300"/>
      <c r="V35" s="335"/>
      <c r="W35" s="300"/>
      <c r="X35" s="301" t="str">
        <f t="shared" si="2"/>
        <v>EB</v>
      </c>
      <c r="Y35" s="302" t="str">
        <f t="shared" si="3"/>
        <v>NC</v>
      </c>
      <c r="Z35" s="212"/>
      <c r="AA35" s="272">
        <f>重み_前!M35</f>
        <v>0.48276762402088774</v>
      </c>
      <c r="AB35" s="272">
        <f>重み_後!N35</f>
        <v>0.29848803557218639</v>
      </c>
      <c r="AC35" s="242">
        <f>重み_前!D35</f>
        <v>0.48276762402088774</v>
      </c>
      <c r="AD35" s="242"/>
      <c r="AE35" s="242">
        <f>重み_後!D35</f>
        <v>0.29848803557218639</v>
      </c>
      <c r="AF35" s="242"/>
      <c r="AG35" s="242"/>
      <c r="AH35" s="243">
        <f>重み_前!N35</f>
        <v>6.2663185378590081E-3</v>
      </c>
      <c r="AI35" s="243">
        <f>重み_後!O35</f>
        <v>1.518987341772152E-2</v>
      </c>
      <c r="AJ35" s="242">
        <f>重み_前!E35</f>
        <v>0.3</v>
      </c>
      <c r="AK35" s="242"/>
      <c r="AL35" s="242">
        <f>重み_後!E35</f>
        <v>1.518987341772152E-2</v>
      </c>
    </row>
    <row r="36" spans="2:38" ht="13.5">
      <c r="B36" s="295"/>
      <c r="C36" s="2309"/>
      <c r="D36" s="304">
        <v>1</v>
      </c>
      <c r="E36" s="324" t="s">
        <v>578</v>
      </c>
      <c r="F36" s="287" t="s">
        <v>579</v>
      </c>
      <c r="G36" s="287" t="s">
        <v>579</v>
      </c>
      <c r="H36" s="287" t="s">
        <v>544</v>
      </c>
      <c r="I36" s="287" t="s">
        <v>579</v>
      </c>
      <c r="J36" s="287" t="s">
        <v>579</v>
      </c>
      <c r="K36" s="305" t="s">
        <v>544</v>
      </c>
      <c r="L36" s="306"/>
      <c r="M36" s="307" t="str">
        <f>IF(L36=$AA$3,$I36,$J36)</f>
        <v>EB</v>
      </c>
      <c r="N36" s="308">
        <v>3</v>
      </c>
      <c r="O36" s="305" t="str">
        <f>IF(L36=$AA$3,$I36,$K36)</f>
        <v>NC</v>
      </c>
      <c r="P36" s="308">
        <v>3</v>
      </c>
      <c r="Q36" s="309" t="str">
        <f t="shared" si="0"/>
        <v>EB</v>
      </c>
      <c r="R36" s="306" t="str">
        <f t="shared" si="1"/>
        <v>NC</v>
      </c>
      <c r="S36" s="306"/>
      <c r="T36" s="307" t="str">
        <f>IF(S36=$AA$3,$I36,$J36)</f>
        <v>EB</v>
      </c>
      <c r="U36" s="308">
        <v>3</v>
      </c>
      <c r="V36" s="305" t="str">
        <f>IF(S36=$AA$3,$I36,$K36)</f>
        <v>NC</v>
      </c>
      <c r="W36" s="308">
        <v>3</v>
      </c>
      <c r="X36" s="309" t="str">
        <f t="shared" si="2"/>
        <v>EB</v>
      </c>
      <c r="Y36" s="306" t="str">
        <f t="shared" si="3"/>
        <v>NC</v>
      </c>
      <c r="Z36" s="212"/>
      <c r="AA36" s="272">
        <f>重み_前!M36</f>
        <v>0.44334203655352478</v>
      </c>
      <c r="AB36" s="272">
        <f>重み_後!N36</f>
        <v>0.59999999999999987</v>
      </c>
      <c r="AC36" s="242">
        <f>重み_前!D36</f>
        <v>0.44334203655352478</v>
      </c>
      <c r="AD36" s="242"/>
      <c r="AE36" s="242">
        <f>重み_後!D36</f>
        <v>0.6</v>
      </c>
      <c r="AF36" s="242"/>
      <c r="AG36" s="242"/>
      <c r="AH36" s="243">
        <f>重み_前!N36</f>
        <v>1.0443864229765013E-2</v>
      </c>
      <c r="AI36" s="243">
        <f>重み_後!O36</f>
        <v>0.5</v>
      </c>
      <c r="AJ36" s="242">
        <f>重み_前!E36</f>
        <v>0.5</v>
      </c>
      <c r="AK36" s="242"/>
      <c r="AL36" s="242">
        <f>重み_後!E36</f>
        <v>0.5</v>
      </c>
    </row>
    <row r="37" spans="2:38" ht="13.5">
      <c r="B37" s="295"/>
      <c r="C37" s="2309"/>
      <c r="D37" s="304">
        <v>2</v>
      </c>
      <c r="E37" s="324" t="s">
        <v>580</v>
      </c>
      <c r="F37" s="287" t="s">
        <v>581</v>
      </c>
      <c r="G37" s="287" t="s">
        <v>581</v>
      </c>
      <c r="H37" s="287" t="s">
        <v>544</v>
      </c>
      <c r="I37" s="287" t="s">
        <v>581</v>
      </c>
      <c r="J37" s="287" t="s">
        <v>581</v>
      </c>
      <c r="K37" s="305" t="s">
        <v>544</v>
      </c>
      <c r="L37" s="319"/>
      <c r="M37" s="307" t="str">
        <f>IF(L37=$AA$3,$I37,$J37)</f>
        <v>EB</v>
      </c>
      <c r="N37" s="320">
        <v>3</v>
      </c>
      <c r="O37" s="305" t="str">
        <f>IF(L37=$AA$3,$I37,$K37)</f>
        <v>NC</v>
      </c>
      <c r="P37" s="320">
        <v>3</v>
      </c>
      <c r="Q37" s="321" t="str">
        <f t="shared" si="0"/>
        <v>EB</v>
      </c>
      <c r="R37" s="319" t="str">
        <f t="shared" si="1"/>
        <v>NC</v>
      </c>
      <c r="S37" s="319"/>
      <c r="T37" s="307" t="str">
        <f>IF(S37=$AA$3,$I37,$J37)</f>
        <v>EB</v>
      </c>
      <c r="U37" s="320">
        <v>3</v>
      </c>
      <c r="V37" s="305" t="str">
        <f>IF(S37=$AA$3,$I37,$K37)</f>
        <v>NC</v>
      </c>
      <c r="W37" s="320">
        <v>3</v>
      </c>
      <c r="X37" s="321" t="str">
        <f t="shared" si="2"/>
        <v>EB</v>
      </c>
      <c r="Y37" s="319" t="str">
        <f t="shared" si="3"/>
        <v>NC</v>
      </c>
      <c r="Z37" s="212"/>
      <c r="AA37" s="272">
        <f>重み_前!M37</f>
        <v>0</v>
      </c>
      <c r="AB37" s="272">
        <f>重み_後!N37</f>
        <v>0</v>
      </c>
      <c r="AC37" s="242">
        <f>重み_前!D37</f>
        <v>0</v>
      </c>
      <c r="AD37" s="242"/>
      <c r="AE37" s="242">
        <f>重み_後!D37</f>
        <v>0</v>
      </c>
      <c r="AF37" s="242"/>
      <c r="AG37" s="242"/>
      <c r="AH37" s="243">
        <f>重み_前!N37</f>
        <v>6.2663185378590081E-3</v>
      </c>
      <c r="AI37" s="243">
        <f>重み_後!O37</f>
        <v>0.3</v>
      </c>
      <c r="AJ37" s="242">
        <f>重み_前!E37</f>
        <v>0.3</v>
      </c>
      <c r="AK37" s="242"/>
      <c r="AL37" s="242">
        <f>重み_後!E37</f>
        <v>0.3</v>
      </c>
    </row>
    <row r="38" spans="2:38" ht="14.25" thickBot="1">
      <c r="B38" s="295"/>
      <c r="C38" s="2313"/>
      <c r="D38" s="304">
        <v>3</v>
      </c>
      <c r="E38" s="324" t="s">
        <v>582</v>
      </c>
      <c r="F38" s="287" t="s">
        <v>583</v>
      </c>
      <c r="G38" s="287" t="s">
        <v>583</v>
      </c>
      <c r="H38" s="287" t="s">
        <v>544</v>
      </c>
      <c r="I38" s="287" t="s">
        <v>583</v>
      </c>
      <c r="J38" s="287" t="s">
        <v>583</v>
      </c>
      <c r="K38" s="305" t="s">
        <v>544</v>
      </c>
      <c r="L38" s="312"/>
      <c r="M38" s="307" t="str">
        <f>IF(L38=$AA$3,$I38,$J38)</f>
        <v>EB</v>
      </c>
      <c r="N38" s="313">
        <v>3</v>
      </c>
      <c r="O38" s="305" t="str">
        <f>IF(L38=$AA$3,$I38,$K38)</f>
        <v>NC</v>
      </c>
      <c r="P38" s="313">
        <v>3</v>
      </c>
      <c r="Q38" s="314" t="str">
        <f t="shared" si="0"/>
        <v>EB</v>
      </c>
      <c r="R38" s="312" t="str">
        <f t="shared" si="1"/>
        <v>NC</v>
      </c>
      <c r="S38" s="312"/>
      <c r="T38" s="307" t="str">
        <f>IF(S38=$AA$3,$I38,$J38)</f>
        <v>EB</v>
      </c>
      <c r="U38" s="313">
        <v>3</v>
      </c>
      <c r="V38" s="305" t="str">
        <f>IF(S38=$AA$3,$I38,$K38)</f>
        <v>NC</v>
      </c>
      <c r="W38" s="313">
        <v>3</v>
      </c>
      <c r="X38" s="314" t="str">
        <f t="shared" si="2"/>
        <v>EB</v>
      </c>
      <c r="Y38" s="312" t="str">
        <f t="shared" si="3"/>
        <v>NC</v>
      </c>
      <c r="Z38" s="212"/>
      <c r="AA38" s="272">
        <f>重み_前!M38</f>
        <v>0.55665796344647522</v>
      </c>
      <c r="AB38" s="272">
        <f>重み_後!N38</f>
        <v>0.4</v>
      </c>
      <c r="AC38" s="242">
        <f>重み_前!D38</f>
        <v>0.55665796344647522</v>
      </c>
      <c r="AD38" s="242"/>
      <c r="AE38" s="242">
        <f>重み_後!D38</f>
        <v>0.40000000000000008</v>
      </c>
      <c r="AF38" s="242"/>
      <c r="AG38" s="242"/>
      <c r="AH38" s="243">
        <f>重み_前!N38</f>
        <v>4.1775456919060051E-3</v>
      </c>
      <c r="AI38" s="243">
        <f>重み_後!O38</f>
        <v>0.19999999999999998</v>
      </c>
      <c r="AJ38" s="242">
        <f>重み_前!E38</f>
        <v>0.19999999999999998</v>
      </c>
      <c r="AK38" s="242"/>
      <c r="AL38" s="242">
        <f>重み_後!E38</f>
        <v>0.19999999999999998</v>
      </c>
    </row>
    <row r="39" spans="2:38" ht="14.25" thickBot="1">
      <c r="B39" s="338"/>
      <c r="C39" s="315">
        <v>3.2</v>
      </c>
      <c r="D39" s="297" t="s">
        <v>584</v>
      </c>
      <c r="E39" s="377"/>
      <c r="F39" s="287" t="s">
        <v>585</v>
      </c>
      <c r="G39" s="287" t="s">
        <v>585</v>
      </c>
      <c r="H39" s="287" t="s">
        <v>586</v>
      </c>
      <c r="I39" s="334"/>
      <c r="J39" s="334"/>
      <c r="K39" s="335"/>
      <c r="L39" s="302" t="str">
        <f>IF(COUNTIF(L40:L41,$AA$3)&gt;=ROWS(L40:L41),$AA$3,"")</f>
        <v/>
      </c>
      <c r="M39" s="336"/>
      <c r="N39" s="316"/>
      <c r="O39" s="335"/>
      <c r="P39" s="316"/>
      <c r="Q39" s="317" t="str">
        <f t="shared" si="0"/>
        <v>EB</v>
      </c>
      <c r="R39" s="318" t="str">
        <f t="shared" si="1"/>
        <v>NC</v>
      </c>
      <c r="S39" s="302" t="str">
        <f>IF(COUNTIF(S40:S41,$AA$3)&gt;=ROWS(S40:S41),$AA$3,"")</f>
        <v/>
      </c>
      <c r="T39" s="336"/>
      <c r="U39" s="316"/>
      <c r="V39" s="335"/>
      <c r="W39" s="316"/>
      <c r="X39" s="317" t="str">
        <f t="shared" si="2"/>
        <v>EB</v>
      </c>
      <c r="Y39" s="318" t="str">
        <f t="shared" si="3"/>
        <v>NC</v>
      </c>
      <c r="Z39" s="212"/>
      <c r="AA39" s="272">
        <f>重み_前!M39</f>
        <v>0.22167101827676239</v>
      </c>
      <c r="AB39" s="272">
        <f>重み_後!N39</f>
        <v>0.30352791699823189</v>
      </c>
      <c r="AC39" s="242">
        <f>重み_前!D39</f>
        <v>0.22167101827676239</v>
      </c>
      <c r="AD39" s="242"/>
      <c r="AE39" s="242">
        <f>重み_後!D39</f>
        <v>0.30352791699823189</v>
      </c>
      <c r="AF39" s="242"/>
      <c r="AG39" s="242"/>
      <c r="AH39" s="243">
        <f>重み_前!N39</f>
        <v>6.2663185378590081E-3</v>
      </c>
      <c r="AI39" s="243">
        <f>重み_後!O39</f>
        <v>1.518987341772152E-2</v>
      </c>
      <c r="AJ39" s="242">
        <f>重み_前!E39</f>
        <v>0.3</v>
      </c>
      <c r="AK39" s="242"/>
      <c r="AL39" s="242">
        <f>重み_後!E39</f>
        <v>1.518987341772152E-2</v>
      </c>
    </row>
    <row r="40" spans="2:38" ht="13.5" hidden="1">
      <c r="B40" s="338"/>
      <c r="C40" s="2309"/>
      <c r="D40" s="2009">
        <v>1</v>
      </c>
      <c r="E40" s="1985" t="s">
        <v>587</v>
      </c>
      <c r="F40" s="287" t="s">
        <v>588</v>
      </c>
      <c r="G40" s="287" t="s">
        <v>588</v>
      </c>
      <c r="H40" s="287" t="s">
        <v>544</v>
      </c>
      <c r="I40" s="287" t="s">
        <v>588</v>
      </c>
      <c r="J40" s="287" t="s">
        <v>588</v>
      </c>
      <c r="K40" s="305" t="s">
        <v>544</v>
      </c>
      <c r="L40" s="421" t="s">
        <v>512</v>
      </c>
      <c r="M40" s="307" t="str">
        <f>IF(L40=$AA$3,$I40,$J40)</f>
        <v>EB</v>
      </c>
      <c r="N40" s="2013">
        <v>0</v>
      </c>
      <c r="O40" s="305" t="str">
        <f>IF(L40=$AA$3,$I40,$K40)</f>
        <v>EB</v>
      </c>
      <c r="P40" s="2013">
        <v>0</v>
      </c>
      <c r="Q40" s="425" t="str">
        <f t="shared" si="0"/>
        <v>EB</v>
      </c>
      <c r="R40" s="421" t="str">
        <f t="shared" si="1"/>
        <v>EB</v>
      </c>
      <c r="S40" s="421"/>
      <c r="T40" s="307" t="str">
        <f>IF(S40=$AA$3,$I40,$J40)</f>
        <v>EB</v>
      </c>
      <c r="U40" s="2013">
        <v>0</v>
      </c>
      <c r="V40" s="305" t="str">
        <f>IF(S40=$AA$3,$I40,$K40)</f>
        <v>NC</v>
      </c>
      <c r="W40" s="2013">
        <v>0</v>
      </c>
      <c r="X40" s="309" t="str">
        <f t="shared" si="2"/>
        <v>EB</v>
      </c>
      <c r="Y40" s="306" t="str">
        <f t="shared" si="3"/>
        <v>NC</v>
      </c>
      <c r="Z40" s="212"/>
      <c r="AA40" s="272">
        <f>重み_前!M40</f>
        <v>0.29556135770234992</v>
      </c>
      <c r="AB40" s="272">
        <f>重み_後!N40</f>
        <v>0.40996260536932738</v>
      </c>
      <c r="AC40" s="242">
        <f>重み_前!D40</f>
        <v>0</v>
      </c>
      <c r="AD40" s="242"/>
      <c r="AE40" s="242">
        <f>重み_後!D40</f>
        <v>0</v>
      </c>
      <c r="AF40" s="242"/>
      <c r="AG40" s="242"/>
      <c r="AH40" s="243">
        <f>重み_前!N40</f>
        <v>8.3550913838120102E-3</v>
      </c>
      <c r="AI40" s="243">
        <f>重み_後!O40</f>
        <v>0.39999999999999997</v>
      </c>
      <c r="AJ40" s="242">
        <f>重み_前!E40</f>
        <v>0</v>
      </c>
      <c r="AK40" s="242"/>
      <c r="AL40" s="242">
        <f>重み_後!E40</f>
        <v>0</v>
      </c>
    </row>
    <row r="41" spans="2:38" ht="13.5">
      <c r="B41" s="338"/>
      <c r="C41" s="2309"/>
      <c r="D41" s="304">
        <v>1</v>
      </c>
      <c r="E41" s="324" t="s">
        <v>589</v>
      </c>
      <c r="F41" s="287" t="s">
        <v>581</v>
      </c>
      <c r="G41" s="287" t="s">
        <v>581</v>
      </c>
      <c r="H41" s="287" t="s">
        <v>544</v>
      </c>
      <c r="I41" s="287" t="s">
        <v>581</v>
      </c>
      <c r="J41" s="287" t="s">
        <v>581</v>
      </c>
      <c r="K41" s="305" t="s">
        <v>544</v>
      </c>
      <c r="L41" s="319"/>
      <c r="M41" s="307" t="str">
        <f t="shared" ref="M41:M46" si="12">IF(L41=$AA$3,$I41,$J41)</f>
        <v>EB</v>
      </c>
      <c r="N41" s="320">
        <v>3</v>
      </c>
      <c r="O41" s="305" t="str">
        <f t="shared" ref="O41:O46" si="13">IF(L41=$AA$3,$I41,$K41)</f>
        <v>NC</v>
      </c>
      <c r="P41" s="320">
        <v>3</v>
      </c>
      <c r="Q41" s="321" t="str">
        <f>IF(L41=$AA$3,$F41,$G41)</f>
        <v>EB</v>
      </c>
      <c r="R41" s="319" t="str">
        <f>IF(L41=$AA$3,$F41,$H41)</f>
        <v>NC</v>
      </c>
      <c r="S41" s="319"/>
      <c r="T41" s="307" t="str">
        <f t="shared" ref="T41:T46" si="14">IF(S41=$AA$3,$I41,$J41)</f>
        <v>EB</v>
      </c>
      <c r="U41" s="320">
        <v>3</v>
      </c>
      <c r="V41" s="305" t="str">
        <f t="shared" ref="V41:V46" si="15">IF(S41=$AA$3,$I41,$K41)</f>
        <v>NC</v>
      </c>
      <c r="W41" s="320">
        <v>3</v>
      </c>
      <c r="X41" s="321" t="str">
        <f t="shared" si="2"/>
        <v>EB</v>
      </c>
      <c r="Y41" s="319" t="str">
        <f t="shared" si="3"/>
        <v>NC</v>
      </c>
      <c r="Z41" s="212"/>
      <c r="AA41" s="272">
        <f>重み_前!M41</f>
        <v>0.44334203655352478</v>
      </c>
      <c r="AB41" s="272">
        <f>重み_後!N41</f>
        <v>0.59003739463067262</v>
      </c>
      <c r="AC41" s="242">
        <f>重み_前!D41</f>
        <v>1</v>
      </c>
      <c r="AD41" s="242"/>
      <c r="AE41" s="242">
        <f>重み_後!D41</f>
        <v>1</v>
      </c>
      <c r="AF41" s="242"/>
      <c r="AG41" s="242"/>
      <c r="AH41" s="243">
        <f>重み_前!N41</f>
        <v>1.2532637075718016E-2</v>
      </c>
      <c r="AI41" s="243">
        <f>重み_後!O41</f>
        <v>0.6</v>
      </c>
      <c r="AJ41" s="242">
        <f>重み_前!E41</f>
        <v>1</v>
      </c>
      <c r="AK41" s="242"/>
      <c r="AL41" s="242">
        <f>重み_後!E41</f>
        <v>1</v>
      </c>
    </row>
    <row r="42" spans="2:38" ht="14.25" thickBot="1">
      <c r="B42" s="338"/>
      <c r="C42" s="2313"/>
      <c r="D42" s="304">
        <v>2</v>
      </c>
      <c r="E42" s="324" t="s">
        <v>787</v>
      </c>
      <c r="F42" s="287" t="s">
        <v>581</v>
      </c>
      <c r="G42" s="287" t="s">
        <v>581</v>
      </c>
      <c r="H42" s="287" t="s">
        <v>544</v>
      </c>
      <c r="I42" s="287" t="s">
        <v>581</v>
      </c>
      <c r="J42" s="287" t="s">
        <v>581</v>
      </c>
      <c r="K42" s="305">
        <v>0</v>
      </c>
      <c r="L42" s="320"/>
      <c r="M42" s="307" t="str">
        <f t="shared" si="12"/>
        <v>EB</v>
      </c>
      <c r="N42" s="320">
        <v>3</v>
      </c>
      <c r="O42" s="305">
        <f t="shared" si="13"/>
        <v>0</v>
      </c>
      <c r="P42" s="320">
        <v>3</v>
      </c>
      <c r="Q42" s="314" t="str">
        <f>IF(L42=$AA$3,$F42,$G42)</f>
        <v>EB</v>
      </c>
      <c r="R42" s="312" t="str">
        <f>IF(L42=$AA$3,$F42,$H42)</f>
        <v>NC</v>
      </c>
      <c r="S42" s="320"/>
      <c r="T42" s="307" t="str">
        <f t="shared" si="14"/>
        <v>EB</v>
      </c>
      <c r="U42" s="320">
        <v>3</v>
      </c>
      <c r="V42" s="305">
        <f t="shared" si="15"/>
        <v>0</v>
      </c>
      <c r="W42" s="320">
        <v>3</v>
      </c>
      <c r="X42" s="314" t="str">
        <f t="shared" si="2"/>
        <v>EB</v>
      </c>
      <c r="Y42" s="312" t="str">
        <f t="shared" si="3"/>
        <v>NC</v>
      </c>
      <c r="Z42" s="212"/>
      <c r="AA42" s="272">
        <f>重み_前!M42</f>
        <v>0</v>
      </c>
      <c r="AB42" s="272">
        <f>重み_後!N42</f>
        <v>0</v>
      </c>
      <c r="AC42" s="242">
        <f>重み_前!D42</f>
        <v>0</v>
      </c>
      <c r="AD42" s="242"/>
      <c r="AE42" s="242">
        <f>重み_後!D42</f>
        <v>0</v>
      </c>
      <c r="AF42" s="242"/>
      <c r="AG42" s="242"/>
      <c r="AH42" s="243">
        <f>重み_前!N42</f>
        <v>0</v>
      </c>
      <c r="AI42" s="243">
        <f>重み_後!O42</f>
        <v>0</v>
      </c>
      <c r="AJ42" s="242">
        <f>重み_前!E42</f>
        <v>0</v>
      </c>
      <c r="AK42" s="242"/>
      <c r="AL42" s="242">
        <f>重み_後!E42</f>
        <v>0</v>
      </c>
    </row>
    <row r="43" spans="2:38" ht="13.5">
      <c r="B43" s="347"/>
      <c r="C43" s="296">
        <v>3.3</v>
      </c>
      <c r="D43" s="333" t="s">
        <v>590</v>
      </c>
      <c r="E43" s="333"/>
      <c r="F43" s="287" t="s">
        <v>381</v>
      </c>
      <c r="G43" s="287" t="s">
        <v>381</v>
      </c>
      <c r="H43" s="287" t="s">
        <v>382</v>
      </c>
      <c r="I43" s="287" t="s">
        <v>581</v>
      </c>
      <c r="J43" s="287" t="s">
        <v>581</v>
      </c>
      <c r="K43" s="305" t="s">
        <v>544</v>
      </c>
      <c r="L43" s="319"/>
      <c r="M43" s="307" t="str">
        <f t="shared" si="12"/>
        <v>EB</v>
      </c>
      <c r="N43" s="320">
        <v>3</v>
      </c>
      <c r="O43" s="305" t="str">
        <f t="shared" si="13"/>
        <v>NC</v>
      </c>
      <c r="P43" s="320">
        <v>3</v>
      </c>
      <c r="Q43" s="309" t="str">
        <f>IF(L43=$AA$3,$F43,$G43)</f>
        <v>EB</v>
      </c>
      <c r="R43" s="306" t="str">
        <f>IF(L43=$AA$3,$F43,$H43)</f>
        <v>NC</v>
      </c>
      <c r="S43" s="319"/>
      <c r="T43" s="307" t="str">
        <f t="shared" si="14"/>
        <v>EB</v>
      </c>
      <c r="U43" s="320">
        <v>3</v>
      </c>
      <c r="V43" s="305" t="str">
        <f t="shared" si="15"/>
        <v>NC</v>
      </c>
      <c r="W43" s="320">
        <v>3</v>
      </c>
      <c r="X43" s="317" t="str">
        <f t="shared" ref="X43:X60" si="16">IF(S43=$AA$3,$F43,$G43)</f>
        <v>EB</v>
      </c>
      <c r="Y43" s="318" t="str">
        <f t="shared" ref="Y43:Y60" si="17">IF(S43=$AA$3,$F43,$H43)</f>
        <v>NC</v>
      </c>
      <c r="Z43" s="212"/>
      <c r="AA43" s="272">
        <f>重み_前!M43</f>
        <v>0.11083550913838119</v>
      </c>
      <c r="AB43" s="272">
        <f>重み_後!N43</f>
        <v>0.14924401778609317</v>
      </c>
      <c r="AC43" s="242">
        <f>重み_前!D43</f>
        <v>0.11083550913838119</v>
      </c>
      <c r="AD43" s="242"/>
      <c r="AE43" s="242">
        <f>重み_後!D43</f>
        <v>0.14924401778609317</v>
      </c>
      <c r="AF43" s="242"/>
      <c r="AG43" s="242"/>
      <c r="AH43" s="243">
        <f>重み_前!N43</f>
        <v>3.133159268929504E-3</v>
      </c>
      <c r="AI43" s="243">
        <f>重み_後!O43</f>
        <v>0.36360759493670886</v>
      </c>
      <c r="AJ43" s="242">
        <f>重み_前!E43</f>
        <v>0.15</v>
      </c>
      <c r="AK43" s="242"/>
      <c r="AL43" s="242">
        <f>重み_後!E43</f>
        <v>0.36360759493670886</v>
      </c>
    </row>
    <row r="44" spans="2:38" ht="13.5" hidden="1">
      <c r="B44" s="347"/>
      <c r="C44" s="2314"/>
      <c r="D44" s="2009">
        <v>1</v>
      </c>
      <c r="E44" s="1985" t="s">
        <v>1677</v>
      </c>
      <c r="F44" s="287" t="s">
        <v>381</v>
      </c>
      <c r="G44" s="287" t="s">
        <v>381</v>
      </c>
      <c r="H44" s="287" t="s">
        <v>544</v>
      </c>
      <c r="I44" s="287" t="s">
        <v>381</v>
      </c>
      <c r="J44" s="287" t="s">
        <v>381</v>
      </c>
      <c r="K44" s="305" t="s">
        <v>544</v>
      </c>
      <c r="L44" s="306" t="s">
        <v>512</v>
      </c>
      <c r="M44" s="307" t="str">
        <f t="shared" si="12"/>
        <v>EB</v>
      </c>
      <c r="N44" s="308"/>
      <c r="O44" s="305" t="str">
        <f t="shared" si="13"/>
        <v>EB</v>
      </c>
      <c r="P44" s="308"/>
      <c r="Q44" s="309" t="str">
        <f t="shared" ref="Q44:Q60" si="18">IF(L44=$AA$3,$F44,$G44)</f>
        <v>EB</v>
      </c>
      <c r="R44" s="306" t="str">
        <f t="shared" ref="R44:R60" si="19">IF(L44=$AA$3,$F44,$H44)</f>
        <v>EB</v>
      </c>
      <c r="S44" s="306"/>
      <c r="T44" s="307" t="str">
        <f t="shared" si="14"/>
        <v>EB</v>
      </c>
      <c r="U44" s="308">
        <v>0</v>
      </c>
      <c r="V44" s="305" t="str">
        <f t="shared" si="15"/>
        <v>NC</v>
      </c>
      <c r="W44" s="308">
        <v>0</v>
      </c>
      <c r="X44" s="309" t="str">
        <f t="shared" si="16"/>
        <v>EB</v>
      </c>
      <c r="Y44" s="306" t="str">
        <f t="shared" si="17"/>
        <v>NC</v>
      </c>
      <c r="Z44" s="212"/>
      <c r="AA44" s="272">
        <f>重み_前!M44</f>
        <v>0</v>
      </c>
      <c r="AB44" s="272">
        <f>重み_後!N44</f>
        <v>0</v>
      </c>
      <c r="AC44" s="242">
        <f>重み_前!D44</f>
        <v>0</v>
      </c>
      <c r="AD44" s="242"/>
      <c r="AE44" s="242">
        <f>重み_後!D44</f>
        <v>0</v>
      </c>
      <c r="AF44" s="242"/>
      <c r="AG44" s="242"/>
      <c r="AH44" s="243">
        <f>重み_前!N44</f>
        <v>0</v>
      </c>
      <c r="AI44" s="243">
        <f>重み_後!O44</f>
        <v>0</v>
      </c>
      <c r="AJ44" s="242">
        <f>重み_前!E44</f>
        <v>0</v>
      </c>
      <c r="AK44" s="242"/>
      <c r="AL44" s="242">
        <f>重み_後!E44</f>
        <v>0</v>
      </c>
    </row>
    <row r="45" spans="2:38" ht="13.5" hidden="1">
      <c r="B45" s="347"/>
      <c r="C45" s="2315"/>
      <c r="D45" s="2009">
        <v>2</v>
      </c>
      <c r="E45" s="1985" t="s">
        <v>1678</v>
      </c>
      <c r="F45" s="287" t="s">
        <v>579</v>
      </c>
      <c r="G45" s="287" t="s">
        <v>579</v>
      </c>
      <c r="H45" s="287" t="s">
        <v>544</v>
      </c>
      <c r="I45" s="287" t="s">
        <v>579</v>
      </c>
      <c r="J45" s="287" t="s">
        <v>579</v>
      </c>
      <c r="K45" s="305" t="s">
        <v>544</v>
      </c>
      <c r="L45" s="320" t="s">
        <v>512</v>
      </c>
      <c r="M45" s="307" t="str">
        <f t="shared" si="12"/>
        <v>EB</v>
      </c>
      <c r="N45" s="320"/>
      <c r="O45" s="305" t="str">
        <f t="shared" si="13"/>
        <v>EB</v>
      </c>
      <c r="P45" s="320"/>
      <c r="Q45" s="348" t="str">
        <f t="shared" si="18"/>
        <v>EB</v>
      </c>
      <c r="R45" s="349" t="str">
        <f t="shared" si="19"/>
        <v>EB</v>
      </c>
      <c r="S45" s="320"/>
      <c r="T45" s="307" t="str">
        <f t="shared" si="14"/>
        <v>EB</v>
      </c>
      <c r="U45" s="350">
        <v>0</v>
      </c>
      <c r="V45" s="305" t="str">
        <f t="shared" si="15"/>
        <v>NC</v>
      </c>
      <c r="W45" s="350">
        <v>0</v>
      </c>
      <c r="X45" s="348" t="str">
        <f t="shared" si="16"/>
        <v>EB</v>
      </c>
      <c r="Y45" s="349" t="str">
        <f t="shared" si="17"/>
        <v>NC</v>
      </c>
      <c r="Z45" s="212"/>
      <c r="AA45" s="272">
        <f>重み_前!M45</f>
        <v>0</v>
      </c>
      <c r="AB45" s="272">
        <f>重み_後!N45</f>
        <v>0</v>
      </c>
      <c r="AC45" s="242">
        <f>重み_前!D45</f>
        <v>0</v>
      </c>
      <c r="AD45" s="242"/>
      <c r="AE45" s="242">
        <f>重み_後!D45</f>
        <v>0</v>
      </c>
      <c r="AF45" s="242"/>
      <c r="AG45" s="242"/>
      <c r="AH45" s="243">
        <f>重み_前!N45</f>
        <v>0</v>
      </c>
      <c r="AI45" s="243">
        <f>重み_後!O45</f>
        <v>0</v>
      </c>
      <c r="AJ45" s="242">
        <f>重み_前!E45</f>
        <v>0</v>
      </c>
      <c r="AK45" s="242"/>
      <c r="AL45" s="242">
        <f>重み_後!E45</f>
        <v>0</v>
      </c>
    </row>
    <row r="46" spans="2:38" ht="14.25" thickBot="1">
      <c r="B46" s="351"/>
      <c r="C46" s="323">
        <v>3.4</v>
      </c>
      <c r="D46" s="2948" t="s">
        <v>591</v>
      </c>
      <c r="E46" s="2949"/>
      <c r="F46" s="287" t="s">
        <v>581</v>
      </c>
      <c r="G46" s="287" t="s">
        <v>581</v>
      </c>
      <c r="H46" s="287" t="s">
        <v>544</v>
      </c>
      <c r="I46" s="287" t="s">
        <v>581</v>
      </c>
      <c r="J46" s="287" t="s">
        <v>581</v>
      </c>
      <c r="K46" s="305" t="s">
        <v>544</v>
      </c>
      <c r="L46" s="313"/>
      <c r="M46" s="307" t="str">
        <f t="shared" si="12"/>
        <v>EB</v>
      </c>
      <c r="N46" s="325">
        <v>3</v>
      </c>
      <c r="O46" s="305" t="str">
        <f t="shared" si="13"/>
        <v>NC</v>
      </c>
      <c r="P46" s="325">
        <v>3</v>
      </c>
      <c r="Q46" s="314" t="str">
        <f t="shared" si="18"/>
        <v>EB</v>
      </c>
      <c r="R46" s="312" t="str">
        <f t="shared" si="19"/>
        <v>NC</v>
      </c>
      <c r="S46" s="313"/>
      <c r="T46" s="307" t="str">
        <f t="shared" si="14"/>
        <v>EB</v>
      </c>
      <c r="U46" s="325">
        <v>3</v>
      </c>
      <c r="V46" s="305" t="str">
        <f t="shared" si="15"/>
        <v>NC</v>
      </c>
      <c r="W46" s="325">
        <v>3</v>
      </c>
      <c r="X46" s="314" t="str">
        <f t="shared" si="16"/>
        <v>EB</v>
      </c>
      <c r="Y46" s="312" t="str">
        <f t="shared" si="17"/>
        <v>NC</v>
      </c>
      <c r="Z46" s="212"/>
      <c r="AA46" s="272">
        <f>重み_前!M46</f>
        <v>0.18472584856396868</v>
      </c>
      <c r="AB46" s="272">
        <f>重み_後!N46</f>
        <v>0.24874002964348862</v>
      </c>
      <c r="AC46" s="242">
        <f>重み_前!D46</f>
        <v>0.18472584856396868</v>
      </c>
      <c r="AD46" s="242"/>
      <c r="AE46" s="242">
        <f>重み_後!D46</f>
        <v>0.24874002964348862</v>
      </c>
      <c r="AF46" s="242"/>
      <c r="AG46" s="242"/>
      <c r="AH46" s="243">
        <f>重み_前!N46</f>
        <v>5.2219321148825066E-3</v>
      </c>
      <c r="AI46" s="243">
        <f>重み_後!O46</f>
        <v>0.60601265822784811</v>
      </c>
      <c r="AJ46" s="242">
        <f>重み_前!E46</f>
        <v>0.25</v>
      </c>
      <c r="AK46" s="242"/>
      <c r="AL46" s="242">
        <f>重み_後!E46</f>
        <v>0.60601265822784811</v>
      </c>
    </row>
    <row r="47" spans="2:38" ht="13.5">
      <c r="B47" s="395">
        <v>4</v>
      </c>
      <c r="C47" s="326" t="s">
        <v>592</v>
      </c>
      <c r="D47" s="396"/>
      <c r="E47" s="377"/>
      <c r="F47" s="287" t="s">
        <v>543</v>
      </c>
      <c r="G47" s="287" t="s">
        <v>543</v>
      </c>
      <c r="H47" s="287" t="s">
        <v>546</v>
      </c>
      <c r="I47" s="334"/>
      <c r="J47" s="334"/>
      <c r="K47" s="335"/>
      <c r="L47" s="330" t="str">
        <f>IF(COUNTIF(L48:L60,$AA$3)&gt;=ROWS(L48:L60),$AA$3,"")</f>
        <v/>
      </c>
      <c r="M47" s="336"/>
      <c r="N47" s="332"/>
      <c r="O47" s="335"/>
      <c r="P47" s="332"/>
      <c r="Q47" s="293" t="str">
        <f t="shared" si="18"/>
        <v>EB</v>
      </c>
      <c r="R47" s="294" t="str">
        <f t="shared" si="19"/>
        <v>NC</v>
      </c>
      <c r="S47" s="330" t="str">
        <f>IF(COUNTIF(S48:S60,$AA$3)&gt;=ROWS(S48:S60),$AA$3,"")</f>
        <v/>
      </c>
      <c r="T47" s="336"/>
      <c r="U47" s="332"/>
      <c r="V47" s="335"/>
      <c r="W47" s="332"/>
      <c r="X47" s="293" t="str">
        <f t="shared" si="16"/>
        <v>EB</v>
      </c>
      <c r="Y47" s="294" t="str">
        <f t="shared" si="17"/>
        <v>NC</v>
      </c>
      <c r="Z47" s="212"/>
      <c r="AA47" s="272">
        <f>重み_前!M47</f>
        <v>0.25000000000000006</v>
      </c>
      <c r="AB47" s="272">
        <f>重み_後!N47</f>
        <v>0.24923228628556227</v>
      </c>
      <c r="AC47" s="242">
        <f>重み_前!D47</f>
        <v>0.25000000000000006</v>
      </c>
      <c r="AD47" s="242"/>
      <c r="AE47" s="242">
        <f>重み_後!D47</f>
        <v>0.24923228628556227</v>
      </c>
      <c r="AF47" s="242"/>
      <c r="AG47" s="242"/>
      <c r="AH47" s="243">
        <f>重み_前!N47</f>
        <v>1</v>
      </c>
      <c r="AI47" s="243">
        <f>重み_後!O47</f>
        <v>1.8095453517303781E-2</v>
      </c>
      <c r="AJ47" s="242">
        <f>重み_前!E47</f>
        <v>0.25</v>
      </c>
      <c r="AK47" s="242"/>
      <c r="AL47" s="242">
        <f>重み_後!E47</f>
        <v>3.2441200324412008E-2</v>
      </c>
    </row>
    <row r="48" spans="2:38" ht="14.25" thickBot="1">
      <c r="B48" s="295"/>
      <c r="C48" s="296">
        <v>4.0999999999999996</v>
      </c>
      <c r="D48" s="333" t="s">
        <v>593</v>
      </c>
      <c r="E48" s="333"/>
      <c r="F48" s="287" t="s">
        <v>594</v>
      </c>
      <c r="G48" s="287" t="s">
        <v>594</v>
      </c>
      <c r="H48" s="287" t="s">
        <v>595</v>
      </c>
      <c r="I48" s="334"/>
      <c r="J48" s="334"/>
      <c r="K48" s="335"/>
      <c r="L48" s="299" t="str">
        <f>IF(COUNTIF(L49:L52,$AA$3)&gt;=ROWS(L49:L52),$AA$3,"")</f>
        <v/>
      </c>
      <c r="M48" s="336"/>
      <c r="N48" s="300"/>
      <c r="O48" s="335"/>
      <c r="P48" s="300"/>
      <c r="Q48" s="301" t="str">
        <f t="shared" si="18"/>
        <v>EB</v>
      </c>
      <c r="R48" s="302" t="str">
        <f t="shared" si="19"/>
        <v>NC</v>
      </c>
      <c r="S48" s="299" t="str">
        <f>IF(COUNTIF(S49:S52,$AA$3)&gt;=ROWS(S49:S52),$AA$3,"")</f>
        <v/>
      </c>
      <c r="T48" s="336"/>
      <c r="U48" s="300"/>
      <c r="V48" s="335"/>
      <c r="W48" s="300"/>
      <c r="X48" s="301" t="str">
        <f t="shared" si="16"/>
        <v>EB</v>
      </c>
      <c r="Y48" s="302" t="str">
        <f t="shared" si="17"/>
        <v>NC</v>
      </c>
      <c r="Z48" s="212"/>
      <c r="AA48" s="272">
        <f>重み_前!M48</f>
        <v>0.5020887728459531</v>
      </c>
      <c r="AB48" s="272">
        <f>重み_後!N48</f>
        <v>0.46355971842597538</v>
      </c>
      <c r="AC48" s="242">
        <f>重み_前!D48</f>
        <v>0.5020887728459531</v>
      </c>
      <c r="AD48" s="242"/>
      <c r="AE48" s="242">
        <f>重み_後!D48</f>
        <v>0.46355971842597543</v>
      </c>
      <c r="AF48" s="242"/>
      <c r="AG48" s="242"/>
      <c r="AH48" s="243">
        <f>重み_前!N48</f>
        <v>1.3054830287206266E-2</v>
      </c>
      <c r="AI48" s="243">
        <f>重み_後!O48</f>
        <v>0.62499999999999989</v>
      </c>
      <c r="AJ48" s="242">
        <f>重み_前!E48</f>
        <v>0.625</v>
      </c>
      <c r="AK48" s="242"/>
      <c r="AL48" s="242">
        <f>重み_後!E48</f>
        <v>0.625</v>
      </c>
    </row>
    <row r="49" spans="2:38" ht="13.5">
      <c r="B49" s="295"/>
      <c r="C49" s="2309"/>
      <c r="D49" s="304">
        <v>1</v>
      </c>
      <c r="E49" s="324" t="s">
        <v>596</v>
      </c>
      <c r="F49" s="287" t="s">
        <v>579</v>
      </c>
      <c r="G49" s="287" t="s">
        <v>579</v>
      </c>
      <c r="H49" s="287" t="s">
        <v>544</v>
      </c>
      <c r="I49" s="287" t="s">
        <v>579</v>
      </c>
      <c r="J49" s="287" t="s">
        <v>579</v>
      </c>
      <c r="K49" s="305" t="s">
        <v>544</v>
      </c>
      <c r="L49" s="308"/>
      <c r="M49" s="307" t="str">
        <f>IF(L49=$AA$3,$I49,$J49)</f>
        <v>EB</v>
      </c>
      <c r="N49" s="308">
        <v>3</v>
      </c>
      <c r="O49" s="305" t="str">
        <f>IF(L49=$AA$3,$I49,$K49)</f>
        <v>NC</v>
      </c>
      <c r="P49" s="308">
        <v>3</v>
      </c>
      <c r="Q49" s="309" t="str">
        <f t="shared" si="18"/>
        <v>EB</v>
      </c>
      <c r="R49" s="306" t="str">
        <f t="shared" si="19"/>
        <v>NC</v>
      </c>
      <c r="S49" s="308"/>
      <c r="T49" s="307" t="str">
        <f>IF(S49=$AA$3,$I49,$J49)</f>
        <v>EB</v>
      </c>
      <c r="U49" s="308">
        <v>3</v>
      </c>
      <c r="V49" s="305" t="str">
        <f>IF(S49=$AA$3,$I49,$K49)</f>
        <v>NC</v>
      </c>
      <c r="W49" s="308">
        <v>3</v>
      </c>
      <c r="X49" s="309" t="str">
        <f t="shared" si="16"/>
        <v>EB</v>
      </c>
      <c r="Y49" s="306" t="str">
        <f t="shared" si="17"/>
        <v>NC</v>
      </c>
      <c r="Z49" s="212"/>
      <c r="AA49" s="272">
        <f>重み_前!M49</f>
        <v>0.25167101827676241</v>
      </c>
      <c r="AB49" s="272">
        <f>重み_後!N49</f>
        <v>0.39306757754277488</v>
      </c>
      <c r="AC49" s="242">
        <f>重み_前!D49</f>
        <v>0.5</v>
      </c>
      <c r="AD49" s="242"/>
      <c r="AE49" s="242">
        <f>重み_後!D49</f>
        <v>1</v>
      </c>
      <c r="AF49" s="242"/>
      <c r="AG49" s="242"/>
      <c r="AH49" s="243">
        <f>重み_前!N49</f>
        <v>5.2219321148825066E-3</v>
      </c>
      <c r="AI49" s="243">
        <f>重み_後!O49</f>
        <v>0.33333333333333331</v>
      </c>
      <c r="AJ49" s="242">
        <f>重み_前!E49</f>
        <v>0.33333333333333331</v>
      </c>
      <c r="AK49" s="242"/>
      <c r="AL49" s="242">
        <f>重み_後!E49</f>
        <v>0.5</v>
      </c>
    </row>
    <row r="50" spans="2:38" ht="14.25" thickBot="1">
      <c r="B50" s="295"/>
      <c r="C50" s="2309"/>
      <c r="D50" s="304">
        <v>2</v>
      </c>
      <c r="E50" s="324" t="s">
        <v>597</v>
      </c>
      <c r="F50" s="287" t="s">
        <v>585</v>
      </c>
      <c r="G50" s="287" t="s">
        <v>585</v>
      </c>
      <c r="H50" s="287" t="s">
        <v>544</v>
      </c>
      <c r="I50" s="287" t="s">
        <v>585</v>
      </c>
      <c r="J50" s="287" t="s">
        <v>585</v>
      </c>
      <c r="K50" s="305">
        <v>0</v>
      </c>
      <c r="L50" s="313"/>
      <c r="M50" s="307" t="str">
        <f>IF(L50=$AA$3,$I50,$J50)</f>
        <v>EB</v>
      </c>
      <c r="N50" s="313">
        <v>3</v>
      </c>
      <c r="O50" s="305">
        <f>IF(L50=$AA$3,$I50,$K50)</f>
        <v>0</v>
      </c>
      <c r="P50" s="313">
        <v>3</v>
      </c>
      <c r="Q50" s="314" t="str">
        <f t="shared" si="18"/>
        <v>EB</v>
      </c>
      <c r="R50" s="312" t="str">
        <f t="shared" si="19"/>
        <v>NC</v>
      </c>
      <c r="S50" s="313"/>
      <c r="T50" s="307" t="str">
        <f>IF(S50=$AA$3,$I50,$J50)</f>
        <v>EB</v>
      </c>
      <c r="U50" s="313">
        <v>3</v>
      </c>
      <c r="V50" s="305">
        <f>IF(S50=$AA$3,$I50,$K50)</f>
        <v>0</v>
      </c>
      <c r="W50" s="313">
        <v>3</v>
      </c>
      <c r="X50" s="321" t="str">
        <f t="shared" si="16"/>
        <v>EB</v>
      </c>
      <c r="Y50" s="319" t="str">
        <f t="shared" si="17"/>
        <v>NC</v>
      </c>
      <c r="Z50" s="212"/>
      <c r="AA50" s="272">
        <f>重み_前!M50</f>
        <v>0.25167101827676241</v>
      </c>
      <c r="AB50" s="272">
        <f>重み_後!N50</f>
        <v>0</v>
      </c>
      <c r="AC50" s="242">
        <f>重み_前!D50</f>
        <v>0.5</v>
      </c>
      <c r="AD50" s="242"/>
      <c r="AE50" s="242">
        <f>重み_後!D50</f>
        <v>0</v>
      </c>
      <c r="AF50" s="242"/>
      <c r="AG50" s="242"/>
      <c r="AH50" s="243">
        <f>重み_前!N50</f>
        <v>5.2219321148825066E-3</v>
      </c>
      <c r="AI50" s="243">
        <f>重み_後!O50</f>
        <v>0</v>
      </c>
      <c r="AJ50" s="242">
        <f>重み_前!E50</f>
        <v>0.33333333333333331</v>
      </c>
      <c r="AK50" s="242"/>
      <c r="AL50" s="242">
        <f>重み_後!E50</f>
        <v>0</v>
      </c>
    </row>
    <row r="51" spans="2:38" ht="13.5" hidden="1">
      <c r="B51" s="295"/>
      <c r="C51" s="2309"/>
      <c r="D51" s="2009">
        <v>3</v>
      </c>
      <c r="E51" s="1985" t="s">
        <v>598</v>
      </c>
      <c r="F51" s="287" t="s">
        <v>381</v>
      </c>
      <c r="G51" s="287" t="s">
        <v>381</v>
      </c>
      <c r="H51" s="287" t="s">
        <v>544</v>
      </c>
      <c r="I51" s="287" t="s">
        <v>381</v>
      </c>
      <c r="J51" s="287" t="s">
        <v>381</v>
      </c>
      <c r="K51" s="305" t="s">
        <v>544</v>
      </c>
      <c r="L51" s="421" t="s">
        <v>512</v>
      </c>
      <c r="M51" s="307" t="str">
        <f>IF(L51=$AA$3,$I51,$J51)</f>
        <v>EB</v>
      </c>
      <c r="N51" s="2013">
        <v>0</v>
      </c>
      <c r="O51" s="305" t="str">
        <f>IF(L51=$AA$3,$I51,$K51)</f>
        <v>EB</v>
      </c>
      <c r="P51" s="2013">
        <v>0</v>
      </c>
      <c r="Q51" s="425" t="str">
        <f t="shared" si="18"/>
        <v>EB</v>
      </c>
      <c r="R51" s="421" t="str">
        <f t="shared" si="19"/>
        <v>EB</v>
      </c>
      <c r="S51" s="421"/>
      <c r="T51" s="307" t="str">
        <f>IF(S51=$AA$3,$I51,$J51)</f>
        <v>EB</v>
      </c>
      <c r="U51" s="2013"/>
      <c r="V51" s="305" t="str">
        <f>IF(S51=$AA$3,$I51,$K51)</f>
        <v>NC</v>
      </c>
      <c r="W51" s="2013">
        <v>0</v>
      </c>
      <c r="X51" s="321" t="str">
        <f t="shared" si="16"/>
        <v>EB</v>
      </c>
      <c r="Y51" s="319" t="str">
        <f t="shared" si="17"/>
        <v>NC</v>
      </c>
      <c r="Z51" s="212"/>
      <c r="AA51" s="272">
        <f>重み_前!M51</f>
        <v>0.25167101827676241</v>
      </c>
      <c r="AB51" s="272">
        <f>重み_後!N51</f>
        <v>0.30759287650956207</v>
      </c>
      <c r="AC51" s="242">
        <f>重み_前!D51</f>
        <v>0</v>
      </c>
      <c r="AD51" s="242"/>
      <c r="AE51" s="242">
        <f>重み_後!D51</f>
        <v>0</v>
      </c>
      <c r="AF51" s="242"/>
      <c r="AG51" s="242"/>
      <c r="AH51" s="243">
        <f>重み_前!N51</f>
        <v>5.2219321148825066E-3</v>
      </c>
      <c r="AI51" s="243">
        <f>重み_後!O51</f>
        <v>0.33333333333333331</v>
      </c>
      <c r="AJ51" s="242">
        <f>重み_前!E51</f>
        <v>0</v>
      </c>
      <c r="AK51" s="242"/>
      <c r="AL51" s="242">
        <f>重み_後!E51</f>
        <v>0</v>
      </c>
    </row>
    <row r="52" spans="2:38" ht="14.25" hidden="1" thickBot="1">
      <c r="B52" s="295"/>
      <c r="C52" s="2313"/>
      <c r="D52" s="2009">
        <v>4</v>
      </c>
      <c r="E52" s="1985" t="s">
        <v>599</v>
      </c>
      <c r="F52" s="287" t="s">
        <v>585</v>
      </c>
      <c r="G52" s="287" t="s">
        <v>585</v>
      </c>
      <c r="H52" s="287" t="s">
        <v>544</v>
      </c>
      <c r="I52" s="287" t="s">
        <v>585</v>
      </c>
      <c r="J52" s="287" t="s">
        <v>585</v>
      </c>
      <c r="K52" s="305" t="s">
        <v>544</v>
      </c>
      <c r="L52" s="312" t="s">
        <v>512</v>
      </c>
      <c r="M52" s="307" t="str">
        <f>IF(L52=$AA$3,$I52,$J52)</f>
        <v>EB</v>
      </c>
      <c r="N52" s="313">
        <v>0</v>
      </c>
      <c r="O52" s="305" t="str">
        <f>IF(L52=$AA$3,$I52,$K52)</f>
        <v>EB</v>
      </c>
      <c r="P52" s="313">
        <v>0</v>
      </c>
      <c r="Q52" s="314" t="str">
        <f t="shared" si="18"/>
        <v>EB</v>
      </c>
      <c r="R52" s="312" t="str">
        <f t="shared" si="19"/>
        <v>EB</v>
      </c>
      <c r="S52" s="312"/>
      <c r="T52" s="307" t="str">
        <f>IF(S52=$AA$3,$I52,$J52)</f>
        <v>EB</v>
      </c>
      <c r="U52" s="313">
        <v>3</v>
      </c>
      <c r="V52" s="305" t="str">
        <f>IF(S52=$AA$3,$I52,$K52)</f>
        <v>NC</v>
      </c>
      <c r="W52" s="313">
        <v>3</v>
      </c>
      <c r="X52" s="314" t="str">
        <f t="shared" si="16"/>
        <v>EB</v>
      </c>
      <c r="Y52" s="312" t="str">
        <f t="shared" si="17"/>
        <v>NC</v>
      </c>
      <c r="Z52" s="212"/>
      <c r="AA52" s="272">
        <f>重み_前!M52</f>
        <v>0.24477806788511752</v>
      </c>
      <c r="AB52" s="272">
        <f>重み_後!N52</f>
        <v>0.29933954594766304</v>
      </c>
      <c r="AC52" s="242">
        <f>重み_前!D52</f>
        <v>0</v>
      </c>
      <c r="AD52" s="242"/>
      <c r="AE52" s="242">
        <f>重み_後!D52</f>
        <v>0</v>
      </c>
      <c r="AF52" s="242"/>
      <c r="AG52" s="242"/>
      <c r="AH52" s="243">
        <f>重み_前!N52</f>
        <v>5.2219321148825066E-3</v>
      </c>
      <c r="AI52" s="243">
        <f>重み_後!O52</f>
        <v>0.33333333333333331</v>
      </c>
      <c r="AJ52" s="242">
        <f>重み_前!E52</f>
        <v>0.33333333333333331</v>
      </c>
      <c r="AK52" s="242"/>
      <c r="AL52" s="242">
        <f>重み_後!E52</f>
        <v>0.5</v>
      </c>
    </row>
    <row r="53" spans="2:38" ht="14.25" thickBot="1">
      <c r="B53" s="338"/>
      <c r="C53" s="296">
        <v>4.2</v>
      </c>
      <c r="D53" s="333" t="s">
        <v>600</v>
      </c>
      <c r="E53" s="377"/>
      <c r="F53" s="287" t="s">
        <v>601</v>
      </c>
      <c r="G53" s="287" t="s">
        <v>601</v>
      </c>
      <c r="H53" s="287" t="s">
        <v>602</v>
      </c>
      <c r="I53" s="334"/>
      <c r="J53" s="334"/>
      <c r="K53" s="335"/>
      <c r="L53" s="302" t="str">
        <f>IF(COUNTIF(L54:L57,$AA$3)&gt;=ROWS(L54:L57),$AA$3,"")</f>
        <v/>
      </c>
      <c r="M53" s="336"/>
      <c r="N53" s="316"/>
      <c r="O53" s="335"/>
      <c r="P53" s="316"/>
      <c r="Q53" s="317" t="str">
        <f t="shared" si="18"/>
        <v>EB</v>
      </c>
      <c r="R53" s="318" t="str">
        <f t="shared" si="19"/>
        <v>NC</v>
      </c>
      <c r="S53" s="302" t="str">
        <f>IF(COUNTIF(S54:S57,$AA$3)&gt;=ROWS(S54:S57),$AA$3,"")</f>
        <v/>
      </c>
      <c r="T53" s="336"/>
      <c r="U53" s="316"/>
      <c r="V53" s="335"/>
      <c r="W53" s="316"/>
      <c r="X53" s="317" t="str">
        <f t="shared" si="16"/>
        <v>EB</v>
      </c>
      <c r="Y53" s="318" t="str">
        <f t="shared" si="17"/>
        <v>NC</v>
      </c>
      <c r="Z53" s="212"/>
      <c r="AA53" s="272">
        <f>重み_前!M53</f>
        <v>0.30208877284595298</v>
      </c>
      <c r="AB53" s="272">
        <f>重み_後!N53</f>
        <v>0.32985639242903281</v>
      </c>
      <c r="AC53" s="242">
        <f>重み_前!D53</f>
        <v>0.30208877284595298</v>
      </c>
      <c r="AD53" s="242"/>
      <c r="AE53" s="242">
        <f>重み_後!D53</f>
        <v>0.32985639242903286</v>
      </c>
      <c r="AF53" s="242"/>
      <c r="AG53" s="242"/>
      <c r="AH53" s="243">
        <f>重み_前!N53</f>
        <v>7.8328981723237608E-3</v>
      </c>
      <c r="AI53" s="243">
        <f>重み_後!O53</f>
        <v>0.37499999999999994</v>
      </c>
      <c r="AJ53" s="242">
        <f>重み_前!E53</f>
        <v>0.37500000000000006</v>
      </c>
      <c r="AK53" s="242"/>
      <c r="AL53" s="242">
        <f>重み_後!E53</f>
        <v>0.375</v>
      </c>
    </row>
    <row r="54" spans="2:38" ht="13.5">
      <c r="B54" s="338"/>
      <c r="C54" s="2314"/>
      <c r="D54" s="304">
        <v>1</v>
      </c>
      <c r="E54" s="324" t="s">
        <v>603</v>
      </c>
      <c r="F54" s="287" t="s">
        <v>601</v>
      </c>
      <c r="G54" s="287" t="s">
        <v>601</v>
      </c>
      <c r="H54" s="287" t="s">
        <v>544</v>
      </c>
      <c r="I54" s="287" t="s">
        <v>601</v>
      </c>
      <c r="J54" s="287" t="s">
        <v>601</v>
      </c>
      <c r="K54" s="305" t="s">
        <v>544</v>
      </c>
      <c r="L54" s="308"/>
      <c r="M54" s="307" t="str">
        <f>IF(L54=$AA$3,$I54,$J54)</f>
        <v>EB</v>
      </c>
      <c r="N54" s="308">
        <v>3</v>
      </c>
      <c r="O54" s="305" t="str">
        <f>IF(L54=$AA$3,$I54,$K54)</f>
        <v>NC</v>
      </c>
      <c r="P54" s="308">
        <v>3</v>
      </c>
      <c r="Q54" s="309" t="str">
        <f t="shared" si="18"/>
        <v>EB</v>
      </c>
      <c r="R54" s="306" t="str">
        <f t="shared" si="19"/>
        <v>NC</v>
      </c>
      <c r="S54" s="308"/>
      <c r="T54" s="307" t="str">
        <f>IF(S54=$AA$3,$I54,$J54)</f>
        <v>EB</v>
      </c>
      <c r="U54" s="308">
        <v>3</v>
      </c>
      <c r="V54" s="305" t="str">
        <f>IF(S54=$AA$3,$I54,$K54)</f>
        <v>NC</v>
      </c>
      <c r="W54" s="308">
        <v>3</v>
      </c>
      <c r="X54" s="309" t="str">
        <f t="shared" si="16"/>
        <v>EB</v>
      </c>
      <c r="Y54" s="306" t="str">
        <f t="shared" si="17"/>
        <v>NC</v>
      </c>
      <c r="Z54" s="212"/>
      <c r="AA54" s="272">
        <f>重み_前!M54</f>
        <v>0.26653611836379465</v>
      </c>
      <c r="AB54" s="272">
        <f>重み_後!N54</f>
        <v>0.25184256746245715</v>
      </c>
      <c r="AC54" s="242">
        <f>重み_前!D54</f>
        <v>0.36339365173539012</v>
      </c>
      <c r="AD54" s="242"/>
      <c r="AE54" s="242">
        <f>重み_後!D54</f>
        <v>0.33794295592048401</v>
      </c>
      <c r="AF54" s="242"/>
      <c r="AG54" s="242"/>
      <c r="AH54" s="243">
        <f>重み_前!N54</f>
        <v>0</v>
      </c>
      <c r="AI54" s="243">
        <f>重み_後!O54</f>
        <v>0.25</v>
      </c>
      <c r="AJ54" s="242">
        <f>重み_前!E54</f>
        <v>0</v>
      </c>
      <c r="AK54" s="242"/>
      <c r="AL54" s="242">
        <f>重み_後!E54</f>
        <v>0.33333333333333331</v>
      </c>
    </row>
    <row r="55" spans="2:38" ht="13.5">
      <c r="B55" s="338"/>
      <c r="C55" s="2314"/>
      <c r="D55" s="304">
        <v>2</v>
      </c>
      <c r="E55" s="324" t="s">
        <v>604</v>
      </c>
      <c r="F55" s="287" t="s">
        <v>560</v>
      </c>
      <c r="G55" s="287" t="s">
        <v>560</v>
      </c>
      <c r="H55" s="287" t="s">
        <v>544</v>
      </c>
      <c r="I55" s="287" t="s">
        <v>560</v>
      </c>
      <c r="J55" s="287" t="s">
        <v>560</v>
      </c>
      <c r="K55" s="305" t="s">
        <v>544</v>
      </c>
      <c r="L55" s="320"/>
      <c r="M55" s="307" t="str">
        <f>IF(L55=$AA$3,$I55,$J55)</f>
        <v>EB</v>
      </c>
      <c r="N55" s="320">
        <v>3</v>
      </c>
      <c r="O55" s="305" t="str">
        <f>IF(L55=$AA$3,$I55,$K55)</f>
        <v>NC</v>
      </c>
      <c r="P55" s="320">
        <v>3</v>
      </c>
      <c r="Q55" s="321" t="str">
        <f t="shared" si="18"/>
        <v>EB</v>
      </c>
      <c r="R55" s="319" t="str">
        <f t="shared" si="19"/>
        <v>NC</v>
      </c>
      <c r="S55" s="320"/>
      <c r="T55" s="307" t="str">
        <f>IF(S55=$AA$3,$I55,$J55)</f>
        <v>EB</v>
      </c>
      <c r="U55" s="320">
        <v>3</v>
      </c>
      <c r="V55" s="305" t="str">
        <f>IF(S55=$AA$3,$I55,$K55)</f>
        <v>NC</v>
      </c>
      <c r="W55" s="320">
        <v>3</v>
      </c>
      <c r="X55" s="321" t="str">
        <f t="shared" si="16"/>
        <v>EB</v>
      </c>
      <c r="Y55" s="319" t="str">
        <f t="shared" si="17"/>
        <v>NC</v>
      </c>
      <c r="Z55" s="212"/>
      <c r="AA55" s="272">
        <f>重み_前!M55</f>
        <v>0.17950391644908617</v>
      </c>
      <c r="AB55" s="272">
        <f>重み_後!N55</f>
        <v>0.24153698925427475</v>
      </c>
      <c r="AC55" s="242">
        <f>重み_前!D55</f>
        <v>0.24473450014832393</v>
      </c>
      <c r="AD55" s="242"/>
      <c r="AE55" s="242">
        <f>重み_後!D55</f>
        <v>0.32411408815903198</v>
      </c>
      <c r="AF55" s="242"/>
      <c r="AG55" s="242"/>
      <c r="AH55" s="243">
        <f>重み_前!N55</f>
        <v>6.8929503916449093E-3</v>
      </c>
      <c r="AI55" s="243">
        <f>重み_後!O55</f>
        <v>0.25</v>
      </c>
      <c r="AJ55" s="242">
        <f>重み_前!E55</f>
        <v>0.5</v>
      </c>
      <c r="AK55" s="242"/>
      <c r="AL55" s="242">
        <f>重み_後!E55</f>
        <v>0.33333333333333331</v>
      </c>
    </row>
    <row r="56" spans="2:38" ht="14.25" thickBot="1">
      <c r="B56" s="338"/>
      <c r="C56" s="2314"/>
      <c r="D56" s="304">
        <v>3</v>
      </c>
      <c r="E56" s="324" t="s">
        <v>605</v>
      </c>
      <c r="F56" s="287" t="s">
        <v>581</v>
      </c>
      <c r="G56" s="287" t="s">
        <v>581</v>
      </c>
      <c r="H56" s="287" t="s">
        <v>544</v>
      </c>
      <c r="I56" s="287" t="s">
        <v>581</v>
      </c>
      <c r="J56" s="287" t="s">
        <v>581</v>
      </c>
      <c r="K56" s="305" t="s">
        <v>544</v>
      </c>
      <c r="L56" s="313"/>
      <c r="M56" s="307" t="str">
        <f>IF(L56=$AA$3,$I56,$J56)</f>
        <v>EB</v>
      </c>
      <c r="N56" s="313">
        <v>3</v>
      </c>
      <c r="O56" s="305" t="str">
        <f>IF(L56=$AA$3,$I56,$K56)</f>
        <v>NC</v>
      </c>
      <c r="P56" s="313">
        <v>3</v>
      </c>
      <c r="Q56" s="321" t="str">
        <f t="shared" si="18"/>
        <v>EB</v>
      </c>
      <c r="R56" s="319" t="str">
        <f t="shared" si="19"/>
        <v>NC</v>
      </c>
      <c r="S56" s="313"/>
      <c r="T56" s="307" t="str">
        <f>IF(S56=$AA$3,$I56,$J56)</f>
        <v>EB</v>
      </c>
      <c r="U56" s="313">
        <v>3</v>
      </c>
      <c r="V56" s="305" t="str">
        <f>IF(S56=$AA$3,$I56,$K56)</f>
        <v>NC</v>
      </c>
      <c r="W56" s="313">
        <v>3</v>
      </c>
      <c r="X56" s="321" t="str">
        <f t="shared" si="16"/>
        <v>EB</v>
      </c>
      <c r="Y56" s="319" t="str">
        <f t="shared" si="17"/>
        <v>NC</v>
      </c>
      <c r="Z56" s="212"/>
      <c r="AA56" s="272">
        <f>重み_前!M56</f>
        <v>0.28742384682332467</v>
      </c>
      <c r="AB56" s="272">
        <f>重み_後!N56</f>
        <v>0.25184256746245715</v>
      </c>
      <c r="AC56" s="242">
        <f>重み_前!D56</f>
        <v>0.391871848116286</v>
      </c>
      <c r="AD56" s="242"/>
      <c r="AE56" s="242">
        <f>重み_後!D56</f>
        <v>0.33794295592048401</v>
      </c>
      <c r="AF56" s="242"/>
      <c r="AG56" s="242"/>
      <c r="AH56" s="243">
        <f>重み_前!N56</f>
        <v>6.8929503916449093E-3</v>
      </c>
      <c r="AI56" s="243">
        <f>重み_後!O56</f>
        <v>0.25</v>
      </c>
      <c r="AJ56" s="242">
        <f>重み_前!E56</f>
        <v>0.5</v>
      </c>
      <c r="AK56" s="242"/>
      <c r="AL56" s="242">
        <f>重み_後!E56</f>
        <v>0.33333333333333331</v>
      </c>
    </row>
    <row r="57" spans="2:38" ht="14.25" hidden="1" thickBot="1">
      <c r="B57" s="338"/>
      <c r="C57" s="2315"/>
      <c r="D57" s="2009">
        <v>4</v>
      </c>
      <c r="E57" s="1985" t="s">
        <v>606</v>
      </c>
      <c r="F57" s="287" t="s">
        <v>607</v>
      </c>
      <c r="G57" s="287" t="s">
        <v>607</v>
      </c>
      <c r="H57" s="287" t="s">
        <v>544</v>
      </c>
      <c r="I57" s="287" t="s">
        <v>607</v>
      </c>
      <c r="J57" s="287" t="s">
        <v>607</v>
      </c>
      <c r="K57" s="305" t="s">
        <v>544</v>
      </c>
      <c r="L57" s="2010" t="s">
        <v>512</v>
      </c>
      <c r="M57" s="307" t="str">
        <f>IF(L57=$AA$3,$I57,$J57)</f>
        <v>EB</v>
      </c>
      <c r="N57" s="2012">
        <v>0</v>
      </c>
      <c r="O57" s="305" t="str">
        <f>IF(L57=$AA$3,$I57,$K57)</f>
        <v>EB</v>
      </c>
      <c r="P57" s="2012">
        <v>0</v>
      </c>
      <c r="Q57" s="2011" t="str">
        <f t="shared" si="18"/>
        <v>EB</v>
      </c>
      <c r="R57" s="2010" t="str">
        <f t="shared" si="19"/>
        <v>EB</v>
      </c>
      <c r="S57" s="2010"/>
      <c r="T57" s="307" t="str">
        <f>IF(S57=$AA$3,$I57,$J57)</f>
        <v>EB</v>
      </c>
      <c r="U57" s="2012">
        <v>0</v>
      </c>
      <c r="V57" s="305" t="str">
        <f>IF(S57=$AA$3,$I57,$K57)</f>
        <v>NC</v>
      </c>
      <c r="W57" s="2012">
        <v>0</v>
      </c>
      <c r="X57" s="314" t="str">
        <f t="shared" si="16"/>
        <v>EB</v>
      </c>
      <c r="Y57" s="312" t="str">
        <f t="shared" si="17"/>
        <v>NC</v>
      </c>
      <c r="Z57" s="212"/>
      <c r="AA57" s="272">
        <f>重み_前!M57</f>
        <v>0.26653611836379465</v>
      </c>
      <c r="AB57" s="272">
        <f>重み_後!N57</f>
        <v>0.25477787582081102</v>
      </c>
      <c r="AC57" s="242">
        <f>重み_前!D57</f>
        <v>0</v>
      </c>
      <c r="AD57" s="242"/>
      <c r="AE57" s="242">
        <f>重み_後!D57</f>
        <v>0</v>
      </c>
      <c r="AF57" s="242"/>
      <c r="AG57" s="242"/>
      <c r="AH57" s="243">
        <f>重み_前!N57</f>
        <v>6.8929503916449093E-3</v>
      </c>
      <c r="AI57" s="243">
        <f>重み_後!O57</f>
        <v>0.25</v>
      </c>
      <c r="AJ57" s="242">
        <f>重み_前!E57</f>
        <v>0</v>
      </c>
      <c r="AK57" s="242"/>
      <c r="AL57" s="242">
        <f>重み_後!E57</f>
        <v>0</v>
      </c>
    </row>
    <row r="58" spans="2:38" ht="14.25" thickBot="1">
      <c r="B58" s="338"/>
      <c r="C58" s="296">
        <v>4.3</v>
      </c>
      <c r="D58" s="333" t="s">
        <v>608</v>
      </c>
      <c r="E58" s="377"/>
      <c r="F58" s="287" t="s">
        <v>609</v>
      </c>
      <c r="G58" s="287" t="s">
        <v>609</v>
      </c>
      <c r="H58" s="287" t="s">
        <v>610</v>
      </c>
      <c r="I58" s="334"/>
      <c r="J58" s="334"/>
      <c r="K58" s="335"/>
      <c r="L58" s="302" t="str">
        <f>IF(COUNTIF(L59:L60,$AA$3)&gt;=ROWS(L59:L60),$AA$3,"")</f>
        <v/>
      </c>
      <c r="M58" s="336"/>
      <c r="N58" s="316"/>
      <c r="O58" s="335"/>
      <c r="P58" s="316"/>
      <c r="Q58" s="317" t="str">
        <f t="shared" si="18"/>
        <v>EB</v>
      </c>
      <c r="R58" s="318" t="str">
        <f t="shared" si="19"/>
        <v>NC</v>
      </c>
      <c r="S58" s="302" t="str">
        <f>IF(COUNTIF(S59:S60,$AA$3)&gt;=ROWS(S59:S60),$AA$3,"")</f>
        <v/>
      </c>
      <c r="T58" s="336"/>
      <c r="U58" s="316"/>
      <c r="V58" s="335"/>
      <c r="W58" s="316"/>
      <c r="X58" s="317" t="str">
        <f t="shared" si="16"/>
        <v>EB</v>
      </c>
      <c r="Y58" s="318" t="str">
        <f t="shared" si="17"/>
        <v>NC</v>
      </c>
      <c r="Z58" s="212"/>
      <c r="AA58" s="272">
        <f>重み_前!M58</f>
        <v>0.19582245430809403</v>
      </c>
      <c r="AB58" s="272">
        <f>重み_後!N58</f>
        <v>0.20658388914499173</v>
      </c>
      <c r="AC58" s="242">
        <f>重み_前!D58</f>
        <v>0.19582245430809403</v>
      </c>
      <c r="AD58" s="242"/>
      <c r="AE58" s="242">
        <f>重み_後!D58</f>
        <v>0.20658388914499176</v>
      </c>
      <c r="AF58" s="242"/>
      <c r="AG58" s="242"/>
      <c r="AH58" s="243">
        <f>重み_前!N58</f>
        <v>0</v>
      </c>
      <c r="AI58" s="243">
        <f>重み_後!O58</f>
        <v>0</v>
      </c>
      <c r="AJ58" s="242">
        <f>重み_前!E58</f>
        <v>0</v>
      </c>
      <c r="AK58" s="242"/>
      <c r="AL58" s="242">
        <f>重み_後!E58</f>
        <v>0</v>
      </c>
    </row>
    <row r="59" spans="2:38" ht="13.5">
      <c r="B59" s="338"/>
      <c r="C59" s="2314"/>
      <c r="D59" s="304">
        <v>1</v>
      </c>
      <c r="E59" s="324" t="s">
        <v>611</v>
      </c>
      <c r="F59" s="287" t="s">
        <v>609</v>
      </c>
      <c r="G59" s="287" t="s">
        <v>609</v>
      </c>
      <c r="H59" s="287" t="s">
        <v>544</v>
      </c>
      <c r="I59" s="287" t="s">
        <v>609</v>
      </c>
      <c r="J59" s="287" t="s">
        <v>609</v>
      </c>
      <c r="K59" s="305" t="s">
        <v>544</v>
      </c>
      <c r="L59" s="306"/>
      <c r="M59" s="307" t="str">
        <f>IF(L59=$AA$3,$I59,$J59)</f>
        <v>EB</v>
      </c>
      <c r="N59" s="308">
        <v>3</v>
      </c>
      <c r="O59" s="305" t="str">
        <f>IF(L59=$AA$3,$I59,$K59)</f>
        <v>NC</v>
      </c>
      <c r="P59" s="308">
        <v>3</v>
      </c>
      <c r="Q59" s="309" t="str">
        <f t="shared" si="18"/>
        <v>EB</v>
      </c>
      <c r="R59" s="306" t="str">
        <f t="shared" si="19"/>
        <v>NC</v>
      </c>
      <c r="S59" s="306"/>
      <c r="T59" s="307" t="str">
        <f>IF(S59=$AA$3,$I59,$J59)</f>
        <v>EB</v>
      </c>
      <c r="U59" s="308">
        <v>3</v>
      </c>
      <c r="V59" s="305" t="str">
        <f>IF(S59=$AA$3,$I59,$K59)</f>
        <v>NC</v>
      </c>
      <c r="W59" s="308">
        <v>3</v>
      </c>
      <c r="X59" s="309" t="str">
        <f t="shared" si="16"/>
        <v>EB</v>
      </c>
      <c r="Y59" s="306" t="str">
        <f t="shared" si="17"/>
        <v>NC</v>
      </c>
      <c r="Z59" s="212"/>
      <c r="AA59" s="272">
        <f>重み_前!M59</f>
        <v>0.48955613577023505</v>
      </c>
      <c r="AB59" s="272">
        <f>重み_後!N59</f>
        <v>0.5</v>
      </c>
      <c r="AC59" s="242">
        <f>重み_前!D59</f>
        <v>0.5</v>
      </c>
      <c r="AD59" s="242"/>
      <c r="AE59" s="242">
        <f>重み_後!D59</f>
        <v>0.5</v>
      </c>
      <c r="AF59" s="242"/>
      <c r="AG59" s="242"/>
      <c r="AH59" s="243">
        <f>重み_前!N59</f>
        <v>0</v>
      </c>
      <c r="AI59" s="243">
        <f>重み_後!O59</f>
        <v>0</v>
      </c>
      <c r="AJ59" s="242">
        <f>重み_前!E59</f>
        <v>0</v>
      </c>
      <c r="AK59" s="242"/>
      <c r="AL59" s="242">
        <f>重み_後!E59</f>
        <v>0</v>
      </c>
    </row>
    <row r="60" spans="2:38" ht="14.25" thickBot="1">
      <c r="B60" s="338"/>
      <c r="C60" s="2314"/>
      <c r="D60" s="398">
        <v>2</v>
      </c>
      <c r="E60" s="297" t="s">
        <v>612</v>
      </c>
      <c r="F60" s="287" t="s">
        <v>613</v>
      </c>
      <c r="G60" s="287" t="s">
        <v>613</v>
      </c>
      <c r="H60" s="287" t="s">
        <v>544</v>
      </c>
      <c r="I60" s="287" t="s">
        <v>613</v>
      </c>
      <c r="J60" s="287" t="s">
        <v>613</v>
      </c>
      <c r="K60" s="305" t="s">
        <v>544</v>
      </c>
      <c r="L60" s="312"/>
      <c r="M60" s="358" t="str">
        <f>IF(L60=$AA$3,$I60,$J60)</f>
        <v>EB</v>
      </c>
      <c r="N60" s="313">
        <v>3</v>
      </c>
      <c r="O60" s="359" t="str">
        <f>IF(L60=$AA$3,$I60,$K60)</f>
        <v>NC</v>
      </c>
      <c r="P60" s="313">
        <v>3</v>
      </c>
      <c r="Q60" s="314" t="str">
        <f t="shared" si="18"/>
        <v>EB</v>
      </c>
      <c r="R60" s="312" t="str">
        <f t="shared" si="19"/>
        <v>NC</v>
      </c>
      <c r="S60" s="312"/>
      <c r="T60" s="358" t="str">
        <f>IF(S60=$AA$3,$I60,$J60)</f>
        <v>EB</v>
      </c>
      <c r="U60" s="313">
        <v>3</v>
      </c>
      <c r="V60" s="359" t="str">
        <f>IF(S60=$AA$3,$I60,$K60)</f>
        <v>NC</v>
      </c>
      <c r="W60" s="313">
        <v>3</v>
      </c>
      <c r="X60" s="314" t="str">
        <f t="shared" si="16"/>
        <v>EB</v>
      </c>
      <c r="Y60" s="312" t="str">
        <f t="shared" si="17"/>
        <v>NC</v>
      </c>
      <c r="Z60" s="212"/>
      <c r="AA60" s="272">
        <f>重み_前!M60</f>
        <v>0.48955613577023505</v>
      </c>
      <c r="AB60" s="272">
        <f>重み_後!N60</f>
        <v>0.5</v>
      </c>
      <c r="AC60" s="242">
        <f>重み_前!D60</f>
        <v>0.5</v>
      </c>
      <c r="AD60" s="242"/>
      <c r="AE60" s="242">
        <f>重み_後!D60</f>
        <v>0.5</v>
      </c>
      <c r="AF60" s="242"/>
      <c r="AG60" s="242"/>
      <c r="AH60" s="243">
        <f>重み_前!N60</f>
        <v>0</v>
      </c>
      <c r="AI60" s="243">
        <f>重み_後!O60</f>
        <v>0</v>
      </c>
      <c r="AJ60" s="242">
        <f>重み_前!E60</f>
        <v>0</v>
      </c>
      <c r="AK60" s="242"/>
      <c r="AL60" s="242">
        <f>重み_後!E60</f>
        <v>0</v>
      </c>
    </row>
    <row r="61" spans="2:38" ht="14.25" thickBot="1">
      <c r="B61" s="360" t="s">
        <v>614</v>
      </c>
      <c r="C61" s="361" t="s">
        <v>615</v>
      </c>
      <c r="D61" s="361"/>
      <c r="E61" s="361"/>
      <c r="F61" s="362"/>
      <c r="G61" s="362"/>
      <c r="H61" s="362"/>
      <c r="I61" s="362"/>
      <c r="J61" s="362"/>
      <c r="K61" s="363"/>
      <c r="L61" s="364"/>
      <c r="M61" s="365"/>
      <c r="N61" s="366"/>
      <c r="O61" s="367"/>
      <c r="P61" s="366"/>
      <c r="Q61" s="368"/>
      <c r="R61" s="364"/>
      <c r="S61" s="364"/>
      <c r="T61" s="365"/>
      <c r="U61" s="366"/>
      <c r="V61" s="367"/>
      <c r="W61" s="366"/>
      <c r="X61" s="368"/>
      <c r="Y61" s="364"/>
      <c r="Z61" s="212"/>
      <c r="AA61" s="272">
        <f>重み_前!M61</f>
        <v>0.3</v>
      </c>
      <c r="AB61" s="272">
        <f>重み_後!N61</f>
        <v>0.3</v>
      </c>
      <c r="AC61" s="242">
        <f>重み_前!D61</f>
        <v>0.3</v>
      </c>
      <c r="AD61" s="242"/>
      <c r="AE61" s="242">
        <f>重み_後!D61</f>
        <v>0.3</v>
      </c>
      <c r="AF61" s="242"/>
      <c r="AG61" s="242"/>
      <c r="AH61" s="243">
        <f>重み_前!N61</f>
        <v>0</v>
      </c>
      <c r="AI61" s="243">
        <f>重み_後!O61</f>
        <v>0</v>
      </c>
      <c r="AJ61" s="242">
        <f>重み_前!E61</f>
        <v>0</v>
      </c>
      <c r="AK61" s="242"/>
      <c r="AL61" s="242">
        <f>重み_後!E61</f>
        <v>0</v>
      </c>
    </row>
    <row r="62" spans="2:38" ht="13.5">
      <c r="B62" s="283">
        <v>1</v>
      </c>
      <c r="C62" s="369" t="s">
        <v>616</v>
      </c>
      <c r="D62" s="370"/>
      <c r="E62" s="324"/>
      <c r="F62" s="287" t="s">
        <v>381</v>
      </c>
      <c r="G62" s="287" t="s">
        <v>381</v>
      </c>
      <c r="H62" s="287" t="s">
        <v>382</v>
      </c>
      <c r="I62" s="371"/>
      <c r="J62" s="371"/>
      <c r="K62" s="372"/>
      <c r="L62" s="290" t="str">
        <f>IF(COUNTIF(L63:L74,$AA$3)&gt;=ROWS(L63:L74),$AA$3,"")</f>
        <v/>
      </c>
      <c r="M62" s="373"/>
      <c r="N62" s="374"/>
      <c r="O62" s="372"/>
      <c r="P62" s="374"/>
      <c r="Q62" s="375" t="str">
        <f t="shared" ref="Q62:Q108" si="20">IF(L62=$AA$3,$F62,$G62)</f>
        <v>EB</v>
      </c>
      <c r="R62" s="376" t="str">
        <f t="shared" ref="R62:R108" si="21">IF(L62=$AA$3,$F62,$H62)</f>
        <v>NC</v>
      </c>
      <c r="S62" s="290" t="str">
        <f>IF(COUNTIF(S63:S74,$AA$3)&gt;=ROWS(S63:S74),$AA$3,"")</f>
        <v/>
      </c>
      <c r="T62" s="373"/>
      <c r="U62" s="374"/>
      <c r="V62" s="372"/>
      <c r="W62" s="374"/>
      <c r="X62" s="375" t="str">
        <f t="shared" ref="X62:X108" si="22">IF(S62=$AA$3,$F62,$G62)</f>
        <v>EB</v>
      </c>
      <c r="Y62" s="376" t="str">
        <f t="shared" ref="Y62:Y108" si="23">IF(S62=$AA$3,$F62,$H62)</f>
        <v>NC</v>
      </c>
      <c r="Z62" s="212"/>
      <c r="AA62" s="272">
        <f>重み_前!M62</f>
        <v>0.40000000000000008</v>
      </c>
      <c r="AB62" s="272">
        <f>重み_後!N62</f>
        <v>0.40073760919006418</v>
      </c>
      <c r="AC62" s="242">
        <f>重み_前!D62</f>
        <v>0.40000000000000008</v>
      </c>
      <c r="AD62" s="242"/>
      <c r="AE62" s="242">
        <f>重み_後!D62</f>
        <v>0.40073760919006418</v>
      </c>
      <c r="AF62" s="242"/>
      <c r="AG62" s="242"/>
      <c r="AH62" s="243">
        <f>重み_前!N62</f>
        <v>1</v>
      </c>
      <c r="AI62" s="243">
        <f>重み_後!O62</f>
        <v>3.9312039312039311E-2</v>
      </c>
      <c r="AJ62" s="242">
        <f>重み_前!E62</f>
        <v>0.5</v>
      </c>
      <c r="AK62" s="242"/>
      <c r="AL62" s="242">
        <f>重み_後!E62</f>
        <v>3.9312039312039311E-2</v>
      </c>
    </row>
    <row r="63" spans="2:38" ht="14.25" thickBot="1">
      <c r="B63" s="338"/>
      <c r="C63" s="315">
        <v>1.1000000000000001</v>
      </c>
      <c r="D63" s="297" t="s">
        <v>617</v>
      </c>
      <c r="E63" s="377"/>
      <c r="F63" s="287" t="s">
        <v>607</v>
      </c>
      <c r="G63" s="287" t="s">
        <v>607</v>
      </c>
      <c r="H63" s="287" t="s">
        <v>618</v>
      </c>
      <c r="I63" s="334"/>
      <c r="J63" s="334"/>
      <c r="K63" s="335"/>
      <c r="L63" s="299" t="str">
        <f>IF(COUNTIF(L64:L66,$AA$3)&gt;=ROWS(L64:L66),$AA$3,"")</f>
        <v/>
      </c>
      <c r="M63" s="336"/>
      <c r="N63" s="316"/>
      <c r="O63" s="335"/>
      <c r="P63" s="316"/>
      <c r="Q63" s="378" t="str">
        <f t="shared" si="20"/>
        <v>EB</v>
      </c>
      <c r="R63" s="299" t="str">
        <f t="shared" si="21"/>
        <v>NC</v>
      </c>
      <c r="S63" s="299" t="str">
        <f>IF(COUNTIF(S64:S66,$AA$3)&gt;=ROWS(S64:S66),$AA$3,"")</f>
        <v/>
      </c>
      <c r="T63" s="336"/>
      <c r="U63" s="316"/>
      <c r="V63" s="335"/>
      <c r="W63" s="316"/>
      <c r="X63" s="378" t="str">
        <f t="shared" si="22"/>
        <v>EB</v>
      </c>
      <c r="Y63" s="299" t="str">
        <f t="shared" si="23"/>
        <v>NC</v>
      </c>
      <c r="Z63" s="212"/>
      <c r="AA63" s="272">
        <f>重み_前!M63</f>
        <v>0.40000000000000008</v>
      </c>
      <c r="AB63" s="272">
        <f>重み_後!N63</f>
        <v>0.40000000000000013</v>
      </c>
      <c r="AC63" s="242">
        <f>重み_前!D63</f>
        <v>0.40000000000000008</v>
      </c>
      <c r="AD63" s="242"/>
      <c r="AE63" s="242">
        <f>重み_後!D63</f>
        <v>0.4</v>
      </c>
      <c r="AF63" s="242"/>
      <c r="AG63" s="242"/>
      <c r="AH63" s="243">
        <f>重み_前!N63</f>
        <v>1.2532637075718016E-2</v>
      </c>
      <c r="AI63" s="243">
        <f>重み_後!O63</f>
        <v>0.60000000000000009</v>
      </c>
      <c r="AJ63" s="242">
        <f>重み_前!E63</f>
        <v>0</v>
      </c>
      <c r="AK63" s="242"/>
      <c r="AL63" s="242">
        <f>重み_後!E63</f>
        <v>0</v>
      </c>
    </row>
    <row r="64" spans="2:38" ht="13.5">
      <c r="B64" s="338"/>
      <c r="C64" s="303"/>
      <c r="D64" s="304">
        <v>1</v>
      </c>
      <c r="E64" s="324" t="s">
        <v>619</v>
      </c>
      <c r="F64" s="287" t="s">
        <v>558</v>
      </c>
      <c r="G64" s="287" t="s">
        <v>558</v>
      </c>
      <c r="H64" s="287" t="s">
        <v>544</v>
      </c>
      <c r="I64" s="287" t="s">
        <v>558</v>
      </c>
      <c r="J64" s="287" t="s">
        <v>558</v>
      </c>
      <c r="K64" s="305" t="s">
        <v>544</v>
      </c>
      <c r="L64" s="306"/>
      <c r="M64" s="307" t="str">
        <f>IF(L64=$AA$3,$I64,$J64)</f>
        <v>EB</v>
      </c>
      <c r="N64" s="308">
        <v>3</v>
      </c>
      <c r="O64" s="305" t="str">
        <f>IF(L64=$AA$3,$I64,$K64)</f>
        <v>NC</v>
      </c>
      <c r="P64" s="308">
        <v>3</v>
      </c>
      <c r="Q64" s="309" t="str">
        <f t="shared" si="20"/>
        <v>EB</v>
      </c>
      <c r="R64" s="306" t="str">
        <f t="shared" si="21"/>
        <v>NC</v>
      </c>
      <c r="S64" s="306"/>
      <c r="T64" s="307" t="str">
        <f>IF(S64=$AA$3,$I64,$J64)</f>
        <v>EB</v>
      </c>
      <c r="U64" s="308">
        <v>3</v>
      </c>
      <c r="V64" s="305" t="str">
        <f>IF(S64=$AA$3,$I64,$K64)</f>
        <v>NC</v>
      </c>
      <c r="W64" s="308">
        <v>3</v>
      </c>
      <c r="X64" s="309" t="str">
        <f t="shared" si="22"/>
        <v>EB</v>
      </c>
      <c r="Y64" s="306" t="str">
        <f t="shared" si="23"/>
        <v>NC</v>
      </c>
      <c r="Z64" s="212"/>
      <c r="AA64" s="272">
        <f>重み_前!M64</f>
        <v>0.23933855526544823</v>
      </c>
      <c r="AB64" s="272">
        <f>重み_後!N64</f>
        <v>0.32637075718015662</v>
      </c>
      <c r="AC64" s="242">
        <f>重み_前!D64</f>
        <v>0.23933855526544823</v>
      </c>
      <c r="AD64" s="242"/>
      <c r="AE64" s="242">
        <f>重み_後!D64</f>
        <v>0.32637075718015668</v>
      </c>
      <c r="AF64" s="242"/>
      <c r="AG64" s="242"/>
      <c r="AH64" s="243">
        <f>重み_前!N64</f>
        <v>0</v>
      </c>
      <c r="AI64" s="243">
        <f>重み_後!O64</f>
        <v>0</v>
      </c>
      <c r="AJ64" s="242">
        <f>重み_前!E64</f>
        <v>0</v>
      </c>
      <c r="AK64" s="242"/>
      <c r="AL64" s="242">
        <f>重み_後!E64</f>
        <v>0</v>
      </c>
    </row>
    <row r="65" spans="2:38" ht="13.5">
      <c r="B65" s="338"/>
      <c r="C65" s="303"/>
      <c r="D65" s="304">
        <v>2</v>
      </c>
      <c r="E65" s="324" t="s">
        <v>620</v>
      </c>
      <c r="F65" s="287" t="s">
        <v>558</v>
      </c>
      <c r="G65" s="287" t="s">
        <v>558</v>
      </c>
      <c r="H65" s="287" t="s">
        <v>544</v>
      </c>
      <c r="I65" s="287" t="s">
        <v>558</v>
      </c>
      <c r="J65" s="287" t="s">
        <v>558</v>
      </c>
      <c r="K65" s="305" t="s">
        <v>544</v>
      </c>
      <c r="L65" s="319"/>
      <c r="M65" s="307" t="str">
        <f>IF(L65=$AA$3,$I65,$J65)</f>
        <v>EB</v>
      </c>
      <c r="N65" s="320">
        <v>3</v>
      </c>
      <c r="O65" s="305" t="str">
        <f>IF(L65=$AA$3,$I65,$K65)</f>
        <v>NC</v>
      </c>
      <c r="P65" s="320">
        <v>3</v>
      </c>
      <c r="Q65" s="321" t="str">
        <f t="shared" si="20"/>
        <v>EB</v>
      </c>
      <c r="R65" s="319" t="str">
        <f t="shared" si="21"/>
        <v>NC</v>
      </c>
      <c r="S65" s="319"/>
      <c r="T65" s="307" t="str">
        <f>IF(S65=$AA$3,$I65,$J65)</f>
        <v>EB</v>
      </c>
      <c r="U65" s="320">
        <v>0</v>
      </c>
      <c r="V65" s="305" t="str">
        <f>IF(S65=$AA$3,$I65,$K65)</f>
        <v>NC</v>
      </c>
      <c r="W65" s="320">
        <v>0</v>
      </c>
      <c r="X65" s="321" t="str">
        <f t="shared" si="22"/>
        <v>EB</v>
      </c>
      <c r="Y65" s="319" t="str">
        <f t="shared" si="23"/>
        <v>NC</v>
      </c>
      <c r="Z65" s="212"/>
      <c r="AA65" s="272">
        <f>重み_前!M65</f>
        <v>0.23933855526544823</v>
      </c>
      <c r="AB65" s="272">
        <f>重み_後!N65</f>
        <v>0.32637075718015662</v>
      </c>
      <c r="AC65" s="242">
        <f>重み_前!D65</f>
        <v>0.23933855526544823</v>
      </c>
      <c r="AD65" s="242"/>
      <c r="AE65" s="242">
        <f>重み_後!D65</f>
        <v>0.32637075718015668</v>
      </c>
      <c r="AF65" s="242"/>
      <c r="AG65" s="242"/>
      <c r="AH65" s="243">
        <f>重み_前!N65</f>
        <v>2.0887728459530026E-2</v>
      </c>
      <c r="AI65" s="243">
        <f>重み_後!O65</f>
        <v>1</v>
      </c>
      <c r="AJ65" s="242">
        <f>重み_前!E65</f>
        <v>0</v>
      </c>
      <c r="AK65" s="242"/>
      <c r="AL65" s="242">
        <f>重み_後!E65</f>
        <v>0</v>
      </c>
    </row>
    <row r="66" spans="2:38" ht="14.25" thickBot="1">
      <c r="B66" s="338"/>
      <c r="C66" s="310"/>
      <c r="D66" s="304">
        <v>3</v>
      </c>
      <c r="E66" s="324" t="s">
        <v>621</v>
      </c>
      <c r="F66" s="287" t="s">
        <v>585</v>
      </c>
      <c r="G66" s="287" t="s">
        <v>585</v>
      </c>
      <c r="H66" s="287" t="s">
        <v>544</v>
      </c>
      <c r="I66" s="287" t="s">
        <v>585</v>
      </c>
      <c r="J66" s="287" t="s">
        <v>585</v>
      </c>
      <c r="K66" s="305" t="s">
        <v>544</v>
      </c>
      <c r="L66" s="312"/>
      <c r="M66" s="307" t="str">
        <f>IF(L66=$AA$3,$I66,$J66)</f>
        <v>EB</v>
      </c>
      <c r="N66" s="313">
        <v>3</v>
      </c>
      <c r="O66" s="305" t="str">
        <f>IF(L66=$AA$3,$I66,$K66)</f>
        <v>NC</v>
      </c>
      <c r="P66" s="313">
        <v>3</v>
      </c>
      <c r="Q66" s="314" t="str">
        <f t="shared" si="20"/>
        <v>EB</v>
      </c>
      <c r="R66" s="312" t="str">
        <f t="shared" si="21"/>
        <v>NC</v>
      </c>
      <c r="S66" s="312"/>
      <c r="T66" s="307" t="str">
        <f>IF(S66=$AA$3,$I66,$J66)</f>
        <v>EB</v>
      </c>
      <c r="U66" s="313">
        <v>0</v>
      </c>
      <c r="V66" s="305" t="str">
        <f>IF(S66=$AA$3,$I66,$K66)</f>
        <v>NC</v>
      </c>
      <c r="W66" s="313">
        <v>0</v>
      </c>
      <c r="X66" s="314" t="str">
        <f t="shared" si="22"/>
        <v>EB</v>
      </c>
      <c r="Y66" s="312" t="str">
        <f t="shared" si="23"/>
        <v>NC</v>
      </c>
      <c r="Z66" s="212"/>
      <c r="AA66" s="272">
        <f>重み_前!M66</f>
        <v>0.52132288946910366</v>
      </c>
      <c r="AB66" s="272">
        <f>重み_後!N66</f>
        <v>0.34725848563968664</v>
      </c>
      <c r="AC66" s="242">
        <f>重み_前!D66</f>
        <v>0.52132288946910366</v>
      </c>
      <c r="AD66" s="242"/>
      <c r="AE66" s="242">
        <f>重み_後!D66</f>
        <v>0.3472584856396867</v>
      </c>
      <c r="AF66" s="242"/>
      <c r="AG66" s="242"/>
      <c r="AH66" s="243">
        <f>重み_前!N66</f>
        <v>0</v>
      </c>
      <c r="AI66" s="243">
        <f>重み_後!O66</f>
        <v>0</v>
      </c>
      <c r="AJ66" s="242">
        <f>重み_前!E66</f>
        <v>0</v>
      </c>
      <c r="AK66" s="242"/>
      <c r="AL66" s="242">
        <f>重み_後!E66</f>
        <v>0</v>
      </c>
    </row>
    <row r="67" spans="2:38" ht="14.25" thickBot="1">
      <c r="B67" s="338"/>
      <c r="C67" s="296">
        <v>1.2</v>
      </c>
      <c r="D67" s="297" t="s">
        <v>622</v>
      </c>
      <c r="E67" s="377"/>
      <c r="F67" s="287" t="s">
        <v>623</v>
      </c>
      <c r="G67" s="287" t="s">
        <v>623</v>
      </c>
      <c r="H67" s="287" t="s">
        <v>624</v>
      </c>
      <c r="I67" s="334"/>
      <c r="J67" s="334"/>
      <c r="K67" s="335"/>
      <c r="L67" s="299" t="str">
        <f>IF(COUNTIF(L68:L70,$AA$3)&gt;=ROWS(L68:L70),$AA$3,"")</f>
        <v/>
      </c>
      <c r="M67" s="336"/>
      <c r="N67" s="316"/>
      <c r="O67" s="335"/>
      <c r="P67" s="316"/>
      <c r="Q67" s="317" t="str">
        <f t="shared" si="20"/>
        <v>EB</v>
      </c>
      <c r="R67" s="318" t="str">
        <f t="shared" si="21"/>
        <v>NC</v>
      </c>
      <c r="S67" s="299" t="str">
        <f>IF(COUNTIF(S68:S70,$AA$3)&gt;=ROWS(S68:S70),$AA$3,"")</f>
        <v/>
      </c>
      <c r="T67" s="336"/>
      <c r="U67" s="316"/>
      <c r="V67" s="335"/>
      <c r="W67" s="316"/>
      <c r="X67" s="317" t="str">
        <f t="shared" si="22"/>
        <v>EB</v>
      </c>
      <c r="Y67" s="318" t="str">
        <f t="shared" si="23"/>
        <v>NC</v>
      </c>
      <c r="Z67" s="212"/>
      <c r="AA67" s="272">
        <f>重み_前!M67</f>
        <v>0.3</v>
      </c>
      <c r="AB67" s="272">
        <f>重み_後!N67</f>
        <v>0.3</v>
      </c>
      <c r="AC67" s="242">
        <f>重み_前!D67</f>
        <v>0.3</v>
      </c>
      <c r="AD67" s="242"/>
      <c r="AE67" s="242">
        <f>重み_後!D67</f>
        <v>0.29999999999999993</v>
      </c>
      <c r="AF67" s="242"/>
      <c r="AG67" s="242"/>
      <c r="AH67" s="243">
        <f>重み_前!N67</f>
        <v>8.3550913838120102E-3</v>
      </c>
      <c r="AI67" s="243">
        <f>重み_後!O67</f>
        <v>0.4</v>
      </c>
      <c r="AJ67" s="242">
        <f>重み_前!E67</f>
        <v>1</v>
      </c>
      <c r="AK67" s="242"/>
      <c r="AL67" s="242">
        <f>重み_後!E67</f>
        <v>1</v>
      </c>
    </row>
    <row r="68" spans="2:38" ht="13.5">
      <c r="B68" s="338"/>
      <c r="C68" s="303"/>
      <c r="D68" s="304">
        <v>1</v>
      </c>
      <c r="E68" s="324" t="s">
        <v>625</v>
      </c>
      <c r="F68" s="287" t="s">
        <v>607</v>
      </c>
      <c r="G68" s="287" t="s">
        <v>607</v>
      </c>
      <c r="H68" s="287" t="s">
        <v>544</v>
      </c>
      <c r="I68" s="287" t="s">
        <v>607</v>
      </c>
      <c r="J68" s="287" t="s">
        <v>607</v>
      </c>
      <c r="K68" s="305" t="s">
        <v>544</v>
      </c>
      <c r="L68" s="306"/>
      <c r="M68" s="307" t="str">
        <f>IF(L68=$AA$3,$I68,$J68)</f>
        <v>EB</v>
      </c>
      <c r="N68" s="308">
        <v>3</v>
      </c>
      <c r="O68" s="305" t="str">
        <f>IF(L68=$AA$3,$I68,$K68)</f>
        <v>NC</v>
      </c>
      <c r="P68" s="308">
        <v>3</v>
      </c>
      <c r="Q68" s="309" t="str">
        <f t="shared" si="20"/>
        <v>EB</v>
      </c>
      <c r="R68" s="306" t="str">
        <f t="shared" si="21"/>
        <v>NC</v>
      </c>
      <c r="S68" s="306"/>
      <c r="T68" s="307" t="str">
        <f>IF(S68=$AA$3,$I68,$J68)</f>
        <v>EB</v>
      </c>
      <c r="U68" s="308">
        <v>3</v>
      </c>
      <c r="V68" s="305" t="str">
        <f>IF(S68=$AA$3,$I68,$K68)</f>
        <v>NC</v>
      </c>
      <c r="W68" s="308">
        <v>3</v>
      </c>
      <c r="X68" s="309" t="str">
        <f t="shared" si="22"/>
        <v>EB</v>
      </c>
      <c r="Y68" s="306" t="str">
        <f t="shared" si="23"/>
        <v>NC</v>
      </c>
      <c r="Z68" s="212"/>
      <c r="AA68" s="272">
        <f>重み_前!M68</f>
        <v>0.23933855526544823</v>
      </c>
      <c r="AB68" s="272">
        <f>重み_後!N68</f>
        <v>0.32637075718015668</v>
      </c>
      <c r="AC68" s="242">
        <f>重み_前!D68</f>
        <v>0.23933855526544823</v>
      </c>
      <c r="AD68" s="242"/>
      <c r="AE68" s="242">
        <f>重み_後!D68</f>
        <v>0.32637075718015668</v>
      </c>
      <c r="AF68" s="242"/>
      <c r="AG68" s="242"/>
      <c r="AH68" s="243">
        <f>重み_前!N68</f>
        <v>0</v>
      </c>
      <c r="AI68" s="243">
        <f>重み_後!O68</f>
        <v>0.5</v>
      </c>
      <c r="AJ68" s="242">
        <f>重み_前!E68</f>
        <v>0</v>
      </c>
      <c r="AK68" s="242"/>
      <c r="AL68" s="242">
        <f>重み_後!E68</f>
        <v>0.5</v>
      </c>
    </row>
    <row r="69" spans="2:38" ht="13.5">
      <c r="B69" s="338"/>
      <c r="C69" s="303"/>
      <c r="D69" s="304">
        <v>2</v>
      </c>
      <c r="E69" s="324" t="s">
        <v>626</v>
      </c>
      <c r="F69" s="287" t="s">
        <v>607</v>
      </c>
      <c r="G69" s="287" t="s">
        <v>607</v>
      </c>
      <c r="H69" s="287" t="s">
        <v>544</v>
      </c>
      <c r="I69" s="287" t="s">
        <v>607</v>
      </c>
      <c r="J69" s="287" t="s">
        <v>607</v>
      </c>
      <c r="K69" s="305" t="s">
        <v>544</v>
      </c>
      <c r="L69" s="319"/>
      <c r="M69" s="307" t="str">
        <f>IF(L69=$AA$3,$I69,$J69)</f>
        <v>EB</v>
      </c>
      <c r="N69" s="320">
        <v>3</v>
      </c>
      <c r="O69" s="305" t="str">
        <f>IF(L69=$AA$3,$I69,$K69)</f>
        <v>NC</v>
      </c>
      <c r="P69" s="320">
        <v>3</v>
      </c>
      <c r="Q69" s="321" t="str">
        <f t="shared" si="20"/>
        <v>EB</v>
      </c>
      <c r="R69" s="319" t="str">
        <f t="shared" si="21"/>
        <v>NC</v>
      </c>
      <c r="S69" s="319"/>
      <c r="T69" s="307" t="str">
        <f>IF(S69=$AA$3,$I69,$J69)</f>
        <v>EB</v>
      </c>
      <c r="U69" s="320">
        <v>3</v>
      </c>
      <c r="V69" s="305" t="str">
        <f>IF(S69=$AA$3,$I69,$K69)</f>
        <v>NC</v>
      </c>
      <c r="W69" s="320">
        <v>3</v>
      </c>
      <c r="X69" s="321" t="str">
        <f t="shared" si="22"/>
        <v>EB</v>
      </c>
      <c r="Y69" s="319" t="str">
        <f t="shared" si="23"/>
        <v>NC</v>
      </c>
      <c r="Z69" s="212"/>
      <c r="AA69" s="272">
        <f>重み_前!M69</f>
        <v>0.23933855526544823</v>
      </c>
      <c r="AB69" s="272">
        <f>重み_後!N69</f>
        <v>0.32637075718015668</v>
      </c>
      <c r="AC69" s="242">
        <f>重み_前!D69</f>
        <v>0.23933855526544823</v>
      </c>
      <c r="AD69" s="242"/>
      <c r="AE69" s="242">
        <f>重み_後!D69</f>
        <v>0.32637075718015668</v>
      </c>
      <c r="AF69" s="242"/>
      <c r="AG69" s="242"/>
      <c r="AH69" s="243">
        <f>重み_前!N69</f>
        <v>0</v>
      </c>
      <c r="AI69" s="243">
        <f>重み_後!O69</f>
        <v>0</v>
      </c>
      <c r="AJ69" s="242">
        <f>重み_前!E69</f>
        <v>0</v>
      </c>
      <c r="AK69" s="242"/>
      <c r="AL69" s="242">
        <f>重み_後!E69</f>
        <v>0</v>
      </c>
    </row>
    <row r="70" spans="2:38" ht="14.25" thickBot="1">
      <c r="B70" s="379"/>
      <c r="C70" s="310"/>
      <c r="D70" s="304">
        <v>3</v>
      </c>
      <c r="E70" s="324" t="s">
        <v>627</v>
      </c>
      <c r="F70" s="287" t="s">
        <v>607</v>
      </c>
      <c r="G70" s="287" t="s">
        <v>607</v>
      </c>
      <c r="H70" s="287" t="s">
        <v>544</v>
      </c>
      <c r="I70" s="287" t="s">
        <v>607</v>
      </c>
      <c r="J70" s="287" t="s">
        <v>607</v>
      </c>
      <c r="K70" s="305" t="s">
        <v>544</v>
      </c>
      <c r="L70" s="312"/>
      <c r="M70" s="307" t="str">
        <f>IF(L70=$AA$3,$I70,$J70)</f>
        <v>EB</v>
      </c>
      <c r="N70" s="313">
        <v>3</v>
      </c>
      <c r="O70" s="305" t="str">
        <f>IF(L70=$AA$3,$I70,$K70)</f>
        <v>NC</v>
      </c>
      <c r="P70" s="313">
        <v>3</v>
      </c>
      <c r="Q70" s="314" t="str">
        <f t="shared" si="20"/>
        <v>EB</v>
      </c>
      <c r="R70" s="312" t="str">
        <f t="shared" si="21"/>
        <v>NC</v>
      </c>
      <c r="S70" s="312"/>
      <c r="T70" s="307" t="str">
        <f>IF(S70=$AA$3,$I70,$J70)</f>
        <v>EB</v>
      </c>
      <c r="U70" s="313">
        <v>3</v>
      </c>
      <c r="V70" s="305" t="str">
        <f>IF(S70=$AA$3,$I70,$K70)</f>
        <v>NC</v>
      </c>
      <c r="W70" s="313">
        <v>3</v>
      </c>
      <c r="X70" s="314" t="str">
        <f t="shared" si="22"/>
        <v>EB</v>
      </c>
      <c r="Y70" s="312" t="str">
        <f t="shared" si="23"/>
        <v>NC</v>
      </c>
      <c r="Z70" s="212"/>
      <c r="AA70" s="272">
        <f>重み_前!M70</f>
        <v>0.52132288946910366</v>
      </c>
      <c r="AB70" s="272">
        <f>重み_後!N70</f>
        <v>0.3472584856396867</v>
      </c>
      <c r="AC70" s="242">
        <f>重み_前!D70</f>
        <v>0.52132288946910366</v>
      </c>
      <c r="AD70" s="242"/>
      <c r="AE70" s="242">
        <f>重み_後!D70</f>
        <v>0.3472584856396867</v>
      </c>
      <c r="AF70" s="242"/>
      <c r="AG70" s="242"/>
      <c r="AH70" s="243">
        <f>重み_前!N70</f>
        <v>2.0887728459530026E-2</v>
      </c>
      <c r="AI70" s="243">
        <f>重み_後!O70</f>
        <v>0.5</v>
      </c>
      <c r="AJ70" s="242">
        <f>重み_前!E70</f>
        <v>1</v>
      </c>
      <c r="AK70" s="242"/>
      <c r="AL70" s="242">
        <f>重み_後!E70</f>
        <v>0.5</v>
      </c>
    </row>
    <row r="71" spans="2:38" ht="14.25" thickBot="1">
      <c r="B71" s="338"/>
      <c r="C71" s="296">
        <v>1.3</v>
      </c>
      <c r="D71" s="297" t="s">
        <v>628</v>
      </c>
      <c r="E71" s="377"/>
      <c r="F71" s="287" t="s">
        <v>541</v>
      </c>
      <c r="G71" s="287" t="s">
        <v>541</v>
      </c>
      <c r="H71" s="287" t="s">
        <v>542</v>
      </c>
      <c r="I71" s="334"/>
      <c r="J71" s="334"/>
      <c r="K71" s="335"/>
      <c r="L71" s="299" t="str">
        <f>IF(COUNTIF(L72:L74,$AA$3)&gt;=ROWS(L72:L74),$AA$3,"")</f>
        <v/>
      </c>
      <c r="M71" s="336"/>
      <c r="N71" s="316"/>
      <c r="O71" s="335"/>
      <c r="P71" s="316"/>
      <c r="Q71" s="317" t="str">
        <f t="shared" si="20"/>
        <v>EB</v>
      </c>
      <c r="R71" s="318" t="str">
        <f t="shared" si="21"/>
        <v>NC</v>
      </c>
      <c r="S71" s="299" t="str">
        <f>IF(COUNTIF(S72:S74,$AA$3)&gt;=ROWS(S72:S74),$AA$3,"")</f>
        <v/>
      </c>
      <c r="T71" s="336"/>
      <c r="U71" s="316"/>
      <c r="V71" s="335"/>
      <c r="W71" s="316"/>
      <c r="X71" s="317" t="str">
        <f t="shared" si="22"/>
        <v>EB</v>
      </c>
      <c r="Y71" s="318" t="str">
        <f t="shared" si="23"/>
        <v>NC</v>
      </c>
      <c r="Z71" s="212"/>
      <c r="AA71" s="272">
        <f>重み_前!M71</f>
        <v>0.3</v>
      </c>
      <c r="AB71" s="272">
        <f>重み_後!N71</f>
        <v>0.3</v>
      </c>
      <c r="AC71" s="242">
        <f>重み_前!D71</f>
        <v>0.3</v>
      </c>
      <c r="AD71" s="242"/>
      <c r="AE71" s="242">
        <f>重み_後!D71</f>
        <v>0.29999999999999993</v>
      </c>
      <c r="AF71" s="242"/>
      <c r="AG71" s="242"/>
      <c r="AH71" s="243">
        <f>重み_前!N71</f>
        <v>0</v>
      </c>
      <c r="AI71" s="243">
        <f>重み_後!O71</f>
        <v>0</v>
      </c>
      <c r="AJ71" s="242">
        <f>重み_前!E71</f>
        <v>0</v>
      </c>
      <c r="AK71" s="242"/>
      <c r="AL71" s="242">
        <f>重み_後!E71</f>
        <v>0</v>
      </c>
    </row>
    <row r="72" spans="2:38" ht="13.5">
      <c r="B72" s="338"/>
      <c r="C72" s="303"/>
      <c r="D72" s="304">
        <v>1</v>
      </c>
      <c r="E72" s="353" t="s">
        <v>751</v>
      </c>
      <c r="F72" s="287" t="s">
        <v>629</v>
      </c>
      <c r="G72" s="287" t="s">
        <v>629</v>
      </c>
      <c r="H72" s="287" t="s">
        <v>544</v>
      </c>
      <c r="I72" s="287" t="s">
        <v>629</v>
      </c>
      <c r="J72" s="287" t="s">
        <v>629</v>
      </c>
      <c r="K72" s="305" t="s">
        <v>544</v>
      </c>
      <c r="L72" s="306"/>
      <c r="M72" s="307" t="str">
        <f>IF(L72=$AA$3,$I72,$J72)</f>
        <v>EB</v>
      </c>
      <c r="N72" s="308">
        <v>3</v>
      </c>
      <c r="O72" s="305" t="str">
        <f>IF(L72=$AA$3,$I72,$K72)</f>
        <v>NC</v>
      </c>
      <c r="P72" s="308">
        <v>3</v>
      </c>
      <c r="Q72" s="309" t="str">
        <f t="shared" si="20"/>
        <v>EB</v>
      </c>
      <c r="R72" s="306" t="str">
        <f t="shared" si="21"/>
        <v>NC</v>
      </c>
      <c r="S72" s="306"/>
      <c r="T72" s="307" t="str">
        <f>IF(S72=$AA$3,$I72,$J72)</f>
        <v>EB</v>
      </c>
      <c r="U72" s="308">
        <v>0</v>
      </c>
      <c r="V72" s="305" t="str">
        <f>IF(S72=$AA$3,$I72,$K72)</f>
        <v>NC</v>
      </c>
      <c r="W72" s="308">
        <v>0</v>
      </c>
      <c r="X72" s="309" t="str">
        <f t="shared" si="22"/>
        <v>EB</v>
      </c>
      <c r="Y72" s="306" t="str">
        <f t="shared" si="23"/>
        <v>NC</v>
      </c>
      <c r="Z72" s="212"/>
      <c r="AA72" s="272">
        <f>重み_前!M72</f>
        <v>0.50000000000000011</v>
      </c>
      <c r="AB72" s="272">
        <f>重み_後!N72</f>
        <v>0.5</v>
      </c>
      <c r="AC72" s="242">
        <f>重み_前!D72</f>
        <v>0.50000000000000011</v>
      </c>
      <c r="AD72" s="242"/>
      <c r="AE72" s="242">
        <f>重み_後!D72</f>
        <v>0.5</v>
      </c>
      <c r="AF72" s="242"/>
      <c r="AG72" s="242"/>
      <c r="AH72" s="243">
        <f>重み_前!N72</f>
        <v>0</v>
      </c>
      <c r="AI72" s="243">
        <f>重み_後!O72</f>
        <v>0</v>
      </c>
      <c r="AJ72" s="242">
        <f>重み_前!E72</f>
        <v>0</v>
      </c>
      <c r="AK72" s="242"/>
      <c r="AL72" s="242">
        <f>重み_後!E72</f>
        <v>0</v>
      </c>
    </row>
    <row r="73" spans="2:38" ht="13.5">
      <c r="B73" s="338"/>
      <c r="C73" s="303"/>
      <c r="D73" s="304">
        <v>2</v>
      </c>
      <c r="E73" s="353" t="s">
        <v>630</v>
      </c>
      <c r="F73" s="287" t="s">
        <v>609</v>
      </c>
      <c r="G73" s="287" t="s">
        <v>609</v>
      </c>
      <c r="H73" s="287" t="s">
        <v>544</v>
      </c>
      <c r="I73" s="287" t="s">
        <v>609</v>
      </c>
      <c r="J73" s="287" t="s">
        <v>609</v>
      </c>
      <c r="K73" s="305" t="s">
        <v>544</v>
      </c>
      <c r="L73" s="319"/>
      <c r="M73" s="307" t="str">
        <f>IF(L73=$AA$3,$I73,$J73)</f>
        <v>EB</v>
      </c>
      <c r="N73" s="320">
        <v>3</v>
      </c>
      <c r="O73" s="305" t="str">
        <f>IF(L73=$AA$3,$I73,$K73)</f>
        <v>NC</v>
      </c>
      <c r="P73" s="320">
        <v>3</v>
      </c>
      <c r="Q73" s="321" t="str">
        <f t="shared" si="20"/>
        <v>EB</v>
      </c>
      <c r="R73" s="319" t="str">
        <f t="shared" si="21"/>
        <v>NC</v>
      </c>
      <c r="S73" s="319"/>
      <c r="T73" s="307" t="str">
        <f>IF(S73=$AA$3,$I73,$J73)</f>
        <v>EB</v>
      </c>
      <c r="U73" s="320">
        <v>0</v>
      </c>
      <c r="V73" s="305" t="str">
        <f>IF(S73=$AA$3,$I73,$K73)</f>
        <v>NC</v>
      </c>
      <c r="W73" s="320">
        <v>0</v>
      </c>
      <c r="X73" s="321" t="str">
        <f t="shared" si="22"/>
        <v>EB</v>
      </c>
      <c r="Y73" s="319" t="str">
        <f t="shared" si="23"/>
        <v>NC</v>
      </c>
      <c r="Z73" s="212"/>
      <c r="AA73" s="272">
        <f>重み_前!M73</f>
        <v>0.3</v>
      </c>
      <c r="AB73" s="272">
        <f>重み_後!N73</f>
        <v>0.5</v>
      </c>
      <c r="AC73" s="242">
        <f>重み_前!D73</f>
        <v>0.3</v>
      </c>
      <c r="AD73" s="242"/>
      <c r="AE73" s="242">
        <f>重み_後!D73</f>
        <v>0.5</v>
      </c>
      <c r="AF73" s="242"/>
      <c r="AG73" s="242"/>
      <c r="AH73" s="243">
        <f>重み_前!N73</f>
        <v>0</v>
      </c>
      <c r="AI73" s="243">
        <f>重み_後!O73</f>
        <v>0</v>
      </c>
      <c r="AJ73" s="242">
        <f>重み_前!E73</f>
        <v>0</v>
      </c>
      <c r="AK73" s="242"/>
      <c r="AL73" s="242">
        <f>重み_後!E73</f>
        <v>0</v>
      </c>
    </row>
    <row r="74" spans="2:38" ht="14.25" thickBot="1">
      <c r="B74" s="380"/>
      <c r="C74" s="310"/>
      <c r="D74" s="304">
        <v>3</v>
      </c>
      <c r="E74" s="324" t="s">
        <v>631</v>
      </c>
      <c r="F74" s="287" t="s">
        <v>609</v>
      </c>
      <c r="G74" s="287" t="s">
        <v>609</v>
      </c>
      <c r="H74" s="287" t="s">
        <v>544</v>
      </c>
      <c r="I74" s="287" t="s">
        <v>609</v>
      </c>
      <c r="J74" s="287" t="s">
        <v>609</v>
      </c>
      <c r="K74" s="381">
        <v>0</v>
      </c>
      <c r="L74" s="312"/>
      <c r="M74" s="307" t="str">
        <f>IF(L74=$AA$3,$I74,$J74)</f>
        <v>EB</v>
      </c>
      <c r="N74" s="313">
        <v>3</v>
      </c>
      <c r="O74" s="305">
        <f>IF(L74=$AA$3,$I74,$K74)</f>
        <v>0</v>
      </c>
      <c r="P74" s="313">
        <v>3</v>
      </c>
      <c r="Q74" s="314" t="str">
        <f t="shared" si="20"/>
        <v>EB</v>
      </c>
      <c r="R74" s="312" t="str">
        <f t="shared" si="21"/>
        <v>NC</v>
      </c>
      <c r="S74" s="312"/>
      <c r="T74" s="307" t="str">
        <f>IF(S74=$AA$3,$I74,$J74)</f>
        <v>EB</v>
      </c>
      <c r="U74" s="313">
        <v>0</v>
      </c>
      <c r="V74" s="305">
        <f>IF(S74=$AA$3,$I74,$K74)</f>
        <v>0</v>
      </c>
      <c r="W74" s="313">
        <v>0</v>
      </c>
      <c r="X74" s="314" t="str">
        <f t="shared" si="22"/>
        <v>EB</v>
      </c>
      <c r="Y74" s="312" t="str">
        <f t="shared" si="23"/>
        <v>NC</v>
      </c>
      <c r="Z74" s="212"/>
      <c r="AA74" s="272">
        <f>重み_前!M74</f>
        <v>0.20000000000000004</v>
      </c>
      <c r="AB74" s="272">
        <f>重み_後!N74</f>
        <v>0</v>
      </c>
      <c r="AC74" s="242">
        <f>重み_前!D74</f>
        <v>0.20000000000000004</v>
      </c>
      <c r="AD74" s="242"/>
      <c r="AE74" s="242">
        <f>重み_後!D74</f>
        <v>0</v>
      </c>
      <c r="AF74" s="242"/>
      <c r="AG74" s="242"/>
      <c r="AH74" s="243">
        <f>重み_前!N74</f>
        <v>0</v>
      </c>
      <c r="AI74" s="243">
        <f>重み_後!O74</f>
        <v>0</v>
      </c>
      <c r="AJ74" s="242">
        <f>重み_前!E74</f>
        <v>0</v>
      </c>
      <c r="AK74" s="242"/>
      <c r="AL74" s="242">
        <f>重み_後!E74</f>
        <v>0</v>
      </c>
    </row>
    <row r="75" spans="2:38" ht="13.5">
      <c r="B75" s="283">
        <v>2</v>
      </c>
      <c r="C75" s="326" t="s">
        <v>632</v>
      </c>
      <c r="D75" s="285"/>
      <c r="E75" s="377"/>
      <c r="F75" s="287" t="s">
        <v>633</v>
      </c>
      <c r="G75" s="287" t="s">
        <v>633</v>
      </c>
      <c r="H75" s="287" t="s">
        <v>634</v>
      </c>
      <c r="I75" s="334"/>
      <c r="J75" s="334"/>
      <c r="K75" s="335"/>
      <c r="L75" s="330" t="str">
        <f>IF(COUNTIF(L76:L95,$AA$3)&gt;=ROWS(L76:L95),$AA$3,"")</f>
        <v/>
      </c>
      <c r="M75" s="336"/>
      <c r="N75" s="332"/>
      <c r="O75" s="335"/>
      <c r="P75" s="332"/>
      <c r="Q75" s="293" t="str">
        <f t="shared" si="20"/>
        <v>EB</v>
      </c>
      <c r="R75" s="294" t="str">
        <f t="shared" si="21"/>
        <v>NC</v>
      </c>
      <c r="S75" s="330" t="str">
        <f>IF(COUNTIF(S76:S95,$AA$3)&gt;=ROWS(S76:S95),$AA$3,"")</f>
        <v/>
      </c>
      <c r="T75" s="336"/>
      <c r="U75" s="332"/>
      <c r="V75" s="335"/>
      <c r="W75" s="332"/>
      <c r="X75" s="293" t="str">
        <f t="shared" si="22"/>
        <v>EB</v>
      </c>
      <c r="Y75" s="294" t="str">
        <f t="shared" si="23"/>
        <v>NC</v>
      </c>
      <c r="Z75" s="212"/>
      <c r="AA75" s="272">
        <f>重み_前!M75</f>
        <v>0.3</v>
      </c>
      <c r="AB75" s="272">
        <f>重み_後!N75</f>
        <v>0.30055320689254822</v>
      </c>
      <c r="AC75" s="242">
        <f>重み_前!D75</f>
        <v>0.3</v>
      </c>
      <c r="AD75" s="242"/>
      <c r="AE75" s="242">
        <f>重み_後!D75</f>
        <v>0.30055320689254822</v>
      </c>
      <c r="AF75" s="242"/>
      <c r="AG75" s="242"/>
      <c r="AH75" s="243">
        <f>重み_前!N75</f>
        <v>1</v>
      </c>
      <c r="AI75" s="243">
        <f>重み_後!O75</f>
        <v>0</v>
      </c>
      <c r="AJ75" s="242">
        <f>重み_前!E75</f>
        <v>0</v>
      </c>
      <c r="AK75" s="242"/>
      <c r="AL75" s="242">
        <f>重み_後!E75</f>
        <v>0</v>
      </c>
    </row>
    <row r="76" spans="2:38" ht="14.25" thickBot="1">
      <c r="B76" s="338"/>
      <c r="C76" s="296">
        <v>2.1</v>
      </c>
      <c r="D76" s="333" t="s">
        <v>635</v>
      </c>
      <c r="E76" s="377"/>
      <c r="F76" s="287" t="s">
        <v>636</v>
      </c>
      <c r="G76" s="287" t="s">
        <v>636</v>
      </c>
      <c r="H76" s="287" t="s">
        <v>637</v>
      </c>
      <c r="I76" s="334"/>
      <c r="J76" s="334"/>
      <c r="K76" s="335"/>
      <c r="L76" s="302" t="str">
        <f>IF(COUNTIF(L77:L78,$AA$3)&gt;=ROWS(L77:L78),$AA$3,"")</f>
        <v/>
      </c>
      <c r="M76" s="336"/>
      <c r="N76" s="300"/>
      <c r="O76" s="335"/>
      <c r="P76" s="300"/>
      <c r="Q76" s="301" t="str">
        <f t="shared" si="20"/>
        <v>EB</v>
      </c>
      <c r="R76" s="302" t="str">
        <f t="shared" si="21"/>
        <v>NC</v>
      </c>
      <c r="S76" s="302" t="str">
        <f>IF(COUNTIF(S77:S78,$AA$3)&gt;=ROWS(S77:S78),$AA$3,"")</f>
        <v/>
      </c>
      <c r="T76" s="336"/>
      <c r="U76" s="300"/>
      <c r="V76" s="335"/>
      <c r="W76" s="300"/>
      <c r="X76" s="301" t="str">
        <f t="shared" si="22"/>
        <v>EB</v>
      </c>
      <c r="Y76" s="302" t="str">
        <f t="shared" si="23"/>
        <v>NC</v>
      </c>
      <c r="Z76" s="212"/>
      <c r="AA76" s="272">
        <f>重み_前!M76</f>
        <v>0.25000000000000006</v>
      </c>
      <c r="AB76" s="272">
        <f>重み_後!N76</f>
        <v>0.49999999999999983</v>
      </c>
      <c r="AC76" s="242">
        <f>重み_前!D76</f>
        <v>0.25</v>
      </c>
      <c r="AD76" s="242"/>
      <c r="AE76" s="242">
        <f>重み_後!D76</f>
        <v>0.5</v>
      </c>
      <c r="AF76" s="242"/>
      <c r="AG76" s="242"/>
      <c r="AH76" s="243">
        <f>重み_前!N76</f>
        <v>0</v>
      </c>
      <c r="AI76" s="243">
        <f>重み_後!O76</f>
        <v>0</v>
      </c>
      <c r="AJ76" s="242">
        <f>重み_前!E76</f>
        <v>0</v>
      </c>
      <c r="AK76" s="242"/>
      <c r="AL76" s="242">
        <f>重み_後!E76</f>
        <v>0</v>
      </c>
    </row>
    <row r="77" spans="2:38" ht="13.5">
      <c r="B77" s="338"/>
      <c r="C77" s="337"/>
      <c r="D77" s="304">
        <v>1</v>
      </c>
      <c r="E77" s="324" t="s">
        <v>638</v>
      </c>
      <c r="F77" s="287" t="s">
        <v>636</v>
      </c>
      <c r="G77" s="287" t="s">
        <v>636</v>
      </c>
      <c r="H77" s="287" t="s">
        <v>544</v>
      </c>
      <c r="I77" s="287" t="s">
        <v>636</v>
      </c>
      <c r="J77" s="287" t="s">
        <v>636</v>
      </c>
      <c r="K77" s="305" t="s">
        <v>544</v>
      </c>
      <c r="L77" s="306"/>
      <c r="M77" s="307" t="str">
        <f>IF(L77=$AA$3,$I77,$J77)</f>
        <v>EB</v>
      </c>
      <c r="N77" s="308">
        <v>3</v>
      </c>
      <c r="O77" s="305" t="str">
        <f>IF(L77=$AA$3,$I77,$K77)</f>
        <v>NC</v>
      </c>
      <c r="P77" s="308">
        <v>3</v>
      </c>
      <c r="Q77" s="309" t="str">
        <f t="shared" si="20"/>
        <v>EB</v>
      </c>
      <c r="R77" s="306" t="str">
        <f t="shared" si="21"/>
        <v>NC</v>
      </c>
      <c r="S77" s="306"/>
      <c r="T77" s="307" t="str">
        <f>IF(S77=$AA$3,$I77,$J77)</f>
        <v>EB</v>
      </c>
      <c r="U77" s="308">
        <v>0</v>
      </c>
      <c r="V77" s="305" t="str">
        <f>IF(S77=$AA$3,$I77,$K77)</f>
        <v>NC</v>
      </c>
      <c r="W77" s="308">
        <v>0</v>
      </c>
      <c r="X77" s="309" t="str">
        <f t="shared" si="22"/>
        <v>EB</v>
      </c>
      <c r="Y77" s="306" t="str">
        <f t="shared" si="23"/>
        <v>NC</v>
      </c>
      <c r="Z77" s="212"/>
      <c r="AA77" s="272">
        <f>重み_前!M77</f>
        <v>0.80000000000000016</v>
      </c>
      <c r="AB77" s="272">
        <f>重み_後!N77</f>
        <v>0.8</v>
      </c>
      <c r="AC77" s="242">
        <f>重み_前!D77</f>
        <v>0.79999999999999993</v>
      </c>
      <c r="AD77" s="242"/>
      <c r="AE77" s="242">
        <f>重み_後!D77</f>
        <v>0.8</v>
      </c>
      <c r="AF77" s="242"/>
      <c r="AG77" s="242"/>
      <c r="AH77" s="243">
        <f>重み_前!N77</f>
        <v>0</v>
      </c>
      <c r="AI77" s="243">
        <f>重み_後!O77</f>
        <v>0</v>
      </c>
      <c r="AJ77" s="242">
        <f>重み_前!E77</f>
        <v>0</v>
      </c>
      <c r="AK77" s="242"/>
      <c r="AL77" s="242">
        <f>重み_後!E77</f>
        <v>0</v>
      </c>
    </row>
    <row r="78" spans="2:38" ht="14.25" thickBot="1">
      <c r="B78" s="338"/>
      <c r="C78" s="346"/>
      <c r="D78" s="304">
        <v>2</v>
      </c>
      <c r="E78" s="324" t="s">
        <v>639</v>
      </c>
      <c r="F78" s="287" t="s">
        <v>636</v>
      </c>
      <c r="G78" s="287" t="s">
        <v>636</v>
      </c>
      <c r="H78" s="287" t="s">
        <v>544</v>
      </c>
      <c r="I78" s="287" t="s">
        <v>640</v>
      </c>
      <c r="J78" s="287" t="s">
        <v>640</v>
      </c>
      <c r="K78" s="305" t="s">
        <v>544</v>
      </c>
      <c r="L78" s="312"/>
      <c r="M78" s="307" t="str">
        <f>IF(L78=$AA$3,$I78,$J78)</f>
        <v>EB</v>
      </c>
      <c r="N78" s="313">
        <v>3</v>
      </c>
      <c r="O78" s="305" t="str">
        <f>IF(L78=$AA$3,$I78,$K78)</f>
        <v>NC</v>
      </c>
      <c r="P78" s="313">
        <v>3</v>
      </c>
      <c r="Q78" s="314" t="str">
        <f t="shared" si="20"/>
        <v>EB</v>
      </c>
      <c r="R78" s="312" t="str">
        <f t="shared" si="21"/>
        <v>NC</v>
      </c>
      <c r="S78" s="312"/>
      <c r="T78" s="307" t="str">
        <f>IF(S78=$AA$3,$I78,$J78)</f>
        <v>EB</v>
      </c>
      <c r="U78" s="313">
        <v>0</v>
      </c>
      <c r="V78" s="305" t="str">
        <f>IF(S78=$AA$3,$I78,$K78)</f>
        <v>NC</v>
      </c>
      <c r="W78" s="313">
        <v>0</v>
      </c>
      <c r="X78" s="314" t="str">
        <f t="shared" si="22"/>
        <v>EB</v>
      </c>
      <c r="Y78" s="312" t="str">
        <f t="shared" si="23"/>
        <v>NC</v>
      </c>
      <c r="Z78" s="212"/>
      <c r="AA78" s="272">
        <f>重み_前!M78</f>
        <v>0.20000000000000004</v>
      </c>
      <c r="AB78" s="272">
        <f>重み_後!N78</f>
        <v>0.2</v>
      </c>
      <c r="AC78" s="242">
        <f>重み_前!D78</f>
        <v>0.19999999999999998</v>
      </c>
      <c r="AD78" s="242"/>
      <c r="AE78" s="242">
        <f>重み_後!D78</f>
        <v>0.2</v>
      </c>
      <c r="AF78" s="242"/>
      <c r="AG78" s="242"/>
      <c r="AH78" s="243">
        <f>重み_前!N78</f>
        <v>0</v>
      </c>
      <c r="AI78" s="243">
        <f>重み_後!O78</f>
        <v>0</v>
      </c>
      <c r="AJ78" s="242">
        <f>重み_前!E78</f>
        <v>0</v>
      </c>
      <c r="AK78" s="242"/>
      <c r="AL78" s="242">
        <f>重み_後!E78</f>
        <v>0</v>
      </c>
    </row>
    <row r="79" spans="2:38" ht="14.25" thickBot="1">
      <c r="B79" s="338"/>
      <c r="C79" s="315">
        <v>2.2000000000000002</v>
      </c>
      <c r="D79" s="333" t="s">
        <v>641</v>
      </c>
      <c r="E79" s="377"/>
      <c r="F79" s="287" t="s">
        <v>636</v>
      </c>
      <c r="G79" s="287" t="s">
        <v>636</v>
      </c>
      <c r="H79" s="287" t="s">
        <v>642</v>
      </c>
      <c r="I79" s="334"/>
      <c r="J79" s="334"/>
      <c r="K79" s="335"/>
      <c r="L79" s="299" t="str">
        <f>IF(COUNTIF(L80:L85,$AA$3)&gt;=ROWS(L80:L85),$AA$3,"")</f>
        <v/>
      </c>
      <c r="M79" s="336"/>
      <c r="N79" s="316"/>
      <c r="O79" s="335"/>
      <c r="P79" s="316"/>
      <c r="Q79" s="317" t="str">
        <f t="shared" si="20"/>
        <v>EB</v>
      </c>
      <c r="R79" s="318" t="str">
        <f t="shared" si="21"/>
        <v>NC</v>
      </c>
      <c r="S79" s="299" t="str">
        <f>IF(COUNTIF(S80:S85,$AA$3)&gt;=ROWS(S80:S85),$AA$3,"")</f>
        <v/>
      </c>
      <c r="T79" s="336"/>
      <c r="U79" s="316"/>
      <c r="V79" s="335"/>
      <c r="W79" s="316"/>
      <c r="X79" s="317" t="str">
        <f t="shared" si="22"/>
        <v>EB</v>
      </c>
      <c r="Y79" s="318" t="str">
        <f t="shared" si="23"/>
        <v>NC</v>
      </c>
      <c r="Z79" s="212"/>
      <c r="AA79" s="272">
        <f>重み_前!M79</f>
        <v>0.25000000000000006</v>
      </c>
      <c r="AB79" s="272">
        <f>重み_後!N79</f>
        <v>0.29999999999999988</v>
      </c>
      <c r="AC79" s="242">
        <f>重み_前!D79</f>
        <v>0.25</v>
      </c>
      <c r="AD79" s="242"/>
      <c r="AE79" s="242">
        <f>重み_後!D79</f>
        <v>0.3</v>
      </c>
      <c r="AF79" s="242"/>
      <c r="AG79" s="242"/>
      <c r="AH79" s="243">
        <f>重み_前!N79</f>
        <v>0</v>
      </c>
      <c r="AI79" s="243">
        <f>重み_後!O79</f>
        <v>0</v>
      </c>
      <c r="AJ79" s="242">
        <f>重み_前!E79</f>
        <v>0</v>
      </c>
      <c r="AK79" s="242"/>
      <c r="AL79" s="242">
        <f>重み_後!E79</f>
        <v>0</v>
      </c>
    </row>
    <row r="80" spans="2:38" ht="13.5">
      <c r="B80" s="338"/>
      <c r="C80" s="337"/>
      <c r="D80" s="304">
        <v>1</v>
      </c>
      <c r="E80" s="324" t="s">
        <v>643</v>
      </c>
      <c r="F80" s="287" t="s">
        <v>636</v>
      </c>
      <c r="G80" s="287" t="s">
        <v>636</v>
      </c>
      <c r="H80" s="287" t="s">
        <v>544</v>
      </c>
      <c r="I80" s="287" t="s">
        <v>562</v>
      </c>
      <c r="J80" s="287" t="s">
        <v>562</v>
      </c>
      <c r="K80" s="305" t="s">
        <v>544</v>
      </c>
      <c r="L80" s="308"/>
      <c r="M80" s="307" t="str">
        <f t="shared" ref="M80:M85" si="24">IF(L80=$AA$3,$I80,$J80)</f>
        <v>EB</v>
      </c>
      <c r="N80" s="308">
        <v>3</v>
      </c>
      <c r="O80" s="305" t="str">
        <f t="shared" ref="O80:O85" si="25">IF(L80=$AA$3,$I80,$K80)</f>
        <v>NC</v>
      </c>
      <c r="P80" s="308">
        <v>3</v>
      </c>
      <c r="Q80" s="308" t="str">
        <f t="shared" si="20"/>
        <v>EB</v>
      </c>
      <c r="R80" s="308" t="str">
        <f t="shared" si="21"/>
        <v>NC</v>
      </c>
      <c r="S80" s="308"/>
      <c r="T80" s="307" t="str">
        <f t="shared" ref="T80:T85" si="26">IF(S80=$AA$3,$I80,$J80)</f>
        <v>EB</v>
      </c>
      <c r="U80" s="308">
        <v>0</v>
      </c>
      <c r="V80" s="305" t="str">
        <f t="shared" ref="V80:V85" si="27">IF(S80=$AA$3,$I80,$K80)</f>
        <v>NC</v>
      </c>
      <c r="W80" s="308">
        <v>0</v>
      </c>
      <c r="X80" s="308" t="str">
        <f t="shared" si="22"/>
        <v>EB</v>
      </c>
      <c r="Y80" s="308" t="str">
        <f t="shared" si="23"/>
        <v>NC</v>
      </c>
      <c r="Z80" s="212"/>
      <c r="AA80" s="272">
        <f>重み_前!M80</f>
        <v>0.20000000000000004</v>
      </c>
      <c r="AB80" s="272">
        <f>重み_後!N80</f>
        <v>0.2</v>
      </c>
      <c r="AC80" s="242">
        <f>重み_前!D80</f>
        <v>0.25</v>
      </c>
      <c r="AD80" s="242"/>
      <c r="AE80" s="242">
        <f>重み_後!D80</f>
        <v>0.2</v>
      </c>
      <c r="AF80" s="242"/>
      <c r="AG80" s="242"/>
      <c r="AH80" s="243">
        <f>重み_前!N80</f>
        <v>0</v>
      </c>
      <c r="AI80" s="243">
        <f>重み_後!O80</f>
        <v>0</v>
      </c>
      <c r="AJ80" s="242">
        <f>重み_前!E80</f>
        <v>0</v>
      </c>
      <c r="AK80" s="242"/>
      <c r="AL80" s="242">
        <f>重み_後!E80</f>
        <v>0</v>
      </c>
    </row>
    <row r="81" spans="2:38" ht="13.5">
      <c r="B81" s="338"/>
      <c r="C81" s="337"/>
      <c r="D81" s="304">
        <v>2</v>
      </c>
      <c r="E81" s="353" t="s">
        <v>644</v>
      </c>
      <c r="F81" s="287" t="s">
        <v>636</v>
      </c>
      <c r="G81" s="287" t="s">
        <v>636</v>
      </c>
      <c r="H81" s="287" t="s">
        <v>544</v>
      </c>
      <c r="I81" s="287" t="s">
        <v>562</v>
      </c>
      <c r="J81" s="287" t="s">
        <v>562</v>
      </c>
      <c r="K81" s="305" t="s">
        <v>544</v>
      </c>
      <c r="L81" s="320"/>
      <c r="M81" s="307" t="str">
        <f t="shared" si="24"/>
        <v>EB</v>
      </c>
      <c r="N81" s="320">
        <v>3</v>
      </c>
      <c r="O81" s="305" t="str">
        <f t="shared" si="25"/>
        <v>NC</v>
      </c>
      <c r="P81" s="320">
        <v>3</v>
      </c>
      <c r="Q81" s="320" t="str">
        <f t="shared" si="20"/>
        <v>EB</v>
      </c>
      <c r="R81" s="320" t="str">
        <f t="shared" si="21"/>
        <v>NC</v>
      </c>
      <c r="S81" s="320"/>
      <c r="T81" s="307" t="str">
        <f t="shared" si="26"/>
        <v>EB</v>
      </c>
      <c r="U81" s="320">
        <v>0</v>
      </c>
      <c r="V81" s="305" t="str">
        <f t="shared" si="27"/>
        <v>NC</v>
      </c>
      <c r="W81" s="320">
        <v>0</v>
      </c>
      <c r="X81" s="320" t="str">
        <f t="shared" si="22"/>
        <v>EB</v>
      </c>
      <c r="Y81" s="320" t="str">
        <f t="shared" si="23"/>
        <v>NC</v>
      </c>
      <c r="Z81" s="212"/>
      <c r="AA81" s="272">
        <f>重み_前!M81</f>
        <v>0.20000000000000004</v>
      </c>
      <c r="AB81" s="272">
        <f>重み_後!N81</f>
        <v>0.2</v>
      </c>
      <c r="AC81" s="242">
        <f>重み_前!D81</f>
        <v>0.25</v>
      </c>
      <c r="AD81" s="242"/>
      <c r="AE81" s="242">
        <f>重み_後!D81</f>
        <v>0.2</v>
      </c>
      <c r="AF81" s="242"/>
      <c r="AG81" s="242"/>
      <c r="AH81" s="243">
        <f>重み_前!N81</f>
        <v>0</v>
      </c>
      <c r="AI81" s="243">
        <f>重み_後!O81</f>
        <v>0</v>
      </c>
      <c r="AJ81" s="242">
        <f>重み_前!E81</f>
        <v>0</v>
      </c>
      <c r="AK81" s="242"/>
      <c r="AL81" s="242">
        <f>重み_後!E81</f>
        <v>0</v>
      </c>
    </row>
    <row r="82" spans="2:38" ht="13.5">
      <c r="B82" s="338"/>
      <c r="C82" s="337"/>
      <c r="D82" s="304">
        <v>3</v>
      </c>
      <c r="E82" s="353" t="s">
        <v>645</v>
      </c>
      <c r="F82" s="287" t="s">
        <v>636</v>
      </c>
      <c r="G82" s="287" t="s">
        <v>636</v>
      </c>
      <c r="H82" s="287" t="s">
        <v>544</v>
      </c>
      <c r="I82" s="382" t="s">
        <v>771</v>
      </c>
      <c r="J82" s="382" t="s">
        <v>771</v>
      </c>
      <c r="K82" s="305" t="s">
        <v>544</v>
      </c>
      <c r="L82" s="320"/>
      <c r="M82" s="307" t="str">
        <f t="shared" si="24"/>
        <v>-</v>
      </c>
      <c r="N82" s="320">
        <v>0</v>
      </c>
      <c r="O82" s="305" t="str">
        <f t="shared" si="25"/>
        <v>NC</v>
      </c>
      <c r="P82" s="320">
        <v>3</v>
      </c>
      <c r="Q82" s="321" t="str">
        <f t="shared" si="20"/>
        <v>EB</v>
      </c>
      <c r="R82" s="319" t="str">
        <f t="shared" si="21"/>
        <v>NC</v>
      </c>
      <c r="S82" s="320"/>
      <c r="T82" s="307" t="str">
        <f t="shared" si="26"/>
        <v>-</v>
      </c>
      <c r="U82" s="320">
        <v>0</v>
      </c>
      <c r="V82" s="305" t="str">
        <f t="shared" si="27"/>
        <v>NC</v>
      </c>
      <c r="W82" s="320">
        <v>0</v>
      </c>
      <c r="X82" s="321" t="str">
        <f t="shared" si="22"/>
        <v>EB</v>
      </c>
      <c r="Y82" s="319" t="str">
        <f t="shared" si="23"/>
        <v>NC</v>
      </c>
      <c r="Z82" s="212"/>
      <c r="AA82" s="272">
        <f>重み_前!M82</f>
        <v>0</v>
      </c>
      <c r="AB82" s="272">
        <f>重み_後!N82</f>
        <v>0.1</v>
      </c>
      <c r="AC82" s="242">
        <f>重み_前!D82</f>
        <v>0</v>
      </c>
      <c r="AD82" s="242"/>
      <c r="AE82" s="242">
        <f>重み_後!D82</f>
        <v>0.1</v>
      </c>
      <c r="AF82" s="242"/>
      <c r="AG82" s="242"/>
      <c r="AH82" s="243">
        <f>重み_前!N82</f>
        <v>0</v>
      </c>
      <c r="AI82" s="243">
        <f>重み_後!O82</f>
        <v>0</v>
      </c>
      <c r="AJ82" s="242">
        <f>重み_前!E82</f>
        <v>0</v>
      </c>
      <c r="AK82" s="242"/>
      <c r="AL82" s="242">
        <f>重み_後!E82</f>
        <v>0</v>
      </c>
    </row>
    <row r="83" spans="2:38" ht="13.5">
      <c r="B83" s="338"/>
      <c r="C83" s="337"/>
      <c r="D83" s="304">
        <v>4</v>
      </c>
      <c r="E83" s="353" t="s">
        <v>646</v>
      </c>
      <c r="F83" s="287" t="s">
        <v>636</v>
      </c>
      <c r="G83" s="287" t="s">
        <v>636</v>
      </c>
      <c r="H83" s="287" t="s">
        <v>544</v>
      </c>
      <c r="I83" s="287" t="s">
        <v>562</v>
      </c>
      <c r="J83" s="287" t="s">
        <v>562</v>
      </c>
      <c r="K83" s="305" t="s">
        <v>544</v>
      </c>
      <c r="L83" s="320"/>
      <c r="M83" s="307" t="str">
        <f t="shared" si="24"/>
        <v>EB</v>
      </c>
      <c r="N83" s="320">
        <v>3</v>
      </c>
      <c r="O83" s="305" t="str">
        <f t="shared" si="25"/>
        <v>NC</v>
      </c>
      <c r="P83" s="320">
        <v>3</v>
      </c>
      <c r="Q83" s="321" t="str">
        <f t="shared" si="20"/>
        <v>EB</v>
      </c>
      <c r="R83" s="319" t="str">
        <f t="shared" si="21"/>
        <v>NC</v>
      </c>
      <c r="S83" s="320"/>
      <c r="T83" s="307" t="str">
        <f t="shared" si="26"/>
        <v>EB</v>
      </c>
      <c r="U83" s="320">
        <v>0</v>
      </c>
      <c r="V83" s="305" t="str">
        <f t="shared" si="27"/>
        <v>NC</v>
      </c>
      <c r="W83" s="320">
        <v>0</v>
      </c>
      <c r="X83" s="321" t="str">
        <f t="shared" si="22"/>
        <v>EB</v>
      </c>
      <c r="Y83" s="319" t="str">
        <f t="shared" si="23"/>
        <v>NC</v>
      </c>
      <c r="Z83" s="212"/>
      <c r="AA83" s="272">
        <f>重み_前!M83</f>
        <v>0.10000000000000002</v>
      </c>
      <c r="AB83" s="272">
        <f>重み_後!N83</f>
        <v>0.1</v>
      </c>
      <c r="AC83" s="242">
        <f>重み_前!D83</f>
        <v>0.125</v>
      </c>
      <c r="AD83" s="242"/>
      <c r="AE83" s="242">
        <f>重み_後!D83</f>
        <v>0.1</v>
      </c>
      <c r="AF83" s="242"/>
      <c r="AG83" s="242"/>
      <c r="AH83" s="243">
        <f>重み_前!N83</f>
        <v>0</v>
      </c>
      <c r="AI83" s="243">
        <f>重み_後!O83</f>
        <v>0</v>
      </c>
      <c r="AJ83" s="242">
        <f>重み_前!E83</f>
        <v>0</v>
      </c>
      <c r="AK83" s="242"/>
      <c r="AL83" s="242">
        <f>重み_後!E83</f>
        <v>0</v>
      </c>
    </row>
    <row r="84" spans="2:38" ht="13.5">
      <c r="B84" s="338"/>
      <c r="C84" s="337"/>
      <c r="D84" s="304">
        <v>5</v>
      </c>
      <c r="E84" s="353" t="s">
        <v>647</v>
      </c>
      <c r="F84" s="287" t="s">
        <v>636</v>
      </c>
      <c r="G84" s="287" t="s">
        <v>636</v>
      </c>
      <c r="H84" s="287" t="s">
        <v>544</v>
      </c>
      <c r="I84" s="287" t="s">
        <v>562</v>
      </c>
      <c r="J84" s="287" t="s">
        <v>562</v>
      </c>
      <c r="K84" s="305" t="s">
        <v>544</v>
      </c>
      <c r="L84" s="320"/>
      <c r="M84" s="307" t="str">
        <f t="shared" si="24"/>
        <v>EB</v>
      </c>
      <c r="N84" s="320">
        <v>3</v>
      </c>
      <c r="O84" s="305" t="str">
        <f t="shared" si="25"/>
        <v>NC</v>
      </c>
      <c r="P84" s="320">
        <v>3</v>
      </c>
      <c r="Q84" s="321" t="str">
        <f t="shared" si="20"/>
        <v>EB</v>
      </c>
      <c r="R84" s="319" t="str">
        <f t="shared" si="21"/>
        <v>NC</v>
      </c>
      <c r="S84" s="320"/>
      <c r="T84" s="307" t="str">
        <f t="shared" si="26"/>
        <v>EB</v>
      </c>
      <c r="U84" s="320">
        <v>0</v>
      </c>
      <c r="V84" s="305" t="str">
        <f t="shared" si="27"/>
        <v>NC</v>
      </c>
      <c r="W84" s="320">
        <v>0</v>
      </c>
      <c r="X84" s="321" t="str">
        <f t="shared" si="22"/>
        <v>EB</v>
      </c>
      <c r="Y84" s="319" t="str">
        <f t="shared" si="23"/>
        <v>NC</v>
      </c>
      <c r="Z84" s="212"/>
      <c r="AA84" s="272">
        <f>重み_前!M84</f>
        <v>0.10000000000000002</v>
      </c>
      <c r="AB84" s="272">
        <f>重み_後!N84</f>
        <v>0.2</v>
      </c>
      <c r="AC84" s="242">
        <f>重み_前!D84</f>
        <v>0.125</v>
      </c>
      <c r="AD84" s="242"/>
      <c r="AE84" s="242">
        <f>重み_後!D84</f>
        <v>0.2</v>
      </c>
      <c r="AF84" s="242"/>
      <c r="AG84" s="242"/>
      <c r="AH84" s="243">
        <f>重み_前!N84</f>
        <v>0</v>
      </c>
      <c r="AI84" s="243">
        <f>重み_後!O84</f>
        <v>0</v>
      </c>
      <c r="AJ84" s="242">
        <f>重み_前!E84</f>
        <v>0</v>
      </c>
      <c r="AK84" s="242"/>
      <c r="AL84" s="242">
        <f>重み_後!E84</f>
        <v>0</v>
      </c>
    </row>
    <row r="85" spans="2:38" ht="14.25" thickBot="1">
      <c r="B85" s="338"/>
      <c r="C85" s="346"/>
      <c r="D85" s="304">
        <v>6</v>
      </c>
      <c r="E85" s="353" t="s">
        <v>648</v>
      </c>
      <c r="F85" s="287" t="s">
        <v>636</v>
      </c>
      <c r="G85" s="287" t="s">
        <v>636</v>
      </c>
      <c r="H85" s="287" t="s">
        <v>544</v>
      </c>
      <c r="I85" s="287" t="s">
        <v>562</v>
      </c>
      <c r="J85" s="287" t="s">
        <v>562</v>
      </c>
      <c r="K85" s="305" t="s">
        <v>544</v>
      </c>
      <c r="L85" s="313"/>
      <c r="M85" s="307" t="str">
        <f t="shared" si="24"/>
        <v>EB</v>
      </c>
      <c r="N85" s="313">
        <v>3</v>
      </c>
      <c r="O85" s="305" t="str">
        <f t="shared" si="25"/>
        <v>NC</v>
      </c>
      <c r="P85" s="313">
        <v>3</v>
      </c>
      <c r="Q85" s="314" t="str">
        <f t="shared" si="20"/>
        <v>EB</v>
      </c>
      <c r="R85" s="312" t="str">
        <f t="shared" si="21"/>
        <v>NC</v>
      </c>
      <c r="S85" s="313"/>
      <c r="T85" s="307" t="str">
        <f t="shared" si="26"/>
        <v>EB</v>
      </c>
      <c r="U85" s="313">
        <v>0</v>
      </c>
      <c r="V85" s="305" t="str">
        <f t="shared" si="27"/>
        <v>NC</v>
      </c>
      <c r="W85" s="313">
        <v>0</v>
      </c>
      <c r="X85" s="314" t="str">
        <f t="shared" si="22"/>
        <v>EB</v>
      </c>
      <c r="Y85" s="312" t="str">
        <f t="shared" si="23"/>
        <v>NC</v>
      </c>
      <c r="Z85" s="212"/>
      <c r="AA85" s="272">
        <f>重み_前!M85</f>
        <v>0.20000000000000004</v>
      </c>
      <c r="AB85" s="272">
        <f>重み_後!N85</f>
        <v>0.2</v>
      </c>
      <c r="AC85" s="242">
        <f>重み_前!D85</f>
        <v>0.25</v>
      </c>
      <c r="AD85" s="242"/>
      <c r="AE85" s="242">
        <f>重み_後!D85</f>
        <v>0.2</v>
      </c>
      <c r="AF85" s="242"/>
      <c r="AG85" s="242"/>
      <c r="AH85" s="243">
        <f>重み_前!N85</f>
        <v>0</v>
      </c>
      <c r="AI85" s="243">
        <f>重み_後!O85</f>
        <v>0</v>
      </c>
      <c r="AJ85" s="242">
        <f>重み_前!E85</f>
        <v>0</v>
      </c>
      <c r="AK85" s="242"/>
      <c r="AL85" s="242">
        <f>重み_後!E85</f>
        <v>0</v>
      </c>
    </row>
    <row r="86" spans="2:38" ht="14.25" thickBot="1">
      <c r="B86" s="338"/>
      <c r="C86" s="296">
        <v>2.2999999999999998</v>
      </c>
      <c r="D86" s="154" t="s">
        <v>649</v>
      </c>
      <c r="E86" s="154"/>
      <c r="F86" s="287" t="s">
        <v>636</v>
      </c>
      <c r="G86" s="287" t="s">
        <v>636</v>
      </c>
      <c r="H86" s="287" t="s">
        <v>586</v>
      </c>
      <c r="I86" s="334"/>
      <c r="J86" s="334"/>
      <c r="K86" s="335"/>
      <c r="L86" s="383" t="str">
        <f>IF(COUNTIF(L87:L89,$AA$3)&gt;=ROWS(L87:L89),$AA$3,"")</f>
        <v/>
      </c>
      <c r="M86" s="336"/>
      <c r="N86" s="384"/>
      <c r="O86" s="335"/>
      <c r="P86" s="384"/>
      <c r="Q86" s="385" t="str">
        <f t="shared" si="20"/>
        <v>EB</v>
      </c>
      <c r="R86" s="386" t="str">
        <f t="shared" si="21"/>
        <v>NC</v>
      </c>
      <c r="S86" s="383" t="str">
        <f>IF(COUNTIF(S87:S89,$AA$3)&gt;=ROWS(S87:S89),$AA$3,"")</f>
        <v/>
      </c>
      <c r="T86" s="336"/>
      <c r="U86" s="384"/>
      <c r="V86" s="335"/>
      <c r="W86" s="384"/>
      <c r="X86" s="317" t="str">
        <f t="shared" si="22"/>
        <v>EB</v>
      </c>
      <c r="Y86" s="318" t="str">
        <f t="shared" si="23"/>
        <v>NC</v>
      </c>
      <c r="Z86" s="212"/>
      <c r="AA86" s="272">
        <f>重み_前!M86</f>
        <v>0.25000000000000006</v>
      </c>
      <c r="AB86" s="272">
        <f>重み_後!N86</f>
        <v>0</v>
      </c>
      <c r="AC86" s="242">
        <f>重み_前!D86</f>
        <v>0.25</v>
      </c>
      <c r="AD86" s="242"/>
      <c r="AE86" s="242">
        <f>重み_後!D86</f>
        <v>0</v>
      </c>
      <c r="AF86" s="242"/>
      <c r="AG86" s="242"/>
      <c r="AH86" s="243">
        <f>重み_前!N86</f>
        <v>0</v>
      </c>
      <c r="AI86" s="243">
        <f>重み_後!O86</f>
        <v>0</v>
      </c>
      <c r="AJ86" s="242">
        <f>重み_前!E86</f>
        <v>0</v>
      </c>
      <c r="AK86" s="242"/>
      <c r="AL86" s="242">
        <f>重み_後!E86</f>
        <v>0</v>
      </c>
    </row>
    <row r="87" spans="2:38" ht="13.5">
      <c r="B87" s="338"/>
      <c r="C87" s="387"/>
      <c r="D87" s="304">
        <v>1</v>
      </c>
      <c r="E87" s="353" t="s">
        <v>180</v>
      </c>
      <c r="F87" s="287" t="s">
        <v>636</v>
      </c>
      <c r="G87" s="287" t="s">
        <v>636</v>
      </c>
      <c r="H87" s="287" t="s">
        <v>586</v>
      </c>
      <c r="I87" s="287" t="s">
        <v>585</v>
      </c>
      <c r="J87" s="287" t="s">
        <v>585</v>
      </c>
      <c r="K87" s="381">
        <v>0</v>
      </c>
      <c r="L87" s="308"/>
      <c r="M87" s="307" t="str">
        <f>IF(L87=$AA$3,$I87,$J87)</f>
        <v>EB</v>
      </c>
      <c r="N87" s="308">
        <v>3</v>
      </c>
      <c r="O87" s="305">
        <f>IF(L87=$AA$3,$I87,$K87)</f>
        <v>0</v>
      </c>
      <c r="P87" s="308">
        <v>3</v>
      </c>
      <c r="Q87" s="309" t="str">
        <f t="shared" si="20"/>
        <v>EB</v>
      </c>
      <c r="R87" s="308" t="str">
        <f t="shared" si="21"/>
        <v>NC</v>
      </c>
      <c r="S87" s="308"/>
      <c r="T87" s="307" t="str">
        <f>IF(S87=$AA$3,$I87,$J87)</f>
        <v>EB</v>
      </c>
      <c r="U87" s="308">
        <v>0</v>
      </c>
      <c r="V87" s="305">
        <f>IF(S87=$AA$3,$I87,$K87)</f>
        <v>0</v>
      </c>
      <c r="W87" s="308">
        <v>0</v>
      </c>
      <c r="X87" s="309" t="str">
        <f t="shared" si="22"/>
        <v>EB</v>
      </c>
      <c r="Y87" s="308" t="str">
        <f t="shared" si="23"/>
        <v>NC</v>
      </c>
      <c r="Z87" s="212"/>
      <c r="AA87" s="272">
        <f>重み_前!M87</f>
        <v>0.33333333333333337</v>
      </c>
      <c r="AB87" s="272">
        <f>重み_後!N87</f>
        <v>0</v>
      </c>
      <c r="AC87" s="242">
        <f>重み_前!D87</f>
        <v>0.41666666666666663</v>
      </c>
      <c r="AD87" s="242"/>
      <c r="AE87" s="242">
        <f>重み_後!D87</f>
        <v>0</v>
      </c>
      <c r="AF87" s="242"/>
      <c r="AG87" s="242"/>
      <c r="AH87" s="243">
        <f>重み_前!N87</f>
        <v>0</v>
      </c>
      <c r="AI87" s="243">
        <f>重み_後!O87</f>
        <v>0</v>
      </c>
      <c r="AJ87" s="242">
        <f>重み_前!E87</f>
        <v>0</v>
      </c>
      <c r="AK87" s="242"/>
      <c r="AL87" s="242">
        <f>重み_後!E87</f>
        <v>0</v>
      </c>
    </row>
    <row r="88" spans="2:38" ht="13.5">
      <c r="B88" s="338"/>
      <c r="C88" s="387"/>
      <c r="D88" s="304">
        <v>2</v>
      </c>
      <c r="E88" s="324" t="s">
        <v>651</v>
      </c>
      <c r="F88" s="287" t="s">
        <v>636</v>
      </c>
      <c r="G88" s="287" t="s">
        <v>636</v>
      </c>
      <c r="H88" s="287" t="s">
        <v>586</v>
      </c>
      <c r="I88" s="287" t="s">
        <v>585</v>
      </c>
      <c r="J88" s="287" t="s">
        <v>585</v>
      </c>
      <c r="K88" s="381">
        <v>0</v>
      </c>
      <c r="L88" s="319"/>
      <c r="M88" s="307" t="str">
        <f>IF(L88=$AA$3,$I88,$J88)</f>
        <v>EB</v>
      </c>
      <c r="N88" s="320">
        <v>3</v>
      </c>
      <c r="O88" s="305">
        <f>IF(L88=$AA$3,$I88,$K88)</f>
        <v>0</v>
      </c>
      <c r="P88" s="320">
        <v>3</v>
      </c>
      <c r="Q88" s="321" t="str">
        <f t="shared" si="20"/>
        <v>EB</v>
      </c>
      <c r="R88" s="319" t="str">
        <f t="shared" si="21"/>
        <v>NC</v>
      </c>
      <c r="S88" s="319"/>
      <c r="T88" s="307" t="str">
        <f>IF(S88=$AA$3,$I88,$J88)</f>
        <v>EB</v>
      </c>
      <c r="U88" s="320">
        <v>0</v>
      </c>
      <c r="V88" s="305">
        <f>IF(S88=$AA$3,$I88,$K88)</f>
        <v>0</v>
      </c>
      <c r="W88" s="320">
        <v>0</v>
      </c>
      <c r="X88" s="321" t="str">
        <f t="shared" si="22"/>
        <v>EB</v>
      </c>
      <c r="Y88" s="319" t="str">
        <f t="shared" si="23"/>
        <v>NC</v>
      </c>
      <c r="Z88" s="212"/>
      <c r="AA88" s="272">
        <f>重み_前!M88</f>
        <v>0.33333333333333337</v>
      </c>
      <c r="AB88" s="272">
        <f>重み_後!N88</f>
        <v>0</v>
      </c>
      <c r="AC88" s="242">
        <f>重み_前!D88</f>
        <v>0.41666666666666663</v>
      </c>
      <c r="AD88" s="242"/>
      <c r="AE88" s="242">
        <f>重み_後!D88</f>
        <v>0</v>
      </c>
      <c r="AF88" s="242"/>
      <c r="AG88" s="242"/>
      <c r="AH88" s="243">
        <f>重み_前!N88</f>
        <v>0</v>
      </c>
      <c r="AI88" s="243">
        <f>重み_後!O88</f>
        <v>0</v>
      </c>
      <c r="AJ88" s="242">
        <f>重み_前!E88</f>
        <v>0</v>
      </c>
      <c r="AK88" s="242"/>
      <c r="AL88" s="242">
        <f>重み_後!E88</f>
        <v>0</v>
      </c>
    </row>
    <row r="89" spans="2:38" ht="14.25" thickBot="1">
      <c r="B89" s="338"/>
      <c r="C89" s="83"/>
      <c r="D89" s="304">
        <v>3</v>
      </c>
      <c r="E89" s="324" t="s">
        <v>652</v>
      </c>
      <c r="F89" s="287" t="s">
        <v>636</v>
      </c>
      <c r="G89" s="287" t="s">
        <v>636</v>
      </c>
      <c r="H89" s="287" t="s">
        <v>586</v>
      </c>
      <c r="I89" s="287" t="s">
        <v>585</v>
      </c>
      <c r="J89" s="287" t="s">
        <v>585</v>
      </c>
      <c r="K89" s="381">
        <v>0</v>
      </c>
      <c r="L89" s="312"/>
      <c r="M89" s="307" t="str">
        <f>IF(L89=$AA$3,$I89,$J89)</f>
        <v>EB</v>
      </c>
      <c r="N89" s="313">
        <v>3</v>
      </c>
      <c r="O89" s="305">
        <f>IF(L89=$AA$3,$I89,$K89)</f>
        <v>0</v>
      </c>
      <c r="P89" s="313">
        <v>3</v>
      </c>
      <c r="Q89" s="314" t="str">
        <f t="shared" si="20"/>
        <v>EB</v>
      </c>
      <c r="R89" s="312" t="str">
        <f t="shared" si="21"/>
        <v>NC</v>
      </c>
      <c r="S89" s="312"/>
      <c r="T89" s="307" t="str">
        <f>IF(S89=$AA$3,$I89,$J89)</f>
        <v>EB</v>
      </c>
      <c r="U89" s="313">
        <v>0</v>
      </c>
      <c r="V89" s="305">
        <f>IF(S89=$AA$3,$I89,$K89)</f>
        <v>0</v>
      </c>
      <c r="W89" s="313">
        <v>0</v>
      </c>
      <c r="X89" s="314" t="str">
        <f t="shared" si="22"/>
        <v>EB</v>
      </c>
      <c r="Y89" s="312" t="str">
        <f t="shared" si="23"/>
        <v>NC</v>
      </c>
      <c r="Z89" s="212"/>
      <c r="AA89" s="272">
        <f>重み_前!M89</f>
        <v>0.33333333333333337</v>
      </c>
      <c r="AB89" s="272">
        <f>重み_後!N89</f>
        <v>0</v>
      </c>
      <c r="AC89" s="242">
        <f>重み_前!D89</f>
        <v>0.41666666666666663</v>
      </c>
      <c r="AD89" s="242"/>
      <c r="AE89" s="242">
        <f>重み_後!D89</f>
        <v>0</v>
      </c>
      <c r="AF89" s="242"/>
      <c r="AG89" s="242"/>
      <c r="AH89" s="243">
        <f>重み_前!N89</f>
        <v>0</v>
      </c>
      <c r="AI89" s="243">
        <f>重み_後!O89</f>
        <v>0</v>
      </c>
      <c r="AJ89" s="242">
        <f>重み_前!E89</f>
        <v>0</v>
      </c>
      <c r="AK89" s="242"/>
      <c r="AL89" s="242">
        <f>重み_後!E89</f>
        <v>0</v>
      </c>
    </row>
    <row r="90" spans="2:38" ht="14.25" thickBot="1">
      <c r="B90" s="338"/>
      <c r="C90" s="296">
        <v>2.4</v>
      </c>
      <c r="D90" s="333" t="s">
        <v>653</v>
      </c>
      <c r="E90" s="377"/>
      <c r="F90" s="287" t="s">
        <v>636</v>
      </c>
      <c r="G90" s="287" t="s">
        <v>636</v>
      </c>
      <c r="H90" s="287" t="s">
        <v>586</v>
      </c>
      <c r="I90" s="334"/>
      <c r="J90" s="334"/>
      <c r="K90" s="335"/>
      <c r="L90" s="299" t="str">
        <f>IF(COUNTIF(L91:L95,$AA$3)&gt;=ROWS(L91:L95),$AA$3,"")</f>
        <v/>
      </c>
      <c r="M90" s="336"/>
      <c r="N90" s="316"/>
      <c r="O90" s="335"/>
      <c r="P90" s="316"/>
      <c r="Q90" s="341" t="str">
        <f t="shared" si="20"/>
        <v>EB</v>
      </c>
      <c r="R90" s="342" t="str">
        <f t="shared" si="21"/>
        <v>NC</v>
      </c>
      <c r="S90" s="299" t="str">
        <f>IF(COUNTIF(S91:S95,$AA$3)&gt;=ROWS(S91:S95),$AA$3,"")</f>
        <v/>
      </c>
      <c r="T90" s="336"/>
      <c r="U90" s="316"/>
      <c r="V90" s="335"/>
      <c r="W90" s="316"/>
      <c r="X90" s="341" t="str">
        <f t="shared" si="22"/>
        <v>EB</v>
      </c>
      <c r="Y90" s="342" t="str">
        <f t="shared" si="23"/>
        <v>NC</v>
      </c>
      <c r="Z90" s="212"/>
      <c r="AA90" s="272">
        <f>重み_前!M90</f>
        <v>0.25000000000000006</v>
      </c>
      <c r="AB90" s="272">
        <f>重み_後!N90</f>
        <v>0.19999999999999998</v>
      </c>
      <c r="AC90" s="242">
        <f>重み_前!D90</f>
        <v>0.25</v>
      </c>
      <c r="AD90" s="242"/>
      <c r="AE90" s="242">
        <f>重み_後!D90</f>
        <v>0.20000000000000004</v>
      </c>
      <c r="AF90" s="242"/>
      <c r="AG90" s="242"/>
      <c r="AH90" s="243">
        <f>重み_前!N90</f>
        <v>0</v>
      </c>
      <c r="AI90" s="243">
        <f>重み_後!O90</f>
        <v>0</v>
      </c>
      <c r="AJ90" s="242">
        <f>重み_前!E90</f>
        <v>0</v>
      </c>
      <c r="AK90" s="242"/>
      <c r="AL90" s="242">
        <f>重み_後!E90</f>
        <v>0</v>
      </c>
    </row>
    <row r="91" spans="2:38" ht="13.5">
      <c r="B91" s="295"/>
      <c r="C91" s="337"/>
      <c r="D91" s="304">
        <v>1</v>
      </c>
      <c r="E91" s="324" t="s">
        <v>654</v>
      </c>
      <c r="F91" s="287" t="s">
        <v>636</v>
      </c>
      <c r="G91" s="287" t="s">
        <v>636</v>
      </c>
      <c r="H91" s="287" t="s">
        <v>544</v>
      </c>
      <c r="I91" s="287" t="s">
        <v>543</v>
      </c>
      <c r="J91" s="287" t="s">
        <v>543</v>
      </c>
      <c r="K91" s="305" t="s">
        <v>544</v>
      </c>
      <c r="L91" s="306"/>
      <c r="M91" s="307" t="str">
        <f t="shared" ref="M91:M96" si="28">IF(L91=$AA$3,$I91,$J91)</f>
        <v>EB</v>
      </c>
      <c r="N91" s="308">
        <v>3</v>
      </c>
      <c r="O91" s="305" t="str">
        <f t="shared" ref="O91:O96" si="29">IF(L91=$AA$3,$I91,$K91)</f>
        <v>NC</v>
      </c>
      <c r="P91" s="308">
        <v>3</v>
      </c>
      <c r="Q91" s="309" t="str">
        <f t="shared" si="20"/>
        <v>EB</v>
      </c>
      <c r="R91" s="306" t="str">
        <f t="shared" si="21"/>
        <v>NC</v>
      </c>
      <c r="S91" s="306"/>
      <c r="T91" s="307" t="str">
        <f t="shared" ref="T91:T96" si="30">IF(S91=$AA$3,$I91,$J91)</f>
        <v>EB</v>
      </c>
      <c r="U91" s="308">
        <v>0</v>
      </c>
      <c r="V91" s="305" t="str">
        <f t="shared" ref="V91:V96" si="31">IF(S91=$AA$3,$I91,$K91)</f>
        <v>NC</v>
      </c>
      <c r="W91" s="308">
        <v>0</v>
      </c>
      <c r="X91" s="309" t="str">
        <f t="shared" si="22"/>
        <v>EB</v>
      </c>
      <c r="Y91" s="306" t="str">
        <f t="shared" si="23"/>
        <v>NC</v>
      </c>
      <c r="Z91" s="212"/>
      <c r="AA91" s="272">
        <f>重み_前!M91</f>
        <v>0.20000000000000004</v>
      </c>
      <c r="AB91" s="272">
        <f>重み_後!N91</f>
        <v>0.2</v>
      </c>
      <c r="AC91" s="242">
        <f>重み_前!D91</f>
        <v>0.19999999999999998</v>
      </c>
      <c r="AD91" s="242"/>
      <c r="AE91" s="242">
        <f>重み_後!D91</f>
        <v>0.2</v>
      </c>
      <c r="AF91" s="242"/>
      <c r="AG91" s="242"/>
      <c r="AH91" s="243">
        <f>重み_前!N91</f>
        <v>0</v>
      </c>
      <c r="AI91" s="243">
        <f>重み_後!O91</f>
        <v>0</v>
      </c>
      <c r="AJ91" s="242">
        <f>重み_前!E91</f>
        <v>0</v>
      </c>
      <c r="AK91" s="242"/>
      <c r="AL91" s="242">
        <f>重み_後!E91</f>
        <v>0</v>
      </c>
    </row>
    <row r="92" spans="2:38" ht="13.5">
      <c r="B92" s="295"/>
      <c r="C92" s="337"/>
      <c r="D92" s="304">
        <v>2</v>
      </c>
      <c r="E92" s="324" t="s">
        <v>655</v>
      </c>
      <c r="F92" s="287" t="s">
        <v>636</v>
      </c>
      <c r="G92" s="287" t="s">
        <v>636</v>
      </c>
      <c r="H92" s="287" t="s">
        <v>544</v>
      </c>
      <c r="I92" s="287" t="s">
        <v>581</v>
      </c>
      <c r="J92" s="287" t="s">
        <v>581</v>
      </c>
      <c r="K92" s="305" t="s">
        <v>544</v>
      </c>
      <c r="L92" s="319"/>
      <c r="M92" s="307" t="str">
        <f t="shared" si="28"/>
        <v>EB</v>
      </c>
      <c r="N92" s="320">
        <v>3</v>
      </c>
      <c r="O92" s="305" t="str">
        <f t="shared" si="29"/>
        <v>NC</v>
      </c>
      <c r="P92" s="320">
        <v>3</v>
      </c>
      <c r="Q92" s="321" t="str">
        <f t="shared" si="20"/>
        <v>EB</v>
      </c>
      <c r="R92" s="319" t="str">
        <f t="shared" si="21"/>
        <v>NC</v>
      </c>
      <c r="S92" s="319"/>
      <c r="T92" s="307" t="str">
        <f t="shared" si="30"/>
        <v>EB</v>
      </c>
      <c r="U92" s="320">
        <v>0</v>
      </c>
      <c r="V92" s="305" t="str">
        <f t="shared" si="31"/>
        <v>NC</v>
      </c>
      <c r="W92" s="320">
        <v>0</v>
      </c>
      <c r="X92" s="321" t="str">
        <f t="shared" si="22"/>
        <v>EB</v>
      </c>
      <c r="Y92" s="319" t="str">
        <f t="shared" si="23"/>
        <v>NC</v>
      </c>
      <c r="Z92" s="212"/>
      <c r="AA92" s="272">
        <f>重み_前!M92</f>
        <v>0.20000000000000004</v>
      </c>
      <c r="AB92" s="272">
        <f>重み_後!N92</f>
        <v>0.2</v>
      </c>
      <c r="AC92" s="242">
        <f>重み_前!D92</f>
        <v>0.19999999999999998</v>
      </c>
      <c r="AD92" s="242"/>
      <c r="AE92" s="242">
        <f>重み_後!D92</f>
        <v>0.2</v>
      </c>
      <c r="AF92" s="242"/>
      <c r="AG92" s="242"/>
      <c r="AH92" s="243">
        <f>重み_前!N92</f>
        <v>0</v>
      </c>
      <c r="AI92" s="243">
        <f>重み_後!O92</f>
        <v>0</v>
      </c>
      <c r="AJ92" s="242">
        <f>重み_前!E92</f>
        <v>0</v>
      </c>
      <c r="AK92" s="242"/>
      <c r="AL92" s="242">
        <f>重み_後!E92</f>
        <v>0</v>
      </c>
    </row>
    <row r="93" spans="2:38" ht="13.5">
      <c r="B93" s="295"/>
      <c r="C93" s="337"/>
      <c r="D93" s="304">
        <v>3</v>
      </c>
      <c r="E93" s="324" t="s">
        <v>656</v>
      </c>
      <c r="F93" s="287" t="s">
        <v>636</v>
      </c>
      <c r="G93" s="287" t="s">
        <v>636</v>
      </c>
      <c r="H93" s="287" t="s">
        <v>544</v>
      </c>
      <c r="I93" s="287" t="s">
        <v>541</v>
      </c>
      <c r="J93" s="287" t="s">
        <v>541</v>
      </c>
      <c r="K93" s="305" t="s">
        <v>544</v>
      </c>
      <c r="L93" s="319"/>
      <c r="M93" s="307" t="str">
        <f t="shared" si="28"/>
        <v>EB</v>
      </c>
      <c r="N93" s="320">
        <v>3</v>
      </c>
      <c r="O93" s="305" t="str">
        <f t="shared" si="29"/>
        <v>NC</v>
      </c>
      <c r="P93" s="320">
        <v>3</v>
      </c>
      <c r="Q93" s="321" t="str">
        <f t="shared" si="20"/>
        <v>EB</v>
      </c>
      <c r="R93" s="319" t="str">
        <f t="shared" si="21"/>
        <v>NC</v>
      </c>
      <c r="S93" s="319"/>
      <c r="T93" s="307" t="str">
        <f t="shared" si="30"/>
        <v>EB</v>
      </c>
      <c r="U93" s="320">
        <v>0</v>
      </c>
      <c r="V93" s="305" t="str">
        <f t="shared" si="31"/>
        <v>NC</v>
      </c>
      <c r="W93" s="320">
        <v>0</v>
      </c>
      <c r="X93" s="321" t="str">
        <f t="shared" si="22"/>
        <v>EB</v>
      </c>
      <c r="Y93" s="319" t="str">
        <f t="shared" si="23"/>
        <v>NC</v>
      </c>
      <c r="Z93" s="212"/>
      <c r="AA93" s="272">
        <f>重み_前!M93</f>
        <v>0.20000000000000004</v>
      </c>
      <c r="AB93" s="272">
        <f>重み_後!N93</f>
        <v>0.2</v>
      </c>
      <c r="AC93" s="242">
        <f>重み_前!D93</f>
        <v>0.19999999999999998</v>
      </c>
      <c r="AD93" s="242"/>
      <c r="AE93" s="242">
        <f>重み_後!D93</f>
        <v>0.2</v>
      </c>
      <c r="AF93" s="242"/>
      <c r="AG93" s="242"/>
      <c r="AH93" s="243">
        <f>重み_前!N93</f>
        <v>0</v>
      </c>
      <c r="AI93" s="243">
        <f>重み_後!O93</f>
        <v>0</v>
      </c>
      <c r="AJ93" s="242">
        <f>重み_前!E93</f>
        <v>0</v>
      </c>
      <c r="AK93" s="242"/>
      <c r="AL93" s="242">
        <f>重み_後!E93</f>
        <v>0</v>
      </c>
    </row>
    <row r="94" spans="2:38" ht="13.5">
      <c r="B94" s="295"/>
      <c r="C94" s="337"/>
      <c r="D94" s="304">
        <v>4</v>
      </c>
      <c r="E94" s="324" t="s">
        <v>657</v>
      </c>
      <c r="F94" s="287" t="s">
        <v>543</v>
      </c>
      <c r="G94" s="287" t="s">
        <v>543</v>
      </c>
      <c r="H94" s="287" t="s">
        <v>544</v>
      </c>
      <c r="I94" s="287" t="s">
        <v>543</v>
      </c>
      <c r="J94" s="287" t="s">
        <v>543</v>
      </c>
      <c r="K94" s="305" t="s">
        <v>544</v>
      </c>
      <c r="L94" s="319"/>
      <c r="M94" s="307" t="str">
        <f t="shared" si="28"/>
        <v>EB</v>
      </c>
      <c r="N94" s="320">
        <v>3</v>
      </c>
      <c r="O94" s="305" t="str">
        <f t="shared" si="29"/>
        <v>NC</v>
      </c>
      <c r="P94" s="320">
        <v>3</v>
      </c>
      <c r="Q94" s="321" t="str">
        <f t="shared" si="20"/>
        <v>EB</v>
      </c>
      <c r="R94" s="319" t="str">
        <f t="shared" si="21"/>
        <v>NC</v>
      </c>
      <c r="S94" s="319"/>
      <c r="T94" s="307" t="str">
        <f t="shared" si="30"/>
        <v>EB</v>
      </c>
      <c r="U94" s="320">
        <v>0</v>
      </c>
      <c r="V94" s="305" t="str">
        <f t="shared" si="31"/>
        <v>NC</v>
      </c>
      <c r="W94" s="320">
        <v>0</v>
      </c>
      <c r="X94" s="321" t="str">
        <f t="shared" si="22"/>
        <v>EB</v>
      </c>
      <c r="Y94" s="319" t="str">
        <f t="shared" si="23"/>
        <v>NC</v>
      </c>
      <c r="Z94" s="212"/>
      <c r="AA94" s="272">
        <f>重み_前!M94</f>
        <v>0.20000000000000004</v>
      </c>
      <c r="AB94" s="272">
        <f>重み_後!N94</f>
        <v>0.2</v>
      </c>
      <c r="AC94" s="242">
        <f>重み_前!D94</f>
        <v>0.19999999999999998</v>
      </c>
      <c r="AD94" s="242"/>
      <c r="AE94" s="242">
        <f>重み_後!D94</f>
        <v>0.2</v>
      </c>
      <c r="AF94" s="242"/>
      <c r="AG94" s="242"/>
      <c r="AH94" s="243">
        <f>重み_前!N94</f>
        <v>0</v>
      </c>
      <c r="AI94" s="243">
        <f>重み_後!O94</f>
        <v>0</v>
      </c>
      <c r="AJ94" s="242">
        <f>重み_前!E94</f>
        <v>0</v>
      </c>
      <c r="AK94" s="242"/>
      <c r="AL94" s="242">
        <f>重み_後!E94</f>
        <v>0</v>
      </c>
    </row>
    <row r="95" spans="2:38" ht="14.25" thickBot="1">
      <c r="B95" s="388"/>
      <c r="C95" s="346"/>
      <c r="D95" s="304">
        <v>5</v>
      </c>
      <c r="E95" s="324" t="s">
        <v>658</v>
      </c>
      <c r="F95" s="287" t="s">
        <v>558</v>
      </c>
      <c r="G95" s="287" t="s">
        <v>558</v>
      </c>
      <c r="H95" s="287" t="s">
        <v>544</v>
      </c>
      <c r="I95" s="287" t="s">
        <v>558</v>
      </c>
      <c r="J95" s="287" t="s">
        <v>558</v>
      </c>
      <c r="K95" s="305" t="s">
        <v>544</v>
      </c>
      <c r="L95" s="312"/>
      <c r="M95" s="307" t="str">
        <f t="shared" si="28"/>
        <v>EB</v>
      </c>
      <c r="N95" s="313">
        <v>3</v>
      </c>
      <c r="O95" s="305" t="str">
        <f t="shared" si="29"/>
        <v>NC</v>
      </c>
      <c r="P95" s="313">
        <v>3</v>
      </c>
      <c r="Q95" s="314" t="str">
        <f t="shared" si="20"/>
        <v>EB</v>
      </c>
      <c r="R95" s="312" t="str">
        <f t="shared" si="21"/>
        <v>NC</v>
      </c>
      <c r="S95" s="312"/>
      <c r="T95" s="307" t="str">
        <f t="shared" si="30"/>
        <v>EB</v>
      </c>
      <c r="U95" s="313">
        <v>0</v>
      </c>
      <c r="V95" s="305" t="str">
        <f t="shared" si="31"/>
        <v>NC</v>
      </c>
      <c r="W95" s="313">
        <v>0</v>
      </c>
      <c r="X95" s="314" t="str">
        <f t="shared" si="22"/>
        <v>EB</v>
      </c>
      <c r="Y95" s="312" t="str">
        <f t="shared" si="23"/>
        <v>NC</v>
      </c>
      <c r="Z95" s="212"/>
      <c r="AA95" s="272">
        <f>重み_前!M95</f>
        <v>0.20000000000000004</v>
      </c>
      <c r="AB95" s="272">
        <f>重み_後!N95</f>
        <v>0.2</v>
      </c>
      <c r="AC95" s="242">
        <f>重み_前!D95</f>
        <v>0.19999999999999998</v>
      </c>
      <c r="AD95" s="242"/>
      <c r="AE95" s="242">
        <f>重み_後!D95</f>
        <v>0.2</v>
      </c>
      <c r="AF95" s="242"/>
      <c r="AG95" s="242"/>
      <c r="AH95" s="243">
        <f>重み_前!N95</f>
        <v>0</v>
      </c>
      <c r="AI95" s="243">
        <f>重み_後!O95</f>
        <v>0</v>
      </c>
      <c r="AJ95" s="242">
        <f>重み_前!E95</f>
        <v>0</v>
      </c>
      <c r="AK95" s="242"/>
      <c r="AL95" s="242">
        <f>重み_後!E95</f>
        <v>0</v>
      </c>
    </row>
    <row r="96" spans="2:38" ht="13.5" hidden="1">
      <c r="B96" s="1700"/>
      <c r="C96" s="1701"/>
      <c r="D96" s="1702"/>
      <c r="E96" s="1703"/>
      <c r="F96" s="1704"/>
      <c r="G96" s="1704"/>
      <c r="H96" s="1704"/>
      <c r="I96" s="1704"/>
      <c r="J96" s="1704"/>
      <c r="K96" s="1705"/>
      <c r="L96" s="390"/>
      <c r="M96" s="391">
        <f t="shared" si="28"/>
        <v>0</v>
      </c>
      <c r="N96" s="392"/>
      <c r="O96" s="389">
        <f t="shared" si="29"/>
        <v>0</v>
      </c>
      <c r="P96" s="393"/>
      <c r="Q96" s="394">
        <f t="shared" si="20"/>
        <v>0</v>
      </c>
      <c r="R96" s="390">
        <f t="shared" si="21"/>
        <v>0</v>
      </c>
      <c r="S96" s="390"/>
      <c r="T96" s="391">
        <f t="shared" si="30"/>
        <v>0</v>
      </c>
      <c r="U96" s="392"/>
      <c r="V96" s="389">
        <f t="shared" si="31"/>
        <v>0</v>
      </c>
      <c r="W96" s="393"/>
      <c r="X96" s="394">
        <f t="shared" si="22"/>
        <v>0</v>
      </c>
      <c r="Y96" s="390">
        <f t="shared" si="23"/>
        <v>0</v>
      </c>
      <c r="Z96" s="212"/>
      <c r="AA96" s="272">
        <f>重み_前!M96</f>
        <v>0</v>
      </c>
      <c r="AB96" s="272">
        <f>重み_後!N96</f>
        <v>0</v>
      </c>
      <c r="AC96" s="242">
        <f>重み_前!D96</f>
        <v>0</v>
      </c>
      <c r="AD96" s="242"/>
      <c r="AE96" s="242">
        <f>重み_後!D96</f>
        <v>0</v>
      </c>
      <c r="AF96" s="242"/>
      <c r="AG96" s="242"/>
      <c r="AH96" s="243">
        <f>重み_前!N96</f>
        <v>0</v>
      </c>
      <c r="AI96" s="243">
        <f>重み_後!O96</f>
        <v>0</v>
      </c>
      <c r="AJ96" s="242">
        <f>重み_前!E96</f>
        <v>0</v>
      </c>
      <c r="AK96" s="242"/>
      <c r="AL96" s="242">
        <f>重み_後!E96</f>
        <v>0</v>
      </c>
    </row>
    <row r="97" spans="1:38" ht="13.5">
      <c r="B97" s="395">
        <v>3</v>
      </c>
      <c r="C97" s="396" t="s">
        <v>659</v>
      </c>
      <c r="D97" s="396"/>
      <c r="E97" s="396"/>
      <c r="F97" s="287" t="s">
        <v>660</v>
      </c>
      <c r="G97" s="287" t="s">
        <v>660</v>
      </c>
      <c r="H97" s="287" t="s">
        <v>661</v>
      </c>
      <c r="I97" s="334"/>
      <c r="J97" s="334"/>
      <c r="K97" s="335"/>
      <c r="L97" s="345" t="str">
        <f>IF(COUNTIF(L98:L108,$AA$3)&gt;=ROWS(L98:L108),$AA$3,"")</f>
        <v/>
      </c>
      <c r="M97" s="336"/>
      <c r="N97" s="397"/>
      <c r="O97" s="335"/>
      <c r="P97" s="397"/>
      <c r="Q97" s="317" t="str">
        <f t="shared" si="20"/>
        <v>EB</v>
      </c>
      <c r="R97" s="318" t="str">
        <f t="shared" si="21"/>
        <v>NC</v>
      </c>
      <c r="S97" s="345" t="str">
        <f>IF(COUNTIF(S98:S108,$AA$3)&gt;=ROWS(S98:S108),$AA$3,"")</f>
        <v/>
      </c>
      <c r="T97" s="336"/>
      <c r="U97" s="397"/>
      <c r="V97" s="335"/>
      <c r="W97" s="397"/>
      <c r="X97" s="317" t="str">
        <f t="shared" si="22"/>
        <v>EB</v>
      </c>
      <c r="Y97" s="318" t="str">
        <f t="shared" si="23"/>
        <v>NC</v>
      </c>
      <c r="Z97" s="212"/>
      <c r="AA97" s="272">
        <f>重み_前!M97</f>
        <v>0.3</v>
      </c>
      <c r="AB97" s="272">
        <f>重み_後!N97</f>
        <v>0.29870918391738771</v>
      </c>
      <c r="AC97" s="242">
        <f>重み_前!D97</f>
        <v>0.3</v>
      </c>
      <c r="AD97" s="242"/>
      <c r="AE97" s="242">
        <f>重み_後!D97</f>
        <v>0.29870918391738771</v>
      </c>
      <c r="AF97" s="242"/>
      <c r="AG97" s="242"/>
      <c r="AH97" s="243">
        <f>重み_前!N97</f>
        <v>1</v>
      </c>
      <c r="AI97" s="243">
        <f>重み_後!O97</f>
        <v>0.9606879606879607</v>
      </c>
      <c r="AJ97" s="242">
        <f>重み_前!E97</f>
        <v>0.5</v>
      </c>
      <c r="AK97" s="242"/>
      <c r="AL97" s="242">
        <f>重み_後!E97</f>
        <v>0.9606879606879607</v>
      </c>
    </row>
    <row r="98" spans="1:38" ht="14.25" thickBot="1">
      <c r="B98" s="338"/>
      <c r="C98" s="296">
        <v>3.1</v>
      </c>
      <c r="D98" s="333" t="s">
        <v>662</v>
      </c>
      <c r="E98" s="297"/>
      <c r="F98" s="287" t="s">
        <v>660</v>
      </c>
      <c r="G98" s="287" t="s">
        <v>660</v>
      </c>
      <c r="H98" s="287" t="s">
        <v>661</v>
      </c>
      <c r="I98" s="334"/>
      <c r="J98" s="334"/>
      <c r="K98" s="335"/>
      <c r="L98" s="299" t="str">
        <f>IF(COUNTIF(L99:L100,$AA$3)&gt;=ROWS(L99:L100),$AA$3,"")</f>
        <v/>
      </c>
      <c r="M98" s="336"/>
      <c r="N98" s="300"/>
      <c r="O98" s="335"/>
      <c r="P98" s="300"/>
      <c r="Q98" s="301" t="str">
        <f t="shared" si="20"/>
        <v>EB</v>
      </c>
      <c r="R98" s="302" t="str">
        <f t="shared" si="21"/>
        <v>NC</v>
      </c>
      <c r="S98" s="299" t="str">
        <f>IF(COUNTIF(S99:S100,$AA$3)&gt;=ROWS(S99:S100),$AA$3,"")</f>
        <v/>
      </c>
      <c r="T98" s="336"/>
      <c r="U98" s="300"/>
      <c r="V98" s="335"/>
      <c r="W98" s="300"/>
      <c r="X98" s="301" t="str">
        <f t="shared" si="22"/>
        <v>EB</v>
      </c>
      <c r="Y98" s="302" t="str">
        <f t="shared" si="23"/>
        <v>NC</v>
      </c>
      <c r="Z98" s="212"/>
      <c r="AA98" s="272">
        <f>重み_前!M98</f>
        <v>0.29373368146214096</v>
      </c>
      <c r="AB98" s="272">
        <f>重み_後!N98</f>
        <v>0.28937368388561552</v>
      </c>
      <c r="AC98" s="242">
        <f>重み_前!D98</f>
        <v>0.29373368146214096</v>
      </c>
      <c r="AD98" s="242"/>
      <c r="AE98" s="242">
        <f>重み_後!D98</f>
        <v>0.28937368388561552</v>
      </c>
      <c r="AF98" s="242"/>
      <c r="AG98" s="242"/>
      <c r="AH98" s="243">
        <f>重み_前!N98</f>
        <v>1.0443864229765013E-2</v>
      </c>
      <c r="AI98" s="243">
        <f>重み_後!O98</f>
        <v>2.0460358056265986E-2</v>
      </c>
      <c r="AJ98" s="242">
        <f>重み_前!E98</f>
        <v>0.5</v>
      </c>
      <c r="AK98" s="242"/>
      <c r="AL98" s="242">
        <f>重み_後!E98</f>
        <v>2.0460358056265986E-2</v>
      </c>
    </row>
    <row r="99" spans="1:38" ht="13.5">
      <c r="B99" s="338"/>
      <c r="C99" s="337"/>
      <c r="D99" s="304">
        <v>1</v>
      </c>
      <c r="E99" s="324" t="s">
        <v>663</v>
      </c>
      <c r="F99" s="287" t="s">
        <v>664</v>
      </c>
      <c r="G99" s="287" t="s">
        <v>664</v>
      </c>
      <c r="H99" s="287" t="s">
        <v>544</v>
      </c>
      <c r="I99" s="287" t="s">
        <v>664</v>
      </c>
      <c r="J99" s="287" t="s">
        <v>664</v>
      </c>
      <c r="K99" s="305" t="s">
        <v>544</v>
      </c>
      <c r="L99" s="306"/>
      <c r="M99" s="307" t="str">
        <f>IF(L99=$AA$3,$I99,$J99)</f>
        <v>EB</v>
      </c>
      <c r="N99" s="308">
        <v>3</v>
      </c>
      <c r="O99" s="305" t="str">
        <f>IF(L99=$AA$3,$I99,$K99)</f>
        <v>NC</v>
      </c>
      <c r="P99" s="308">
        <v>3</v>
      </c>
      <c r="Q99" s="309" t="str">
        <f t="shared" si="20"/>
        <v>EB</v>
      </c>
      <c r="R99" s="306" t="str">
        <f t="shared" si="21"/>
        <v>NC</v>
      </c>
      <c r="S99" s="306"/>
      <c r="T99" s="307" t="str">
        <f>IF(S99=$AA$3,$I99,$J99)</f>
        <v>EB</v>
      </c>
      <c r="U99" s="308">
        <v>3</v>
      </c>
      <c r="V99" s="305" t="str">
        <f>IF(S99=$AA$3,$I99,$K99)</f>
        <v>NC</v>
      </c>
      <c r="W99" s="308">
        <v>3</v>
      </c>
      <c r="X99" s="309" t="str">
        <f t="shared" si="22"/>
        <v>EB</v>
      </c>
      <c r="Y99" s="306" t="str">
        <f t="shared" si="23"/>
        <v>NC</v>
      </c>
      <c r="Z99" s="212"/>
      <c r="AA99" s="272">
        <f>重み_前!M99</f>
        <v>0.58746736292428192</v>
      </c>
      <c r="AB99" s="272">
        <f>重み_後!N99</f>
        <v>0.59999999999999987</v>
      </c>
      <c r="AC99" s="242">
        <f>重み_前!D99</f>
        <v>0.6</v>
      </c>
      <c r="AD99" s="242"/>
      <c r="AE99" s="242">
        <f>重み_後!D99</f>
        <v>0.6</v>
      </c>
      <c r="AF99" s="242"/>
      <c r="AG99" s="242"/>
      <c r="AH99" s="243">
        <f>重み_前!N99</f>
        <v>1.2532637075718016E-2</v>
      </c>
      <c r="AI99" s="243">
        <f>重み_後!O99</f>
        <v>0.6</v>
      </c>
      <c r="AJ99" s="242">
        <f>重み_前!E99</f>
        <v>0.6</v>
      </c>
      <c r="AK99" s="242"/>
      <c r="AL99" s="242">
        <f>重み_後!E99</f>
        <v>0.6</v>
      </c>
    </row>
    <row r="100" spans="1:38" ht="13.5">
      <c r="B100" s="338"/>
      <c r="C100" s="337"/>
      <c r="D100" s="398">
        <v>2</v>
      </c>
      <c r="E100" s="297" t="s">
        <v>665</v>
      </c>
      <c r="F100" s="287" t="s">
        <v>664</v>
      </c>
      <c r="G100" s="287" t="s">
        <v>664</v>
      </c>
      <c r="H100" s="287" t="s">
        <v>544</v>
      </c>
      <c r="I100" s="287" t="s">
        <v>664</v>
      </c>
      <c r="J100" s="287" t="s">
        <v>664</v>
      </c>
      <c r="K100" s="305" t="s">
        <v>544</v>
      </c>
      <c r="L100" s="319"/>
      <c r="M100" s="307" t="str">
        <f>IF(L100=$AA$3,$I100,$J100)</f>
        <v>EB</v>
      </c>
      <c r="N100" s="320">
        <v>3</v>
      </c>
      <c r="O100" s="305" t="str">
        <f>IF(L100=$AA$3,$I100,$K100)</f>
        <v>NC</v>
      </c>
      <c r="P100" s="320">
        <v>3</v>
      </c>
      <c r="Q100" s="320" t="str">
        <f t="shared" si="20"/>
        <v>EB</v>
      </c>
      <c r="R100" s="320" t="str">
        <f t="shared" si="21"/>
        <v>NC</v>
      </c>
      <c r="S100" s="319"/>
      <c r="T100" s="307" t="str">
        <f>IF(S100=$AA$3,$I100,$J100)</f>
        <v>EB</v>
      </c>
      <c r="U100" s="320">
        <v>3</v>
      </c>
      <c r="V100" s="305" t="str">
        <f>IF(S100=$AA$3,$I100,$K100)</f>
        <v>NC</v>
      </c>
      <c r="W100" s="320">
        <v>3</v>
      </c>
      <c r="X100" s="320" t="str">
        <f t="shared" si="22"/>
        <v>EB</v>
      </c>
      <c r="Y100" s="320" t="str">
        <f t="shared" si="23"/>
        <v>NC</v>
      </c>
      <c r="Z100" s="212"/>
      <c r="AA100" s="272">
        <f>重み_前!M100</f>
        <v>0.39164490861618806</v>
      </c>
      <c r="AB100" s="272">
        <f>重み_後!N100</f>
        <v>0.4</v>
      </c>
      <c r="AC100" s="242">
        <f>重み_前!D100</f>
        <v>0.40000000000000008</v>
      </c>
      <c r="AD100" s="242"/>
      <c r="AE100" s="242">
        <f>重み_後!D100</f>
        <v>0.40000000000000008</v>
      </c>
      <c r="AF100" s="242"/>
      <c r="AG100" s="242"/>
      <c r="AH100" s="243">
        <f>重み_前!N100</f>
        <v>8.3550913838120102E-3</v>
      </c>
      <c r="AI100" s="243">
        <f>重み_後!O100</f>
        <v>0.39999999999999997</v>
      </c>
      <c r="AJ100" s="242">
        <f>重み_前!E100</f>
        <v>0.39999999999999997</v>
      </c>
      <c r="AK100" s="242"/>
      <c r="AL100" s="242">
        <f>重み_後!E100</f>
        <v>0.39999999999999997</v>
      </c>
    </row>
    <row r="101" spans="1:38" ht="14.25" thickBot="1">
      <c r="B101" s="338"/>
      <c r="C101" s="323">
        <v>3.2</v>
      </c>
      <c r="D101" s="399" t="s">
        <v>666</v>
      </c>
      <c r="E101" s="324"/>
      <c r="F101" s="287" t="s">
        <v>664</v>
      </c>
      <c r="G101" s="287" t="s">
        <v>664</v>
      </c>
      <c r="H101" s="287" t="s">
        <v>544</v>
      </c>
      <c r="I101" s="287" t="s">
        <v>664</v>
      </c>
      <c r="J101" s="287" t="s">
        <v>664</v>
      </c>
      <c r="K101" s="305" t="s">
        <v>544</v>
      </c>
      <c r="L101" s="312"/>
      <c r="M101" s="307" t="str">
        <f>IF(L101=$AA$3,$I101,$J101)</f>
        <v>EB</v>
      </c>
      <c r="N101" s="313">
        <v>3</v>
      </c>
      <c r="O101" s="305" t="str">
        <f>IF(L101=$AA$3,$I101,$K101)</f>
        <v>NC</v>
      </c>
      <c r="P101" s="313">
        <v>3</v>
      </c>
      <c r="Q101" s="313" t="str">
        <f t="shared" si="20"/>
        <v>EB</v>
      </c>
      <c r="R101" s="313" t="str">
        <f t="shared" si="21"/>
        <v>NC</v>
      </c>
      <c r="S101" s="312"/>
      <c r="T101" s="307" t="str">
        <f>IF(S101=$AA$3,$I101,$J101)</f>
        <v>EB</v>
      </c>
      <c r="U101" s="313">
        <v>3</v>
      </c>
      <c r="V101" s="305" t="str">
        <f>IF(S101=$AA$3,$I101,$K101)</f>
        <v>NC</v>
      </c>
      <c r="W101" s="313">
        <v>3</v>
      </c>
      <c r="X101" s="313" t="str">
        <f t="shared" si="22"/>
        <v>EB</v>
      </c>
      <c r="Y101" s="313" t="str">
        <f t="shared" si="23"/>
        <v>NC</v>
      </c>
      <c r="Z101" s="212"/>
      <c r="AA101" s="272">
        <f>重み_前!M101</f>
        <v>0.29373368146214096</v>
      </c>
      <c r="AB101" s="272">
        <f>重み_後!N101</f>
        <v>0.29554698914184191</v>
      </c>
      <c r="AC101" s="242">
        <f>重み_前!D101</f>
        <v>0.29373368146214096</v>
      </c>
      <c r="AD101" s="242"/>
      <c r="AE101" s="242">
        <f>重み_後!D101</f>
        <v>0.29554698914184191</v>
      </c>
      <c r="AF101" s="242"/>
      <c r="AG101" s="242"/>
      <c r="AH101" s="243">
        <f>重み_前!N101</f>
        <v>1.0443864229765013E-2</v>
      </c>
      <c r="AI101" s="243">
        <f>重み_後!O101</f>
        <v>0.979539641943734</v>
      </c>
      <c r="AJ101" s="242">
        <f>重み_前!E101</f>
        <v>0.5</v>
      </c>
      <c r="AK101" s="242"/>
      <c r="AL101" s="242">
        <f>重み_後!E101</f>
        <v>0.979539641943734</v>
      </c>
    </row>
    <row r="102" spans="1:38" ht="14.25" thickBot="1">
      <c r="B102" s="338"/>
      <c r="C102" s="315">
        <v>3.3</v>
      </c>
      <c r="D102" s="333" t="s">
        <v>667</v>
      </c>
      <c r="E102" s="297"/>
      <c r="F102" s="287" t="s">
        <v>668</v>
      </c>
      <c r="G102" s="287" t="s">
        <v>668</v>
      </c>
      <c r="H102" s="287" t="s">
        <v>669</v>
      </c>
      <c r="I102" s="334"/>
      <c r="J102" s="334"/>
      <c r="K102" s="335"/>
      <c r="L102" s="299" t="str">
        <f>IF(COUNTIF(L103:L108,$AA$3)&gt;=ROWS(L103:L108),$AA$3,"")</f>
        <v/>
      </c>
      <c r="M102" s="336"/>
      <c r="N102" s="316"/>
      <c r="O102" s="335"/>
      <c r="P102" s="316"/>
      <c r="Q102" s="317" t="str">
        <f t="shared" si="20"/>
        <v>EB</v>
      </c>
      <c r="R102" s="318" t="str">
        <f t="shared" si="21"/>
        <v>NC</v>
      </c>
      <c r="S102" s="299" t="str">
        <f>IF(COUNTIF(S103:S108,$AA$3)&gt;=ROWS(S103:S108),$AA$3,"")</f>
        <v/>
      </c>
      <c r="T102" s="336"/>
      <c r="U102" s="316"/>
      <c r="V102" s="335"/>
      <c r="W102" s="316"/>
      <c r="X102" s="317" t="str">
        <f t="shared" si="22"/>
        <v>EB</v>
      </c>
      <c r="Y102" s="318" t="str">
        <f t="shared" si="23"/>
        <v>NC</v>
      </c>
      <c r="Z102" s="212"/>
      <c r="AA102" s="272">
        <f>重み_前!M102</f>
        <v>0.41253263707571808</v>
      </c>
      <c r="AB102" s="272">
        <f>重み_後!N102</f>
        <v>0.41507932697254263</v>
      </c>
      <c r="AC102" s="242">
        <f>重み_前!D102</f>
        <v>0.41253263707571808</v>
      </c>
      <c r="AD102" s="242"/>
      <c r="AE102" s="242">
        <f>重み_後!D102</f>
        <v>0.41507932697254263</v>
      </c>
      <c r="AF102" s="242"/>
      <c r="AG102" s="242"/>
      <c r="AH102" s="243">
        <f>重み_前!N102</f>
        <v>0</v>
      </c>
      <c r="AI102" s="243">
        <f>重み_後!O102</f>
        <v>0</v>
      </c>
      <c r="AJ102" s="242">
        <f>重み_前!E102</f>
        <v>0</v>
      </c>
      <c r="AK102" s="242"/>
      <c r="AL102" s="242">
        <f>重み_後!E102</f>
        <v>0</v>
      </c>
    </row>
    <row r="103" spans="1:38" ht="13.5">
      <c r="B103" s="338"/>
      <c r="C103" s="337"/>
      <c r="D103" s="304">
        <v>1</v>
      </c>
      <c r="E103" s="324" t="s">
        <v>670</v>
      </c>
      <c r="F103" s="287" t="s">
        <v>664</v>
      </c>
      <c r="G103" s="287" t="s">
        <v>664</v>
      </c>
      <c r="H103" s="287" t="s">
        <v>544</v>
      </c>
      <c r="I103" s="287" t="s">
        <v>664</v>
      </c>
      <c r="J103" s="287" t="s">
        <v>664</v>
      </c>
      <c r="K103" s="305" t="s">
        <v>544</v>
      </c>
      <c r="L103" s="306"/>
      <c r="M103" s="307" t="str">
        <f t="shared" ref="M103:M108" si="32">IF(L103=$AA$3,$I103,$J103)</f>
        <v>EB</v>
      </c>
      <c r="N103" s="308">
        <v>3</v>
      </c>
      <c r="O103" s="305" t="str">
        <f t="shared" ref="O103:O108" si="33">IF(L103=$AA$3,$I103,$K103)</f>
        <v>NC</v>
      </c>
      <c r="P103" s="308">
        <v>3</v>
      </c>
      <c r="Q103" s="309" t="str">
        <f t="shared" si="20"/>
        <v>EB</v>
      </c>
      <c r="R103" s="306" t="str">
        <f t="shared" si="21"/>
        <v>NC</v>
      </c>
      <c r="S103" s="400"/>
      <c r="T103" s="307" t="str">
        <f t="shared" ref="T103:T108" si="34">IF(S103=$AA$3,$I103,$J103)</f>
        <v>EB</v>
      </c>
      <c r="U103" s="308">
        <v>0</v>
      </c>
      <c r="V103" s="305" t="str">
        <f t="shared" ref="V103:V108" si="35">IF(S103=$AA$3,$I103,$K103)</f>
        <v>NC</v>
      </c>
      <c r="W103" s="308">
        <v>0</v>
      </c>
      <c r="X103" s="309" t="str">
        <f t="shared" si="22"/>
        <v>EB</v>
      </c>
      <c r="Y103" s="306" t="str">
        <f t="shared" si="23"/>
        <v>NC</v>
      </c>
      <c r="Z103" s="212"/>
      <c r="AA103" s="272">
        <f>重み_前!M103</f>
        <v>0.20000000000000004</v>
      </c>
      <c r="AB103" s="272">
        <f>重み_後!N103</f>
        <v>0.2</v>
      </c>
      <c r="AC103" s="242">
        <f>重み_前!D103</f>
        <v>0.19999999999999998</v>
      </c>
      <c r="AD103" s="242"/>
      <c r="AE103" s="242">
        <f>重み_後!D103</f>
        <v>0.2</v>
      </c>
      <c r="AF103" s="242"/>
      <c r="AG103" s="242"/>
      <c r="AH103" s="243">
        <f>重み_前!N103</f>
        <v>0</v>
      </c>
      <c r="AI103" s="243">
        <f>重み_後!O103</f>
        <v>0</v>
      </c>
      <c r="AJ103" s="242">
        <f>重み_前!E103</f>
        <v>0</v>
      </c>
      <c r="AK103" s="242"/>
      <c r="AL103" s="242">
        <f>重み_後!E103</f>
        <v>0</v>
      </c>
    </row>
    <row r="104" spans="1:38" ht="13.5">
      <c r="B104" s="338"/>
      <c r="C104" s="337"/>
      <c r="D104" s="398">
        <v>2</v>
      </c>
      <c r="E104" s="297" t="s">
        <v>671</v>
      </c>
      <c r="F104" s="287" t="s">
        <v>664</v>
      </c>
      <c r="G104" s="287" t="s">
        <v>664</v>
      </c>
      <c r="H104" s="287" t="s">
        <v>544</v>
      </c>
      <c r="I104" s="287" t="s">
        <v>664</v>
      </c>
      <c r="J104" s="287" t="s">
        <v>664</v>
      </c>
      <c r="K104" s="305" t="s">
        <v>544</v>
      </c>
      <c r="L104" s="319"/>
      <c r="M104" s="307" t="str">
        <f t="shared" si="32"/>
        <v>EB</v>
      </c>
      <c r="N104" s="320">
        <v>3</v>
      </c>
      <c r="O104" s="305" t="str">
        <f t="shared" si="33"/>
        <v>NC</v>
      </c>
      <c r="P104" s="320">
        <v>3</v>
      </c>
      <c r="Q104" s="321" t="str">
        <f t="shared" si="20"/>
        <v>EB</v>
      </c>
      <c r="R104" s="319" t="str">
        <f t="shared" si="21"/>
        <v>NC</v>
      </c>
      <c r="S104" s="401"/>
      <c r="T104" s="307" t="str">
        <f t="shared" si="34"/>
        <v>EB</v>
      </c>
      <c r="U104" s="320">
        <v>0</v>
      </c>
      <c r="V104" s="305" t="str">
        <f t="shared" si="35"/>
        <v>NC</v>
      </c>
      <c r="W104" s="320">
        <v>0</v>
      </c>
      <c r="X104" s="321" t="str">
        <f t="shared" si="22"/>
        <v>EB</v>
      </c>
      <c r="Y104" s="319" t="str">
        <f t="shared" si="23"/>
        <v>NC</v>
      </c>
      <c r="Z104" s="212"/>
      <c r="AA104" s="272">
        <f>重み_前!M104</f>
        <v>0.20000000000000004</v>
      </c>
      <c r="AB104" s="272">
        <f>重み_後!N104</f>
        <v>0.2</v>
      </c>
      <c r="AC104" s="242">
        <f>重み_前!D104</f>
        <v>0.19999999999999998</v>
      </c>
      <c r="AD104" s="242"/>
      <c r="AE104" s="242">
        <f>重み_後!D104</f>
        <v>0.2</v>
      </c>
      <c r="AF104" s="242"/>
      <c r="AG104" s="242"/>
      <c r="AH104" s="243">
        <f>重み_前!N104</f>
        <v>0</v>
      </c>
      <c r="AI104" s="243">
        <f>重み_後!O104</f>
        <v>0</v>
      </c>
      <c r="AJ104" s="242">
        <f>重み_前!E104</f>
        <v>0</v>
      </c>
      <c r="AK104" s="242"/>
      <c r="AL104" s="242">
        <f>重み_後!E104</f>
        <v>0</v>
      </c>
    </row>
    <row r="105" spans="1:38" ht="13.5">
      <c r="B105" s="338"/>
      <c r="C105" s="337"/>
      <c r="D105" s="304">
        <v>3</v>
      </c>
      <c r="E105" s="324" t="s">
        <v>672</v>
      </c>
      <c r="F105" s="287" t="s">
        <v>664</v>
      </c>
      <c r="G105" s="287" t="s">
        <v>664</v>
      </c>
      <c r="H105" s="287" t="s">
        <v>544</v>
      </c>
      <c r="I105" s="287" t="s">
        <v>664</v>
      </c>
      <c r="J105" s="287" t="s">
        <v>664</v>
      </c>
      <c r="K105" s="305" t="s">
        <v>544</v>
      </c>
      <c r="L105" s="319"/>
      <c r="M105" s="307" t="str">
        <f t="shared" si="32"/>
        <v>EB</v>
      </c>
      <c r="N105" s="320">
        <v>3</v>
      </c>
      <c r="O105" s="305" t="str">
        <f t="shared" si="33"/>
        <v>NC</v>
      </c>
      <c r="P105" s="320">
        <v>3</v>
      </c>
      <c r="Q105" s="321" t="str">
        <f t="shared" si="20"/>
        <v>EB</v>
      </c>
      <c r="R105" s="319" t="str">
        <f t="shared" si="21"/>
        <v>NC</v>
      </c>
      <c r="S105" s="401"/>
      <c r="T105" s="307" t="str">
        <f t="shared" si="34"/>
        <v>EB</v>
      </c>
      <c r="U105" s="320">
        <v>0</v>
      </c>
      <c r="V105" s="305" t="str">
        <f t="shared" si="35"/>
        <v>NC</v>
      </c>
      <c r="W105" s="320">
        <v>0</v>
      </c>
      <c r="X105" s="321" t="str">
        <f t="shared" si="22"/>
        <v>EB</v>
      </c>
      <c r="Y105" s="319" t="str">
        <f t="shared" si="23"/>
        <v>NC</v>
      </c>
      <c r="Z105" s="212"/>
      <c r="AA105" s="272">
        <f>重み_前!M105</f>
        <v>0.10000000000000002</v>
      </c>
      <c r="AB105" s="272">
        <f>重み_後!N105</f>
        <v>0.1</v>
      </c>
      <c r="AC105" s="242">
        <f>重み_前!D105</f>
        <v>9.9999999999999992E-2</v>
      </c>
      <c r="AD105" s="242"/>
      <c r="AE105" s="242">
        <f>重み_後!D105</f>
        <v>0.1</v>
      </c>
      <c r="AF105" s="242"/>
      <c r="AG105" s="242"/>
      <c r="AH105" s="243">
        <f>重み_前!N105</f>
        <v>0</v>
      </c>
      <c r="AI105" s="243">
        <f>重み_後!O105</f>
        <v>0</v>
      </c>
      <c r="AJ105" s="242">
        <f>重み_前!E105</f>
        <v>0</v>
      </c>
      <c r="AK105" s="242"/>
      <c r="AL105" s="242">
        <f>重み_後!E105</f>
        <v>0</v>
      </c>
    </row>
    <row r="106" spans="1:38" ht="13.5">
      <c r="B106" s="338"/>
      <c r="C106" s="337"/>
      <c r="D106" s="398">
        <v>4</v>
      </c>
      <c r="E106" s="297" t="s">
        <v>673</v>
      </c>
      <c r="F106" s="287" t="s">
        <v>664</v>
      </c>
      <c r="G106" s="287" t="s">
        <v>664</v>
      </c>
      <c r="H106" s="287" t="s">
        <v>544</v>
      </c>
      <c r="I106" s="287" t="s">
        <v>664</v>
      </c>
      <c r="J106" s="287" t="s">
        <v>664</v>
      </c>
      <c r="K106" s="305" t="s">
        <v>544</v>
      </c>
      <c r="L106" s="319"/>
      <c r="M106" s="307" t="str">
        <f t="shared" si="32"/>
        <v>EB</v>
      </c>
      <c r="N106" s="320">
        <v>3</v>
      </c>
      <c r="O106" s="305" t="str">
        <f t="shared" si="33"/>
        <v>NC</v>
      </c>
      <c r="P106" s="320">
        <v>3</v>
      </c>
      <c r="Q106" s="321" t="str">
        <f t="shared" si="20"/>
        <v>EB</v>
      </c>
      <c r="R106" s="319" t="str">
        <f t="shared" si="21"/>
        <v>NC</v>
      </c>
      <c r="S106" s="401"/>
      <c r="T106" s="307" t="str">
        <f t="shared" si="34"/>
        <v>EB</v>
      </c>
      <c r="U106" s="320">
        <v>0</v>
      </c>
      <c r="V106" s="305" t="str">
        <f t="shared" si="35"/>
        <v>NC</v>
      </c>
      <c r="W106" s="320">
        <v>0</v>
      </c>
      <c r="X106" s="321" t="str">
        <f t="shared" si="22"/>
        <v>EB</v>
      </c>
      <c r="Y106" s="319" t="str">
        <f t="shared" si="23"/>
        <v>NC</v>
      </c>
      <c r="Z106" s="212"/>
      <c r="AA106" s="272">
        <f>重み_前!M106</f>
        <v>0.10000000000000002</v>
      </c>
      <c r="AB106" s="272">
        <f>重み_後!N106</f>
        <v>0.1</v>
      </c>
      <c r="AC106" s="242">
        <f>重み_前!D106</f>
        <v>9.9999999999999992E-2</v>
      </c>
      <c r="AD106" s="242"/>
      <c r="AE106" s="242">
        <f>重み_後!D106</f>
        <v>0.1</v>
      </c>
      <c r="AF106" s="242"/>
      <c r="AG106" s="242"/>
      <c r="AH106" s="243">
        <f>重み_前!N106</f>
        <v>0</v>
      </c>
      <c r="AI106" s="243">
        <f>重み_後!O106</f>
        <v>0</v>
      </c>
      <c r="AJ106" s="242">
        <f>重み_前!E106</f>
        <v>0</v>
      </c>
      <c r="AK106" s="242"/>
      <c r="AL106" s="242">
        <f>重み_後!E106</f>
        <v>0</v>
      </c>
    </row>
    <row r="107" spans="1:38" ht="13.5">
      <c r="B107" s="338"/>
      <c r="C107" s="337"/>
      <c r="D107" s="304">
        <v>5</v>
      </c>
      <c r="E107" s="324" t="s">
        <v>674</v>
      </c>
      <c r="F107" s="287" t="s">
        <v>664</v>
      </c>
      <c r="G107" s="287" t="s">
        <v>664</v>
      </c>
      <c r="H107" s="287" t="s">
        <v>544</v>
      </c>
      <c r="I107" s="287" t="s">
        <v>664</v>
      </c>
      <c r="J107" s="287" t="s">
        <v>664</v>
      </c>
      <c r="K107" s="305" t="s">
        <v>544</v>
      </c>
      <c r="L107" s="319"/>
      <c r="M107" s="307" t="str">
        <f t="shared" si="32"/>
        <v>EB</v>
      </c>
      <c r="N107" s="320">
        <v>3</v>
      </c>
      <c r="O107" s="305" t="str">
        <f t="shared" si="33"/>
        <v>NC</v>
      </c>
      <c r="P107" s="320">
        <v>3</v>
      </c>
      <c r="Q107" s="321" t="str">
        <f t="shared" si="20"/>
        <v>EB</v>
      </c>
      <c r="R107" s="319" t="str">
        <f t="shared" si="21"/>
        <v>NC</v>
      </c>
      <c r="S107" s="401"/>
      <c r="T107" s="307" t="str">
        <f t="shared" si="34"/>
        <v>EB</v>
      </c>
      <c r="U107" s="320">
        <v>0</v>
      </c>
      <c r="V107" s="305" t="str">
        <f t="shared" si="35"/>
        <v>NC</v>
      </c>
      <c r="W107" s="320">
        <v>0</v>
      </c>
      <c r="X107" s="321" t="str">
        <f t="shared" si="22"/>
        <v>EB</v>
      </c>
      <c r="Y107" s="319" t="str">
        <f t="shared" si="23"/>
        <v>NC</v>
      </c>
      <c r="Z107" s="212"/>
      <c r="AA107" s="272">
        <f>重み_前!M107</f>
        <v>0.20000000000000004</v>
      </c>
      <c r="AB107" s="272">
        <f>重み_後!N107</f>
        <v>0.2</v>
      </c>
      <c r="AC107" s="242">
        <f>重み_前!D107</f>
        <v>0.19999999999999998</v>
      </c>
      <c r="AD107" s="242"/>
      <c r="AE107" s="242">
        <f>重み_後!D107</f>
        <v>0.2</v>
      </c>
      <c r="AF107" s="242"/>
      <c r="AG107" s="242"/>
      <c r="AH107" s="243">
        <f>重み_前!N107</f>
        <v>0</v>
      </c>
      <c r="AI107" s="243">
        <f>重み_後!O107</f>
        <v>0</v>
      </c>
      <c r="AJ107" s="242">
        <f>重み_前!E107</f>
        <v>0</v>
      </c>
      <c r="AK107" s="242"/>
      <c r="AL107" s="242">
        <f>重み_後!E107</f>
        <v>0</v>
      </c>
    </row>
    <row r="108" spans="1:38" ht="14.25" thickBot="1">
      <c r="B108" s="354"/>
      <c r="C108" s="402"/>
      <c r="D108" s="356">
        <v>6</v>
      </c>
      <c r="E108" s="357" t="s">
        <v>675</v>
      </c>
      <c r="F108" s="287" t="s">
        <v>664</v>
      </c>
      <c r="G108" s="287" t="s">
        <v>664</v>
      </c>
      <c r="H108" s="287" t="s">
        <v>544</v>
      </c>
      <c r="I108" s="287" t="s">
        <v>664</v>
      </c>
      <c r="J108" s="287" t="s">
        <v>664</v>
      </c>
      <c r="K108" s="305" t="s">
        <v>544</v>
      </c>
      <c r="L108" s="312"/>
      <c r="M108" s="403" t="str">
        <f t="shared" si="32"/>
        <v>EB</v>
      </c>
      <c r="N108" s="320">
        <v>3</v>
      </c>
      <c r="O108" s="404" t="str">
        <f t="shared" si="33"/>
        <v>NC</v>
      </c>
      <c r="P108" s="320">
        <v>3</v>
      </c>
      <c r="Q108" s="314" t="str">
        <f t="shared" si="20"/>
        <v>EB</v>
      </c>
      <c r="R108" s="312" t="str">
        <f t="shared" si="21"/>
        <v>NC</v>
      </c>
      <c r="S108" s="405"/>
      <c r="T108" s="358" t="str">
        <f t="shared" si="34"/>
        <v>EB</v>
      </c>
      <c r="U108" s="313">
        <v>0</v>
      </c>
      <c r="V108" s="359" t="str">
        <f t="shared" si="35"/>
        <v>NC</v>
      </c>
      <c r="W108" s="313">
        <v>0</v>
      </c>
      <c r="X108" s="314" t="str">
        <f t="shared" si="22"/>
        <v>EB</v>
      </c>
      <c r="Y108" s="312" t="str">
        <f t="shared" si="23"/>
        <v>NC</v>
      </c>
      <c r="Z108" s="212"/>
      <c r="AA108" s="272">
        <f>重み_前!M108</f>
        <v>0.20000000000000004</v>
      </c>
      <c r="AB108" s="272">
        <f>重み_後!N108</f>
        <v>0.2</v>
      </c>
      <c r="AC108" s="242">
        <f>重み_前!D108</f>
        <v>0.19999999999999998</v>
      </c>
      <c r="AD108" s="242"/>
      <c r="AE108" s="242">
        <f>重み_後!D108</f>
        <v>0.2</v>
      </c>
      <c r="AF108" s="242"/>
      <c r="AG108" s="242"/>
      <c r="AH108" s="243">
        <f>重み_前!N108</f>
        <v>0</v>
      </c>
      <c r="AI108" s="243">
        <f>重み_後!O108</f>
        <v>0</v>
      </c>
      <c r="AJ108" s="242">
        <f>重み_前!E108</f>
        <v>0</v>
      </c>
      <c r="AK108" s="242"/>
      <c r="AL108" s="242">
        <f>重み_後!E108</f>
        <v>0</v>
      </c>
    </row>
    <row r="109" spans="1:38" ht="14.25" thickBot="1">
      <c r="A109" s="406"/>
      <c r="B109" s="360" t="s">
        <v>676</v>
      </c>
      <c r="C109" s="407" t="s">
        <v>677</v>
      </c>
      <c r="D109" s="407"/>
      <c r="E109" s="407"/>
      <c r="F109" s="362"/>
      <c r="G109" s="362"/>
      <c r="H109" s="362"/>
      <c r="I109" s="362"/>
      <c r="J109" s="362"/>
      <c r="K109" s="363"/>
      <c r="L109" s="364"/>
      <c r="M109" s="364"/>
      <c r="N109" s="408"/>
      <c r="O109" s="363"/>
      <c r="P109" s="408"/>
      <c r="Q109" s="368"/>
      <c r="R109" s="364"/>
      <c r="S109" s="442"/>
      <c r="T109" s="281"/>
      <c r="U109" s="366"/>
      <c r="V109" s="2357"/>
      <c r="W109" s="366"/>
      <c r="X109" s="368"/>
      <c r="Y109" s="364"/>
      <c r="Z109" s="212"/>
      <c r="AA109" s="272">
        <f>重み_前!M109</f>
        <v>0.3</v>
      </c>
      <c r="AB109" s="272">
        <f>重み_後!N109</f>
        <v>0.32610966057441254</v>
      </c>
      <c r="AC109" s="242">
        <f>重み_前!D109</f>
        <v>0.3</v>
      </c>
      <c r="AD109" s="242"/>
      <c r="AE109" s="242">
        <f>重み_後!D109</f>
        <v>0.32610966057441254</v>
      </c>
      <c r="AF109" s="242"/>
      <c r="AG109" s="242"/>
      <c r="AH109" s="243">
        <f>重み_前!N109</f>
        <v>0</v>
      </c>
      <c r="AI109" s="243">
        <f>重み_後!O109</f>
        <v>0</v>
      </c>
      <c r="AJ109" s="242">
        <f>重み_前!E109</f>
        <v>0</v>
      </c>
      <c r="AK109" s="242"/>
      <c r="AL109" s="242">
        <f>重み_後!E109</f>
        <v>0</v>
      </c>
    </row>
    <row r="110" spans="1:38" ht="13.5">
      <c r="A110" s="406"/>
      <c r="B110" s="283">
        <v>1</v>
      </c>
      <c r="C110" s="370" t="s">
        <v>678</v>
      </c>
      <c r="D110" s="81"/>
      <c r="E110" s="410"/>
      <c r="F110" s="287" t="s">
        <v>664</v>
      </c>
      <c r="G110" s="287" t="s">
        <v>664</v>
      </c>
      <c r="H110" s="287" t="s">
        <v>542</v>
      </c>
      <c r="I110" s="287" t="s">
        <v>664</v>
      </c>
      <c r="J110" s="287" t="s">
        <v>664</v>
      </c>
      <c r="K110" s="305" t="s">
        <v>544</v>
      </c>
      <c r="L110" s="308"/>
      <c r="M110" s="307" t="str">
        <f>IF(L110=$AA$3,$I110,$J110)</f>
        <v>EB</v>
      </c>
      <c r="N110" s="411">
        <v>3</v>
      </c>
      <c r="O110" s="305" t="str">
        <f>IF(L110=$AA$3,$I110,$K110)</f>
        <v>NC</v>
      </c>
      <c r="P110" s="411">
        <v>3</v>
      </c>
      <c r="Q110" s="308" t="str">
        <f t="shared" ref="Q110:Q115" si="36">IF(L110=$AA$3,$F110,$G110)</f>
        <v>EB</v>
      </c>
      <c r="R110" s="308" t="str">
        <f t="shared" ref="R110:R115" si="37">IF(L110=$AA$3,$F110,$H110)</f>
        <v>NC</v>
      </c>
      <c r="S110" s="457"/>
      <c r="T110" s="307" t="str">
        <f>IF(S110=$AA$3,$I110,$J110)</f>
        <v>EB</v>
      </c>
      <c r="U110" s="2014">
        <v>0</v>
      </c>
      <c r="V110" s="305" t="str">
        <f>IF(S110=$AA$3,$I110,$K110)</f>
        <v>NC</v>
      </c>
      <c r="W110" s="2014">
        <v>0</v>
      </c>
      <c r="X110" s="308" t="str">
        <f t="shared" ref="X110:X115" si="38">IF(S110=$AA$3,$F110,$G110)</f>
        <v>EB</v>
      </c>
      <c r="Y110" s="308" t="str">
        <f t="shared" ref="Y110:Y115" si="39">IF(S110=$AA$3,$F110,$H110)</f>
        <v>NC</v>
      </c>
      <c r="Z110" s="212"/>
      <c r="AA110" s="272">
        <f>重み_前!M110</f>
        <v>0.3</v>
      </c>
      <c r="AB110" s="272">
        <f>重み_後!N110</f>
        <v>0.3</v>
      </c>
      <c r="AC110" s="242">
        <f>重み_前!D110</f>
        <v>0.3</v>
      </c>
      <c r="AD110" s="242"/>
      <c r="AE110" s="242">
        <f>重み_後!D110</f>
        <v>0.3</v>
      </c>
      <c r="AF110" s="242"/>
      <c r="AG110" s="242"/>
      <c r="AH110" s="243">
        <f>重み_前!N110</f>
        <v>0</v>
      </c>
      <c r="AI110" s="243">
        <f>重み_後!O110</f>
        <v>0</v>
      </c>
      <c r="AJ110" s="242">
        <f>重み_前!E110</f>
        <v>0</v>
      </c>
      <c r="AK110" s="242"/>
      <c r="AL110" s="242">
        <f>重み_後!E110</f>
        <v>0</v>
      </c>
    </row>
    <row r="111" spans="1:38" ht="14.25" thickBot="1">
      <c r="A111" s="406"/>
      <c r="B111" s="412">
        <v>2</v>
      </c>
      <c r="C111" s="413" t="s">
        <v>679</v>
      </c>
      <c r="D111" s="324"/>
      <c r="E111" s="324"/>
      <c r="F111" s="287" t="s">
        <v>664</v>
      </c>
      <c r="G111" s="287" t="s">
        <v>664</v>
      </c>
      <c r="H111" s="287" t="s">
        <v>544</v>
      </c>
      <c r="I111" s="287" t="s">
        <v>664</v>
      </c>
      <c r="J111" s="287" t="s">
        <v>664</v>
      </c>
      <c r="K111" s="305" t="s">
        <v>544</v>
      </c>
      <c r="L111" s="313"/>
      <c r="M111" s="307" t="str">
        <f>IF(L111=$AA$3,$I111,$J111)</f>
        <v>EB</v>
      </c>
      <c r="N111" s="325">
        <v>3</v>
      </c>
      <c r="O111" s="305" t="str">
        <f>IF(L111=$AA$3,$I111,$K111)</f>
        <v>NC</v>
      </c>
      <c r="P111" s="325">
        <v>3</v>
      </c>
      <c r="Q111" s="313" t="str">
        <f t="shared" si="36"/>
        <v>EB</v>
      </c>
      <c r="R111" s="313" t="str">
        <f t="shared" si="37"/>
        <v>NC</v>
      </c>
      <c r="S111" s="457"/>
      <c r="T111" s="307" t="str">
        <f>IF(S111=$AA$3,$I111,$J111)</f>
        <v>EB</v>
      </c>
      <c r="U111" s="2014">
        <v>0</v>
      </c>
      <c r="V111" s="305" t="str">
        <f>IF(S111=$AA$3,$I111,$K111)</f>
        <v>NC</v>
      </c>
      <c r="W111" s="2014">
        <v>0</v>
      </c>
      <c r="X111" s="313" t="str">
        <f t="shared" si="38"/>
        <v>EB</v>
      </c>
      <c r="Y111" s="313" t="str">
        <f t="shared" si="39"/>
        <v>NC</v>
      </c>
      <c r="Z111" s="212"/>
      <c r="AA111" s="272">
        <f>重み_前!M111</f>
        <v>0.40000000000000008</v>
      </c>
      <c r="AB111" s="272">
        <f>重み_後!N111</f>
        <v>0.40000000000000008</v>
      </c>
      <c r="AC111" s="242">
        <f>重み_前!D111</f>
        <v>0.40000000000000008</v>
      </c>
      <c r="AD111" s="242"/>
      <c r="AE111" s="242">
        <f>重み_後!D111</f>
        <v>0.40000000000000008</v>
      </c>
      <c r="AF111" s="242"/>
      <c r="AG111" s="242"/>
      <c r="AH111" s="243">
        <f>重み_前!N111</f>
        <v>0</v>
      </c>
      <c r="AI111" s="243">
        <f>重み_後!O111</f>
        <v>0</v>
      </c>
      <c r="AJ111" s="242">
        <f>重み_前!E111</f>
        <v>0</v>
      </c>
      <c r="AK111" s="242"/>
      <c r="AL111" s="242">
        <f>重み_後!E111</f>
        <v>0</v>
      </c>
    </row>
    <row r="112" spans="1:38" ht="14.25" thickBot="1">
      <c r="A112" s="406"/>
      <c r="B112" s="395">
        <v>3</v>
      </c>
      <c r="C112" s="414" t="s">
        <v>680</v>
      </c>
      <c r="D112" s="298"/>
      <c r="E112" s="298"/>
      <c r="F112" s="287" t="s">
        <v>681</v>
      </c>
      <c r="G112" s="287" t="s">
        <v>681</v>
      </c>
      <c r="H112" s="287" t="s">
        <v>682</v>
      </c>
      <c r="I112" s="334"/>
      <c r="J112" s="334"/>
      <c r="K112" s="335"/>
      <c r="L112" s="302" t="str">
        <f>IF(COUNTIF(L113:L114,$AA$3)&gt;=ROWS(L113:L114),$AA$3,"")</f>
        <v/>
      </c>
      <c r="M112" s="336"/>
      <c r="N112" s="316"/>
      <c r="O112" s="335"/>
      <c r="P112" s="316"/>
      <c r="Q112" s="317" t="str">
        <f t="shared" si="36"/>
        <v>EB</v>
      </c>
      <c r="R112" s="318" t="str">
        <f t="shared" si="37"/>
        <v>NC</v>
      </c>
      <c r="S112" s="457" t="str">
        <f>IF(COUNTIF(S113:S114,$AA$3)&gt;=ROWS(S113:S114),$AA$3,"")</f>
        <v/>
      </c>
      <c r="T112" s="307"/>
      <c r="U112" s="2014"/>
      <c r="V112" s="305"/>
      <c r="W112" s="2014"/>
      <c r="X112" s="317" t="str">
        <f t="shared" si="38"/>
        <v>EB</v>
      </c>
      <c r="Y112" s="318" t="str">
        <f t="shared" si="39"/>
        <v>NC</v>
      </c>
      <c r="Z112" s="212"/>
      <c r="AA112" s="272">
        <f>重み_前!M112</f>
        <v>0.3</v>
      </c>
      <c r="AB112" s="272">
        <f>重み_後!N112</f>
        <v>0.3</v>
      </c>
      <c r="AC112" s="242">
        <f>重み_前!D112</f>
        <v>0.3</v>
      </c>
      <c r="AD112" s="242"/>
      <c r="AE112" s="242">
        <f>重み_後!D112</f>
        <v>0.3</v>
      </c>
      <c r="AF112" s="242"/>
      <c r="AG112" s="242"/>
      <c r="AH112" s="243">
        <f>重み_前!N112</f>
        <v>0</v>
      </c>
      <c r="AI112" s="243">
        <f>重み_後!O112</f>
        <v>0</v>
      </c>
      <c r="AJ112" s="242">
        <f>重み_前!E112</f>
        <v>0</v>
      </c>
      <c r="AK112" s="242"/>
      <c r="AL112" s="242">
        <f>重み_後!E112</f>
        <v>0</v>
      </c>
    </row>
    <row r="113" spans="1:38" ht="13.5">
      <c r="A113" s="406"/>
      <c r="B113" s="283"/>
      <c r="C113" s="415">
        <v>3.1</v>
      </c>
      <c r="D113" s="416" t="s">
        <v>683</v>
      </c>
      <c r="E113" s="417"/>
      <c r="F113" s="287" t="s">
        <v>664</v>
      </c>
      <c r="G113" s="287" t="s">
        <v>664</v>
      </c>
      <c r="H113" s="287" t="s">
        <v>542</v>
      </c>
      <c r="I113" s="287" t="s">
        <v>664</v>
      </c>
      <c r="J113" s="287" t="s">
        <v>664</v>
      </c>
      <c r="K113" s="305" t="s">
        <v>544</v>
      </c>
      <c r="L113" s="306"/>
      <c r="M113" s="307" t="str">
        <f>IF(L113=$AA$3,$I113,$J113)</f>
        <v>EB</v>
      </c>
      <c r="N113" s="411">
        <v>3</v>
      </c>
      <c r="O113" s="305" t="str">
        <f>IF(L113=$AA$3,$I113,$K113)</f>
        <v>NC</v>
      </c>
      <c r="P113" s="411">
        <v>3</v>
      </c>
      <c r="Q113" s="309" t="str">
        <f t="shared" si="36"/>
        <v>EB</v>
      </c>
      <c r="R113" s="306" t="str">
        <f t="shared" si="37"/>
        <v>NC</v>
      </c>
      <c r="S113" s="457"/>
      <c r="T113" s="307" t="str">
        <f>IF(S113=$AA$3,$I113,$J113)</f>
        <v>EB</v>
      </c>
      <c r="U113" s="2014">
        <v>0</v>
      </c>
      <c r="V113" s="305" t="str">
        <f>IF(S113=$AA$3,$I113,$K113)</f>
        <v>NC</v>
      </c>
      <c r="W113" s="2014">
        <v>0</v>
      </c>
      <c r="X113" s="309" t="str">
        <f t="shared" si="38"/>
        <v>EB</v>
      </c>
      <c r="Y113" s="306" t="str">
        <f t="shared" si="39"/>
        <v>NC</v>
      </c>
      <c r="Z113" s="212"/>
      <c r="AA113" s="272">
        <f>重み_前!M113</f>
        <v>0.50000000000000011</v>
      </c>
      <c r="AB113" s="272">
        <f>重み_後!N113</f>
        <v>0.5</v>
      </c>
      <c r="AC113" s="242">
        <f>重み_前!D113</f>
        <v>0.5</v>
      </c>
      <c r="AD113" s="242"/>
      <c r="AE113" s="242">
        <f>重み_後!D113</f>
        <v>0.5</v>
      </c>
      <c r="AF113" s="242"/>
      <c r="AG113" s="242"/>
      <c r="AH113" s="243">
        <f>重み_前!N113</f>
        <v>0</v>
      </c>
      <c r="AI113" s="243">
        <f>重み_後!O113</f>
        <v>0</v>
      </c>
      <c r="AJ113" s="242">
        <f>重み_前!E113</f>
        <v>0</v>
      </c>
      <c r="AK113" s="242"/>
      <c r="AL113" s="242">
        <f>重み_後!E113</f>
        <v>0</v>
      </c>
    </row>
    <row r="114" spans="1:38" ht="14.25" thickBot="1">
      <c r="A114" s="406"/>
      <c r="B114" s="283"/>
      <c r="C114" s="418">
        <v>3.2</v>
      </c>
      <c r="D114" s="399" t="s">
        <v>684</v>
      </c>
      <c r="E114" s="419"/>
      <c r="F114" s="287" t="s">
        <v>664</v>
      </c>
      <c r="G114" s="287" t="s">
        <v>664</v>
      </c>
      <c r="H114" s="287" t="s">
        <v>544</v>
      </c>
      <c r="I114" s="287" t="s">
        <v>664</v>
      </c>
      <c r="J114" s="287" t="s">
        <v>664</v>
      </c>
      <c r="K114" s="305" t="s">
        <v>544</v>
      </c>
      <c r="L114" s="312"/>
      <c r="M114" s="358" t="str">
        <f>IF(L114=$AA$3,$I114,$J114)</f>
        <v>EB</v>
      </c>
      <c r="N114" s="325">
        <v>3</v>
      </c>
      <c r="O114" s="359" t="str">
        <f>IF(L114=$AA$3,$I114,$K114)</f>
        <v>NC</v>
      </c>
      <c r="P114" s="325">
        <v>3</v>
      </c>
      <c r="Q114" s="314" t="str">
        <f t="shared" si="36"/>
        <v>EB</v>
      </c>
      <c r="R114" s="312" t="str">
        <f t="shared" si="37"/>
        <v>NC</v>
      </c>
      <c r="S114" s="457"/>
      <c r="T114" s="358" t="str">
        <f>IF(S114=$AA$3,$I114,$J114)</f>
        <v>EB</v>
      </c>
      <c r="U114" s="300">
        <v>0</v>
      </c>
      <c r="V114" s="359" t="str">
        <f>IF(S114=$AA$3,$I114,$K114)</f>
        <v>NC</v>
      </c>
      <c r="W114" s="300">
        <v>0</v>
      </c>
      <c r="X114" s="314" t="str">
        <f t="shared" si="38"/>
        <v>EB</v>
      </c>
      <c r="Y114" s="312" t="str">
        <f t="shared" si="39"/>
        <v>NC</v>
      </c>
      <c r="Z114" s="212"/>
      <c r="AA114" s="272">
        <f>重み_前!M114</f>
        <v>0.50000000000000011</v>
      </c>
      <c r="AB114" s="272">
        <f>重み_後!N114</f>
        <v>0.5</v>
      </c>
      <c r="AC114" s="242">
        <f>重み_前!D114</f>
        <v>0.5</v>
      </c>
      <c r="AD114" s="242"/>
      <c r="AE114" s="242">
        <f>重み_後!D114</f>
        <v>0.5</v>
      </c>
      <c r="AF114" s="242"/>
      <c r="AG114" s="242"/>
      <c r="AH114" s="243">
        <f>重み_前!N114</f>
        <v>0</v>
      </c>
      <c r="AI114" s="243">
        <f>重み_後!O114</f>
        <v>0</v>
      </c>
      <c r="AJ114" s="242">
        <f>重み_前!E114</f>
        <v>0</v>
      </c>
      <c r="AK114" s="242"/>
      <c r="AL114" s="242">
        <f>重み_後!E114</f>
        <v>0</v>
      </c>
    </row>
    <row r="115" spans="1:38" ht="14.25" hidden="1" thickBot="1">
      <c r="A115" s="406"/>
      <c r="B115" s="1706"/>
      <c r="C115" s="1707"/>
      <c r="D115" s="1708"/>
      <c r="E115" s="1709"/>
      <c r="F115" s="1710"/>
      <c r="G115" s="1710"/>
      <c r="H115" s="1710"/>
      <c r="I115" s="1710"/>
      <c r="J115" s="1710"/>
      <c r="K115" s="1711"/>
      <c r="L115" s="421"/>
      <c r="M115" s="422">
        <f>IF(L115=$AA$3,$I115,$J115)</f>
        <v>0</v>
      </c>
      <c r="N115" s="423"/>
      <c r="O115" s="424">
        <f>IF(L115=$AA$3,$I115,$K115)</f>
        <v>0</v>
      </c>
      <c r="P115" s="423"/>
      <c r="Q115" s="425">
        <f t="shared" si="36"/>
        <v>0</v>
      </c>
      <c r="R115" s="421">
        <f t="shared" si="37"/>
        <v>0</v>
      </c>
      <c r="S115" s="426"/>
      <c r="T115" s="422">
        <f>IF(S115=$AA$3,$I115,$J115)</f>
        <v>0</v>
      </c>
      <c r="U115" s="427"/>
      <c r="V115" s="420">
        <f>IF(S115=$AA$3,$I115,$K115)</f>
        <v>0</v>
      </c>
      <c r="W115" s="427"/>
      <c r="X115" s="425">
        <f t="shared" si="38"/>
        <v>0</v>
      </c>
      <c r="Y115" s="421">
        <f t="shared" si="39"/>
        <v>0</v>
      </c>
      <c r="Z115" s="212"/>
      <c r="AA115" s="272">
        <f>重み_前!M115</f>
        <v>0</v>
      </c>
      <c r="AB115" s="272">
        <f>重み_後!N115</f>
        <v>0</v>
      </c>
      <c r="AC115" s="242">
        <f>重み_前!D115</f>
        <v>0</v>
      </c>
      <c r="AD115" s="242"/>
      <c r="AE115" s="242">
        <f>重み_後!D115</f>
        <v>0</v>
      </c>
      <c r="AF115" s="242"/>
      <c r="AG115" s="242"/>
      <c r="AH115" s="243">
        <f>重み_前!N115</f>
        <v>0</v>
      </c>
      <c r="AI115" s="243">
        <f>重み_後!O115</f>
        <v>0</v>
      </c>
      <c r="AJ115" s="242">
        <f>重み_前!E115</f>
        <v>0</v>
      </c>
      <c r="AK115" s="242"/>
      <c r="AL115" s="242">
        <f>重み_後!E115</f>
        <v>0</v>
      </c>
    </row>
    <row r="116" spans="1:38" ht="15" thickBot="1">
      <c r="A116" s="406"/>
      <c r="B116" s="428" t="s">
        <v>685</v>
      </c>
      <c r="C116" s="429"/>
      <c r="D116" s="429"/>
      <c r="E116" s="429"/>
      <c r="F116" s="431"/>
      <c r="G116" s="431"/>
      <c r="H116" s="431"/>
      <c r="I116" s="431"/>
      <c r="J116" s="431"/>
      <c r="K116" s="430"/>
      <c r="L116" s="432"/>
      <c r="M116" s="430"/>
      <c r="N116" s="433"/>
      <c r="O116" s="265"/>
      <c r="P116" s="433"/>
      <c r="Q116" s="434"/>
      <c r="R116" s="435"/>
      <c r="S116" s="436"/>
      <c r="T116" s="430"/>
      <c r="U116" s="269"/>
      <c r="V116" s="430"/>
      <c r="W116" s="269"/>
      <c r="X116" s="434"/>
      <c r="Y116" s="435"/>
      <c r="Z116" s="212"/>
      <c r="AA116" s="272">
        <f>重み_前!M116</f>
        <v>0</v>
      </c>
      <c r="AB116" s="272">
        <f>重み_後!N116</f>
        <v>0</v>
      </c>
      <c r="AC116" s="242">
        <f>重み_前!D116</f>
        <v>0</v>
      </c>
      <c r="AD116" s="242"/>
      <c r="AE116" s="242">
        <f>重み_後!D116</f>
        <v>0</v>
      </c>
      <c r="AF116" s="242"/>
      <c r="AG116" s="242"/>
      <c r="AH116" s="243">
        <f>重み_前!N116</f>
        <v>0</v>
      </c>
      <c r="AI116" s="243">
        <f>重み_後!O116</f>
        <v>0</v>
      </c>
      <c r="AJ116" s="242">
        <f>重み_前!E116</f>
        <v>0</v>
      </c>
      <c r="AK116" s="242"/>
      <c r="AL116" s="242">
        <f>重み_後!E116</f>
        <v>0</v>
      </c>
    </row>
    <row r="117" spans="1:38" ht="14.25" thickBot="1">
      <c r="A117" s="406"/>
      <c r="B117" s="437" t="s">
        <v>686</v>
      </c>
      <c r="C117" s="274" t="s">
        <v>687</v>
      </c>
      <c r="D117" s="274"/>
      <c r="E117" s="274"/>
      <c r="F117" s="278"/>
      <c r="G117" s="278"/>
      <c r="H117" s="278"/>
      <c r="I117" s="278"/>
      <c r="J117" s="278"/>
      <c r="K117" s="276"/>
      <c r="L117" s="438"/>
      <c r="M117" s="281"/>
      <c r="N117" s="280"/>
      <c r="O117" s="439"/>
      <c r="P117" s="280"/>
      <c r="Q117" s="440"/>
      <c r="R117" s="441"/>
      <c r="S117" s="442"/>
      <c r="T117" s="281"/>
      <c r="U117" s="280"/>
      <c r="V117" s="439"/>
      <c r="W117" s="280"/>
      <c r="X117" s="440"/>
      <c r="Y117" s="441"/>
      <c r="Z117" s="212"/>
      <c r="AA117" s="272">
        <f>重み_前!M117</f>
        <v>0.40000000000000008</v>
      </c>
      <c r="AB117" s="272">
        <f>重み_後!N117</f>
        <v>0.40000000000000008</v>
      </c>
      <c r="AC117" s="242" t="e">
        <f>重み_前!D117</f>
        <v>#VALUE!</v>
      </c>
      <c r="AD117" s="242"/>
      <c r="AE117" s="242" t="e">
        <f>重み_後!D117</f>
        <v>#VALUE!</v>
      </c>
      <c r="AF117" s="242"/>
      <c r="AG117" s="242"/>
      <c r="AH117" s="243">
        <f>重み_前!N117</f>
        <v>0</v>
      </c>
      <c r="AI117" s="243">
        <f>重み_後!O117</f>
        <v>0</v>
      </c>
      <c r="AJ117" s="242">
        <f>重み_前!E117</f>
        <v>0</v>
      </c>
      <c r="AK117" s="242"/>
      <c r="AL117" s="242">
        <f>重み_後!E117</f>
        <v>0</v>
      </c>
    </row>
    <row r="118" spans="1:38" ht="14.25" thickBot="1">
      <c r="A118" s="406"/>
      <c r="B118" s="283">
        <v>1</v>
      </c>
      <c r="C118" s="285" t="s">
        <v>1415</v>
      </c>
      <c r="D118" s="285"/>
      <c r="E118" s="285"/>
      <c r="F118" s="287" t="s">
        <v>664</v>
      </c>
      <c r="G118" s="287" t="s">
        <v>664</v>
      </c>
      <c r="H118" s="287" t="s">
        <v>544</v>
      </c>
      <c r="I118" s="287" t="s">
        <v>664</v>
      </c>
      <c r="J118" s="287" t="s">
        <v>664</v>
      </c>
      <c r="K118" s="305" t="s">
        <v>544</v>
      </c>
      <c r="L118" s="444"/>
      <c r="M118" s="305" t="str">
        <f t="shared" ref="M118:M123" si="40">IF(L118=$AA$3,$I118,$J118)</f>
        <v>EB</v>
      </c>
      <c r="N118" s="2014"/>
      <c r="O118" s="445" t="str">
        <f t="shared" ref="O118:O123" si="41">IF(L118=$AA$3,$I118,$K118)</f>
        <v>NC</v>
      </c>
      <c r="P118" s="2014"/>
      <c r="Q118" s="446" t="str">
        <f t="shared" ref="Q118:Q136" si="42">IF(L118=$AA$3,$F118,$G118)</f>
        <v>EB</v>
      </c>
      <c r="R118" s="447" t="str">
        <f t="shared" ref="R118:R136" si="43">IF(L118=$AA$3,$F118,$H118)</f>
        <v>NC</v>
      </c>
      <c r="S118" s="457"/>
      <c r="T118" s="307" t="str">
        <f t="shared" ref="T118:T139" si="44">IF(S118=$AA$3,$I118,$J118)</f>
        <v>EB</v>
      </c>
      <c r="U118" s="2014"/>
      <c r="V118" s="305" t="str">
        <f t="shared" ref="V118:V131" si="45">IF(S118=$AA$3,$I118,$K118)</f>
        <v>NC</v>
      </c>
      <c r="W118" s="2014"/>
      <c r="X118" s="446" t="str">
        <f t="shared" ref="X118:X136" si="46">IF(S118=$AA$3,$F118,$G118)</f>
        <v>EB</v>
      </c>
      <c r="Y118" s="447" t="str">
        <f t="shared" ref="Y118:Y136" si="47">IF(S118=$AA$3,$F118,$H118)</f>
        <v>NC</v>
      </c>
      <c r="Z118" s="212"/>
      <c r="AA118" s="272">
        <f>重み_前!M118</f>
        <v>0.20000000000000004</v>
      </c>
      <c r="AB118" s="272">
        <f>重み_後!N118</f>
        <v>0.14844127688888098</v>
      </c>
      <c r="AC118" s="242">
        <f>重み_前!D118</f>
        <v>0.19999999999999998</v>
      </c>
      <c r="AD118" s="242"/>
      <c r="AE118" s="242">
        <f>重み_後!D118</f>
        <v>0.14844127688888098</v>
      </c>
      <c r="AF118" s="242"/>
      <c r="AG118" s="242"/>
      <c r="AH118" s="243">
        <f>重み_前!N118</f>
        <v>0</v>
      </c>
      <c r="AI118" s="243">
        <f>重み_後!O118</f>
        <v>0</v>
      </c>
      <c r="AJ118" s="242">
        <f>重み_前!E118</f>
        <v>0</v>
      </c>
      <c r="AK118" s="242"/>
      <c r="AL118" s="242">
        <f>重み_後!E118</f>
        <v>0</v>
      </c>
    </row>
    <row r="119" spans="1:38" ht="14.25" thickBot="1">
      <c r="A119" s="406"/>
      <c r="B119" s="448">
        <v>2</v>
      </c>
      <c r="C119" s="326" t="s">
        <v>688</v>
      </c>
      <c r="D119" s="326"/>
      <c r="E119" s="326"/>
      <c r="F119" s="287" t="s">
        <v>664</v>
      </c>
      <c r="G119" s="287" t="s">
        <v>664</v>
      </c>
      <c r="H119" s="287" t="s">
        <v>544</v>
      </c>
      <c r="I119" s="287" t="s">
        <v>664</v>
      </c>
      <c r="J119" s="287" t="s">
        <v>664</v>
      </c>
      <c r="K119" s="305" t="s">
        <v>544</v>
      </c>
      <c r="L119" s="2346"/>
      <c r="M119" s="307" t="str">
        <f t="shared" si="40"/>
        <v>EB</v>
      </c>
      <c r="N119" s="2014"/>
      <c r="O119" s="305" t="str">
        <f t="shared" si="41"/>
        <v>NC</v>
      </c>
      <c r="P119" s="2014"/>
      <c r="Q119" s="453" t="str">
        <f t="shared" ref="Q119" si="48">IF(L119=$AA$3,$F119,$G119)</f>
        <v>EB</v>
      </c>
      <c r="R119" s="451" t="str">
        <f t="shared" ref="R119" si="49">IF(L119=$AA$3,$F119,$H119)</f>
        <v>NC</v>
      </c>
      <c r="S119" s="457"/>
      <c r="T119" s="307" t="str">
        <f t="shared" si="44"/>
        <v>EB</v>
      </c>
      <c r="U119" s="2014"/>
      <c r="V119" s="305" t="str">
        <f t="shared" si="45"/>
        <v>NC</v>
      </c>
      <c r="W119" s="2014"/>
      <c r="X119" s="453" t="str">
        <f t="shared" ref="X119" si="50">IF(S119=$AA$3,$F119,$G119)</f>
        <v>EB</v>
      </c>
      <c r="Y119" s="451" t="str">
        <f t="shared" ref="Y119" si="51">IF(S119=$AA$3,$F119,$H119)</f>
        <v>NC</v>
      </c>
      <c r="Z119" s="212"/>
      <c r="AA119" s="272">
        <f>重み_前!M119</f>
        <v>0.10000000000000002</v>
      </c>
      <c r="AB119" s="272">
        <f>重み_後!N119</f>
        <v>0.10700360595523577</v>
      </c>
      <c r="AC119" s="242">
        <f>重み_前!D119</f>
        <v>9.9999999999999992E-2</v>
      </c>
      <c r="AD119" s="242"/>
      <c r="AE119" s="242">
        <f>重み_後!D119</f>
        <v>0.10700360595523577</v>
      </c>
      <c r="AF119" s="242"/>
      <c r="AG119" s="242"/>
      <c r="AH119" s="243">
        <f>重み_前!N119</f>
        <v>0</v>
      </c>
      <c r="AI119" s="243">
        <f>重み_後!O119</f>
        <v>0</v>
      </c>
      <c r="AJ119" s="242">
        <f>重み_前!E119</f>
        <v>0</v>
      </c>
      <c r="AK119" s="242"/>
      <c r="AL119" s="242">
        <f>重み_後!E119</f>
        <v>0</v>
      </c>
    </row>
    <row r="120" spans="1:38" ht="14.25" thickBot="1">
      <c r="A120" s="406"/>
      <c r="B120" s="450"/>
      <c r="C120" s="2334" t="s">
        <v>1706</v>
      </c>
      <c r="D120" s="399" t="s">
        <v>1713</v>
      </c>
      <c r="E120" s="326"/>
      <c r="F120" s="287" t="s">
        <v>664</v>
      </c>
      <c r="G120" s="287" t="s">
        <v>664</v>
      </c>
      <c r="H120" s="287" t="s">
        <v>544</v>
      </c>
      <c r="I120" s="287" t="s">
        <v>664</v>
      </c>
      <c r="J120" s="287" t="s">
        <v>664</v>
      </c>
      <c r="K120" s="305" t="s">
        <v>544</v>
      </c>
      <c r="L120" s="2345" t="str">
        <f>IF(L119="","",L119)</f>
        <v/>
      </c>
      <c r="M120" s="307" t="str">
        <f t="shared" si="40"/>
        <v>EB</v>
      </c>
      <c r="N120" s="452">
        <v>3</v>
      </c>
      <c r="O120" s="305" t="str">
        <f t="shared" si="41"/>
        <v>NC</v>
      </c>
      <c r="P120" s="452">
        <v>3</v>
      </c>
      <c r="Q120" s="453" t="str">
        <f t="shared" si="42"/>
        <v>EB</v>
      </c>
      <c r="R120" s="451" t="str">
        <f t="shared" si="43"/>
        <v>NC</v>
      </c>
      <c r="S120" s="457"/>
      <c r="T120" s="307" t="str">
        <f t="shared" si="44"/>
        <v>EB</v>
      </c>
      <c r="U120" s="2014"/>
      <c r="V120" s="305" t="str">
        <f t="shared" si="45"/>
        <v>NC</v>
      </c>
      <c r="W120" s="2014"/>
      <c r="X120" s="453" t="str">
        <f t="shared" si="46"/>
        <v>EB</v>
      </c>
      <c r="Y120" s="451" t="str">
        <f t="shared" si="47"/>
        <v>NC</v>
      </c>
      <c r="Z120" s="212"/>
      <c r="AA120" s="272">
        <f>重み_前!M120</f>
        <v>2.0887728459530026E-2</v>
      </c>
      <c r="AB120" s="272">
        <f>重み_後!N120</f>
        <v>2.0887728459530026E-2</v>
      </c>
      <c r="AC120" s="242">
        <f>重み_前!D120</f>
        <v>2.0887728459530023E-2</v>
      </c>
      <c r="AD120" s="242"/>
      <c r="AE120" s="242">
        <f>重み_後!D120</f>
        <v>2.1333333333333333E-2</v>
      </c>
      <c r="AF120" s="242"/>
      <c r="AG120" s="242"/>
      <c r="AH120" s="243">
        <f>重み_前!N120</f>
        <v>0</v>
      </c>
      <c r="AI120" s="243">
        <f>重み_後!O120</f>
        <v>0</v>
      </c>
      <c r="AJ120" s="242">
        <f>重み_前!E120</f>
        <v>0</v>
      </c>
      <c r="AK120" s="242"/>
      <c r="AL120" s="242">
        <f>重み_後!E120</f>
        <v>0</v>
      </c>
    </row>
    <row r="121" spans="1:38" ht="14.25" thickBot="1">
      <c r="A121" s="406"/>
      <c r="B121" s="450"/>
      <c r="C121" s="2334" t="s">
        <v>1708</v>
      </c>
      <c r="D121" s="399" t="s">
        <v>1714</v>
      </c>
      <c r="E121" s="326"/>
      <c r="F121" s="287" t="s">
        <v>601</v>
      </c>
      <c r="G121" s="287" t="s">
        <v>601</v>
      </c>
      <c r="H121" s="287" t="s">
        <v>602</v>
      </c>
      <c r="I121" s="287" t="s">
        <v>664</v>
      </c>
      <c r="J121" s="287" t="s">
        <v>664</v>
      </c>
      <c r="K121" s="305" t="s">
        <v>544</v>
      </c>
      <c r="L121" s="2345" t="str">
        <f>IF(L119="","",L119)</f>
        <v/>
      </c>
      <c r="M121" s="307" t="str">
        <f t="shared" si="40"/>
        <v>EB</v>
      </c>
      <c r="N121" s="452">
        <v>3</v>
      </c>
      <c r="O121" s="305" t="str">
        <f t="shared" si="41"/>
        <v>NC</v>
      </c>
      <c r="P121" s="452">
        <v>3</v>
      </c>
      <c r="Q121" s="453" t="str">
        <f t="shared" ref="Q121" si="52">IF(L121=$AA$3,$F121,$G121)</f>
        <v>EB</v>
      </c>
      <c r="R121" s="451" t="str">
        <f t="shared" ref="R121" si="53">IF(L121=$AA$3,$F121,$H121)</f>
        <v>NC</v>
      </c>
      <c r="S121" s="457"/>
      <c r="T121" s="307" t="str">
        <f t="shared" si="44"/>
        <v>EB</v>
      </c>
      <c r="U121" s="2014"/>
      <c r="V121" s="305" t="str">
        <f t="shared" ref="V121" si="54">IF(S121=$AA$3,$I121,$K121)</f>
        <v>NC</v>
      </c>
      <c r="W121" s="2014"/>
      <c r="X121" s="341" t="str">
        <f t="shared" si="46"/>
        <v>EB</v>
      </c>
      <c r="Y121" s="342" t="str">
        <f t="shared" si="47"/>
        <v>NC</v>
      </c>
      <c r="Z121" s="212"/>
      <c r="AA121" s="272">
        <f>重み_前!M121</f>
        <v>0.97911227154047009</v>
      </c>
      <c r="AB121" s="272">
        <f>重み_後!N121</f>
        <v>0.97911227154046998</v>
      </c>
      <c r="AC121" s="242">
        <f>重み_前!D121</f>
        <v>0.97911227154046987</v>
      </c>
      <c r="AD121" s="242"/>
      <c r="AE121" s="242">
        <f>重み_後!D121</f>
        <v>1</v>
      </c>
      <c r="AF121" s="242"/>
      <c r="AG121" s="242"/>
      <c r="AH121" s="243">
        <f>重み_前!N121</f>
        <v>0</v>
      </c>
      <c r="AI121" s="243">
        <f>重み_後!O121</f>
        <v>0</v>
      </c>
      <c r="AJ121" s="242">
        <f>重み_前!E121</f>
        <v>0</v>
      </c>
      <c r="AK121" s="242"/>
      <c r="AL121" s="242">
        <f>重み_後!E121</f>
        <v>0</v>
      </c>
    </row>
    <row r="122" spans="1:38" ht="14.25" hidden="1" thickBot="1">
      <c r="A122" s="406"/>
      <c r="B122" s="450"/>
      <c r="C122" s="454"/>
      <c r="D122" s="399"/>
      <c r="E122" s="326"/>
      <c r="F122" s="287" t="s">
        <v>601</v>
      </c>
      <c r="G122" s="287" t="s">
        <v>664</v>
      </c>
      <c r="H122" s="287" t="s">
        <v>544</v>
      </c>
      <c r="I122" s="287" t="s">
        <v>601</v>
      </c>
      <c r="J122" s="287" t="s">
        <v>664</v>
      </c>
      <c r="K122" s="305" t="s">
        <v>544</v>
      </c>
      <c r="L122" s="306"/>
      <c r="M122" s="307" t="str">
        <f t="shared" si="40"/>
        <v>EB</v>
      </c>
      <c r="N122" s="411">
        <v>0</v>
      </c>
      <c r="O122" s="305" t="str">
        <f t="shared" si="41"/>
        <v>NC</v>
      </c>
      <c r="P122" s="411">
        <v>0</v>
      </c>
      <c r="Q122" s="453" t="str">
        <f t="shared" si="42"/>
        <v>EB</v>
      </c>
      <c r="R122" s="451" t="str">
        <f t="shared" si="43"/>
        <v>NC</v>
      </c>
      <c r="S122" s="457"/>
      <c r="T122" s="307" t="str">
        <f t="shared" si="44"/>
        <v>EB</v>
      </c>
      <c r="U122" s="2014"/>
      <c r="V122" s="305" t="str">
        <f t="shared" si="45"/>
        <v>NC</v>
      </c>
      <c r="W122" s="2014"/>
      <c r="X122" s="453" t="str">
        <f t="shared" si="46"/>
        <v>EB</v>
      </c>
      <c r="Y122" s="451" t="str">
        <f t="shared" si="47"/>
        <v>NC</v>
      </c>
      <c r="Z122" s="212"/>
      <c r="AA122" s="272">
        <f>重み_前!M122</f>
        <v>0</v>
      </c>
      <c r="AB122" s="272">
        <f>重み_後!N122</f>
        <v>0</v>
      </c>
      <c r="AC122" s="242">
        <f>重み_前!D122</f>
        <v>0</v>
      </c>
      <c r="AD122" s="242"/>
      <c r="AE122" s="242">
        <f>重み_後!D122</f>
        <v>0</v>
      </c>
      <c r="AF122" s="242"/>
      <c r="AG122" s="242"/>
      <c r="AH122" s="243">
        <f>重み_前!N122</f>
        <v>0</v>
      </c>
      <c r="AI122" s="243">
        <f>重み_後!O122</f>
        <v>0</v>
      </c>
      <c r="AJ122" s="242">
        <f>重み_前!E122</f>
        <v>0</v>
      </c>
      <c r="AK122" s="242"/>
      <c r="AL122" s="242">
        <f>重み_後!E122</f>
        <v>0</v>
      </c>
    </row>
    <row r="123" spans="1:38" ht="14.25" hidden="1" thickBot="1">
      <c r="A123" s="406"/>
      <c r="B123" s="455"/>
      <c r="C123" s="454"/>
      <c r="D123" s="399"/>
      <c r="E123" s="326"/>
      <c r="F123" s="287" t="s">
        <v>664</v>
      </c>
      <c r="G123" s="287" t="s">
        <v>664</v>
      </c>
      <c r="H123" s="287" t="s">
        <v>544</v>
      </c>
      <c r="I123" s="287" t="s">
        <v>664</v>
      </c>
      <c r="J123" s="287" t="s">
        <v>664</v>
      </c>
      <c r="K123" s="305" t="s">
        <v>544</v>
      </c>
      <c r="L123" s="312"/>
      <c r="M123" s="456" t="str">
        <f t="shared" si="40"/>
        <v>EB</v>
      </c>
      <c r="N123" s="325">
        <v>0</v>
      </c>
      <c r="O123" s="456" t="str">
        <f t="shared" si="41"/>
        <v>NC</v>
      </c>
      <c r="P123" s="325">
        <v>0</v>
      </c>
      <c r="Q123" s="453" t="str">
        <f t="shared" si="42"/>
        <v>EB</v>
      </c>
      <c r="R123" s="451" t="str">
        <f t="shared" si="43"/>
        <v>NC</v>
      </c>
      <c r="S123" s="457"/>
      <c r="T123" s="307" t="str">
        <f t="shared" si="44"/>
        <v>EB</v>
      </c>
      <c r="U123" s="2014"/>
      <c r="V123" s="305" t="str">
        <f t="shared" si="45"/>
        <v>NC</v>
      </c>
      <c r="W123" s="2014"/>
      <c r="X123" s="453" t="str">
        <f t="shared" si="46"/>
        <v>EB</v>
      </c>
      <c r="Y123" s="451" t="str">
        <f t="shared" si="47"/>
        <v>NC</v>
      </c>
      <c r="Z123" s="212"/>
      <c r="AA123" s="272">
        <f>重み_前!M123</f>
        <v>0</v>
      </c>
      <c r="AB123" s="272">
        <f>重み_後!N123</f>
        <v>0</v>
      </c>
      <c r="AC123" s="242">
        <f>重み_前!D123</f>
        <v>0</v>
      </c>
      <c r="AD123" s="242"/>
      <c r="AE123" s="242">
        <f>重み_後!D123</f>
        <v>0</v>
      </c>
      <c r="AF123" s="242"/>
      <c r="AG123" s="242"/>
      <c r="AH123" s="243">
        <f>重み_前!N123</f>
        <v>0</v>
      </c>
      <c r="AI123" s="243">
        <f>重み_後!O123</f>
        <v>0</v>
      </c>
      <c r="AJ123" s="242">
        <f>重み_前!E123</f>
        <v>0</v>
      </c>
      <c r="AK123" s="242"/>
      <c r="AL123" s="242">
        <f>重み_後!E123</f>
        <v>0</v>
      </c>
    </row>
    <row r="124" spans="1:38" ht="14.25" thickBot="1">
      <c r="A124" s="406"/>
      <c r="B124" s="448">
        <v>3</v>
      </c>
      <c r="C124" s="326" t="s">
        <v>691</v>
      </c>
      <c r="D124" s="326"/>
      <c r="E124" s="326"/>
      <c r="F124" s="287" t="s">
        <v>664</v>
      </c>
      <c r="G124" s="382" t="s">
        <v>544</v>
      </c>
      <c r="H124" s="287" t="s">
        <v>544</v>
      </c>
      <c r="I124" s="334"/>
      <c r="J124" s="334"/>
      <c r="K124" s="335"/>
      <c r="L124" s="451"/>
      <c r="M124" s="457"/>
      <c r="N124" s="397"/>
      <c r="O124" s="458"/>
      <c r="P124" s="397"/>
      <c r="Q124" s="459" t="str">
        <f t="shared" si="42"/>
        <v>NC</v>
      </c>
      <c r="R124" s="460" t="str">
        <f t="shared" si="43"/>
        <v>NC</v>
      </c>
      <c r="S124" s="457"/>
      <c r="T124" s="307">
        <f t="shared" si="44"/>
        <v>0</v>
      </c>
      <c r="U124" s="2014"/>
      <c r="V124" s="305">
        <f t="shared" si="45"/>
        <v>0</v>
      </c>
      <c r="W124" s="2014"/>
      <c r="X124" s="459" t="str">
        <f t="shared" si="46"/>
        <v>NC</v>
      </c>
      <c r="Y124" s="460" t="str">
        <f t="shared" si="47"/>
        <v>NC</v>
      </c>
      <c r="Z124" s="212"/>
      <c r="AA124" s="272">
        <f>重み_前!M124</f>
        <v>0.50000000000000011</v>
      </c>
      <c r="AB124" s="272">
        <f>重み_後!N124</f>
        <v>0.53501802977617874</v>
      </c>
      <c r="AC124" s="242">
        <f>重み_前!D124</f>
        <v>0.5</v>
      </c>
      <c r="AD124" s="242"/>
      <c r="AE124" s="242">
        <f>重み_後!D124</f>
        <v>0.53501802977617874</v>
      </c>
      <c r="AF124" s="242"/>
      <c r="AG124" s="242"/>
      <c r="AH124" s="243">
        <f>重み_前!N124</f>
        <v>0</v>
      </c>
      <c r="AI124" s="243">
        <f>重み_後!O124</f>
        <v>0</v>
      </c>
      <c r="AJ124" s="242">
        <f>重み_前!E124</f>
        <v>0</v>
      </c>
      <c r="AK124" s="242"/>
      <c r="AL124" s="242">
        <f>重み_後!E124</f>
        <v>0</v>
      </c>
    </row>
    <row r="125" spans="1:38" ht="14.25" thickBot="1">
      <c r="A125" s="406"/>
      <c r="B125" s="450"/>
      <c r="C125" s="418">
        <v>3.1</v>
      </c>
      <c r="D125" s="399" t="s">
        <v>1679</v>
      </c>
      <c r="E125" s="326"/>
      <c r="F125" s="287" t="s">
        <v>664</v>
      </c>
      <c r="G125" s="382" t="s">
        <v>544</v>
      </c>
      <c r="H125" s="287" t="s">
        <v>544</v>
      </c>
      <c r="I125" s="287" t="s">
        <v>664</v>
      </c>
      <c r="J125" s="382" t="s">
        <v>544</v>
      </c>
      <c r="K125" s="287" t="s">
        <v>544</v>
      </c>
      <c r="L125" s="2345" t="str">
        <f>IF(L124="","",L124)</f>
        <v/>
      </c>
      <c r="M125" s="336" t="str">
        <f t="shared" ref="M125:M131" si="55">IF(L125=$AA$3,$I125,$J125)</f>
        <v>NC</v>
      </c>
      <c r="N125" s="2014"/>
      <c r="O125" s="335" t="str">
        <f t="shared" ref="O125:O131" si="56">IF(L125=$AA$3,$I125,$K125)</f>
        <v>NC</v>
      </c>
      <c r="P125" s="2014"/>
      <c r="Q125" s="314" t="str">
        <f t="shared" si="42"/>
        <v>NC</v>
      </c>
      <c r="R125" s="312" t="str">
        <f t="shared" si="43"/>
        <v>NC</v>
      </c>
      <c r="S125" s="457"/>
      <c r="T125" s="307" t="str">
        <f t="shared" si="44"/>
        <v>NC</v>
      </c>
      <c r="U125" s="2014"/>
      <c r="V125" s="305" t="str">
        <f t="shared" si="45"/>
        <v>NC</v>
      </c>
      <c r="W125" s="397"/>
      <c r="X125" s="314" t="str">
        <f t="shared" si="46"/>
        <v>NC</v>
      </c>
      <c r="Y125" s="312" t="str">
        <f t="shared" si="47"/>
        <v>NC</v>
      </c>
      <c r="Z125" s="212"/>
      <c r="AA125" s="272">
        <f>重み_前!M125</f>
        <v>0.97911227154047009</v>
      </c>
      <c r="AB125" s="272">
        <f>重み_後!N125</f>
        <v>0.97911227154046998</v>
      </c>
      <c r="AC125" s="242">
        <f>重み_前!D125</f>
        <v>1</v>
      </c>
      <c r="AD125" s="242"/>
      <c r="AE125" s="242">
        <f>重み_後!D125</f>
        <v>1</v>
      </c>
      <c r="AF125" s="242"/>
      <c r="AG125" s="242"/>
      <c r="AH125" s="243">
        <f>重み_前!N125</f>
        <v>0</v>
      </c>
      <c r="AI125" s="243">
        <f>重み_後!O125</f>
        <v>0</v>
      </c>
      <c r="AJ125" s="242">
        <f>重み_前!E125</f>
        <v>0</v>
      </c>
      <c r="AK125" s="242"/>
      <c r="AL125" s="242">
        <f>重み_後!E125</f>
        <v>0</v>
      </c>
    </row>
    <row r="126" spans="1:38" ht="14.25" thickBot="1">
      <c r="A126" s="406"/>
      <c r="B126" s="450"/>
      <c r="C126" s="415">
        <v>3.1</v>
      </c>
      <c r="D126" s="399" t="s">
        <v>1680</v>
      </c>
      <c r="E126" s="326"/>
      <c r="F126" s="287" t="s">
        <v>664</v>
      </c>
      <c r="G126" s="382" t="s">
        <v>544</v>
      </c>
      <c r="H126" s="287" t="s">
        <v>544</v>
      </c>
      <c r="I126" s="287" t="s">
        <v>664</v>
      </c>
      <c r="J126" s="382" t="s">
        <v>544</v>
      </c>
      <c r="K126" s="287" t="s">
        <v>544</v>
      </c>
      <c r="L126" s="2345" t="str">
        <f>IF(L124="","",L124)</f>
        <v/>
      </c>
      <c r="M126" s="307" t="str">
        <f>IF(L126=$AA$3,$I126,$J126)</f>
        <v>NC</v>
      </c>
      <c r="N126" s="332"/>
      <c r="O126" s="335" t="str">
        <f t="shared" si="56"/>
        <v>NC</v>
      </c>
      <c r="P126" s="332"/>
      <c r="Q126" s="314" t="str">
        <f t="shared" si="42"/>
        <v>NC</v>
      </c>
      <c r="R126" s="312" t="str">
        <f t="shared" si="43"/>
        <v>NC</v>
      </c>
      <c r="S126" s="457"/>
      <c r="T126" s="307" t="str">
        <f t="shared" si="44"/>
        <v>NC</v>
      </c>
      <c r="U126" s="2014"/>
      <c r="V126" s="305" t="str">
        <f t="shared" si="45"/>
        <v>NC</v>
      </c>
      <c r="W126" s="397"/>
      <c r="X126" s="314" t="str">
        <f t="shared" si="46"/>
        <v>NC</v>
      </c>
      <c r="Y126" s="312" t="str">
        <f t="shared" si="47"/>
        <v>NC</v>
      </c>
      <c r="Z126" s="212"/>
      <c r="AA126" s="272">
        <f>重み_前!M126</f>
        <v>2.0887728459530026E-2</v>
      </c>
      <c r="AB126" s="272">
        <f>重み_後!N126</f>
        <v>2.0887728459530026E-2</v>
      </c>
      <c r="AC126" s="242">
        <f>重み_前!D126</f>
        <v>0</v>
      </c>
      <c r="AD126" s="242"/>
      <c r="AE126" s="242">
        <f>重み_後!D126</f>
        <v>0</v>
      </c>
      <c r="AF126" s="242"/>
      <c r="AG126" s="242"/>
      <c r="AH126" s="243">
        <f>重み_前!N126</f>
        <v>0</v>
      </c>
      <c r="AI126" s="243">
        <f>重み_後!O126</f>
        <v>0</v>
      </c>
      <c r="AJ126" s="242">
        <f>重み_前!E126</f>
        <v>0</v>
      </c>
      <c r="AK126" s="242"/>
      <c r="AL126" s="242">
        <f>重み_後!E126</f>
        <v>0</v>
      </c>
    </row>
    <row r="127" spans="1:38" ht="14.25" hidden="1" thickBot="1">
      <c r="A127" s="406"/>
      <c r="B127" s="462"/>
      <c r="C127" s="2318">
        <v>3.1</v>
      </c>
      <c r="D127" s="2319" t="s">
        <v>692</v>
      </c>
      <c r="E127" s="1985"/>
      <c r="F127" s="287" t="s">
        <v>664</v>
      </c>
      <c r="G127" s="334" t="s">
        <v>92</v>
      </c>
      <c r="H127" s="287" t="s">
        <v>544</v>
      </c>
      <c r="I127" s="287" t="s">
        <v>664</v>
      </c>
      <c r="J127" s="287" t="s">
        <v>664</v>
      </c>
      <c r="K127" s="287" t="s">
        <v>544</v>
      </c>
      <c r="L127" s="342"/>
      <c r="M127" s="336" t="str">
        <f t="shared" si="55"/>
        <v>EB</v>
      </c>
      <c r="N127" s="300"/>
      <c r="O127" s="335" t="str">
        <f t="shared" si="56"/>
        <v>NC</v>
      </c>
      <c r="P127" s="300"/>
      <c r="Q127" s="314" t="str">
        <f t="shared" si="42"/>
        <v>NC</v>
      </c>
      <c r="R127" s="312" t="str">
        <f t="shared" si="43"/>
        <v>NC</v>
      </c>
      <c r="S127" s="457"/>
      <c r="T127" s="307" t="str">
        <f t="shared" si="44"/>
        <v>EB</v>
      </c>
      <c r="U127" s="2014"/>
      <c r="V127" s="305" t="str">
        <f t="shared" si="45"/>
        <v>NC</v>
      </c>
      <c r="W127" s="397"/>
      <c r="X127" s="314" t="str">
        <f t="shared" si="46"/>
        <v>NC</v>
      </c>
      <c r="Y127" s="312" t="str">
        <f t="shared" si="47"/>
        <v>NC</v>
      </c>
      <c r="Z127" s="212"/>
      <c r="AA127" s="272">
        <f>重み_前!M127</f>
        <v>0</v>
      </c>
      <c r="AB127" s="272">
        <f>重み_後!N127</f>
        <v>0</v>
      </c>
      <c r="AC127" s="242">
        <f>重み_前!D127</f>
        <v>0</v>
      </c>
      <c r="AD127" s="242"/>
      <c r="AE127" s="242">
        <f>重み_後!D127</f>
        <v>0</v>
      </c>
      <c r="AF127" s="242"/>
      <c r="AG127" s="242"/>
      <c r="AH127" s="243">
        <f>重み_前!N127</f>
        <v>0</v>
      </c>
      <c r="AI127" s="243">
        <f>重み_後!O127</f>
        <v>0</v>
      </c>
      <c r="AJ127" s="242">
        <f>重み_前!E127</f>
        <v>0</v>
      </c>
      <c r="AK127" s="242"/>
      <c r="AL127" s="242">
        <f>重み_後!E127</f>
        <v>0</v>
      </c>
    </row>
    <row r="128" spans="1:38" ht="14.25" hidden="1" thickBot="1">
      <c r="A128" s="406"/>
      <c r="B128" s="462"/>
      <c r="C128" s="2318">
        <v>3.2</v>
      </c>
      <c r="D128" s="2319" t="s">
        <v>693</v>
      </c>
      <c r="E128" s="1985"/>
      <c r="F128" s="287" t="s">
        <v>664</v>
      </c>
      <c r="G128" s="334" t="s">
        <v>92</v>
      </c>
      <c r="H128" s="287" t="s">
        <v>544</v>
      </c>
      <c r="I128" s="287" t="s">
        <v>664</v>
      </c>
      <c r="J128" s="287" t="s">
        <v>664</v>
      </c>
      <c r="K128" s="381" t="s">
        <v>544</v>
      </c>
      <c r="L128" s="342"/>
      <c r="M128" s="336" t="str">
        <f t="shared" si="55"/>
        <v>EB</v>
      </c>
      <c r="N128" s="397"/>
      <c r="O128" s="458" t="str">
        <f t="shared" si="56"/>
        <v>NC</v>
      </c>
      <c r="P128" s="397"/>
      <c r="Q128" s="314" t="str">
        <f t="shared" si="42"/>
        <v>NC</v>
      </c>
      <c r="R128" s="312" t="str">
        <f t="shared" si="43"/>
        <v>NC</v>
      </c>
      <c r="S128" s="457"/>
      <c r="T128" s="307" t="str">
        <f t="shared" si="44"/>
        <v>EB</v>
      </c>
      <c r="U128" s="2014"/>
      <c r="V128" s="305" t="str">
        <f t="shared" si="45"/>
        <v>NC</v>
      </c>
      <c r="W128" s="397"/>
      <c r="X128" s="314" t="str">
        <f t="shared" si="46"/>
        <v>NC</v>
      </c>
      <c r="Y128" s="312" t="str">
        <f t="shared" si="47"/>
        <v>NC</v>
      </c>
      <c r="Z128" s="212"/>
      <c r="AA128" s="272">
        <f>重み_前!M128</f>
        <v>0</v>
      </c>
      <c r="AB128" s="272">
        <f>重み_後!N128</f>
        <v>0</v>
      </c>
      <c r="AC128" s="242">
        <f>重み_前!D128</f>
        <v>0</v>
      </c>
      <c r="AD128" s="242"/>
      <c r="AE128" s="242">
        <f>重み_後!D128</f>
        <v>0</v>
      </c>
      <c r="AF128" s="242"/>
      <c r="AG128" s="242"/>
      <c r="AH128" s="243">
        <f>重み_前!N128</f>
        <v>0</v>
      </c>
      <c r="AI128" s="243">
        <f>重み_後!O128</f>
        <v>0</v>
      </c>
      <c r="AJ128" s="242">
        <f>重み_前!E128</f>
        <v>0</v>
      </c>
      <c r="AK128" s="242"/>
      <c r="AL128" s="242">
        <f>重み_後!E128</f>
        <v>0</v>
      </c>
    </row>
    <row r="129" spans="1:38" ht="14.25" hidden="1" thickBot="1">
      <c r="A129" s="406"/>
      <c r="B129" s="462"/>
      <c r="C129" s="2318">
        <v>3.3</v>
      </c>
      <c r="D129" s="2319" t="s">
        <v>694</v>
      </c>
      <c r="E129" s="1985"/>
      <c r="F129" s="287" t="s">
        <v>664</v>
      </c>
      <c r="G129" s="334" t="s">
        <v>92</v>
      </c>
      <c r="H129" s="287" t="s">
        <v>544</v>
      </c>
      <c r="I129" s="287" t="s">
        <v>664</v>
      </c>
      <c r="J129" s="287" t="s">
        <v>664</v>
      </c>
      <c r="K129" s="381" t="s">
        <v>544</v>
      </c>
      <c r="L129" s="342"/>
      <c r="M129" s="336" t="str">
        <f t="shared" si="55"/>
        <v>EB</v>
      </c>
      <c r="N129" s="300"/>
      <c r="O129" s="335" t="str">
        <f t="shared" si="56"/>
        <v>NC</v>
      </c>
      <c r="P129" s="300"/>
      <c r="Q129" s="314" t="str">
        <f t="shared" si="42"/>
        <v>NC</v>
      </c>
      <c r="R129" s="312" t="str">
        <f t="shared" si="43"/>
        <v>NC</v>
      </c>
      <c r="S129" s="457"/>
      <c r="T129" s="307" t="str">
        <f t="shared" si="44"/>
        <v>EB</v>
      </c>
      <c r="U129" s="2014"/>
      <c r="V129" s="305" t="str">
        <f t="shared" si="45"/>
        <v>NC</v>
      </c>
      <c r="W129" s="397"/>
      <c r="X129" s="314" t="str">
        <f t="shared" si="46"/>
        <v>NC</v>
      </c>
      <c r="Y129" s="312" t="str">
        <f t="shared" si="47"/>
        <v>NC</v>
      </c>
      <c r="Z129" s="212"/>
      <c r="AA129" s="272">
        <f>重み_前!M129</f>
        <v>0</v>
      </c>
      <c r="AB129" s="272">
        <f>重み_後!N129</f>
        <v>0</v>
      </c>
      <c r="AC129" s="242">
        <f>重み_前!D129</f>
        <v>0</v>
      </c>
      <c r="AD129" s="242"/>
      <c r="AE129" s="242">
        <f>重み_後!D129</f>
        <v>0</v>
      </c>
      <c r="AF129" s="242"/>
      <c r="AG129" s="242"/>
      <c r="AH129" s="243">
        <f>重み_前!N129</f>
        <v>0</v>
      </c>
      <c r="AI129" s="243">
        <f>重み_後!O129</f>
        <v>0</v>
      </c>
      <c r="AJ129" s="242">
        <f>重み_前!E129</f>
        <v>0</v>
      </c>
      <c r="AK129" s="242"/>
      <c r="AL129" s="242">
        <f>重み_後!E129</f>
        <v>0</v>
      </c>
    </row>
    <row r="130" spans="1:38" ht="14.25" hidden="1" thickBot="1">
      <c r="A130" s="406"/>
      <c r="B130" s="462"/>
      <c r="C130" s="2318">
        <v>3.4</v>
      </c>
      <c r="D130" s="2319" t="s">
        <v>324</v>
      </c>
      <c r="E130" s="1985"/>
      <c r="F130" s="287" t="s">
        <v>664</v>
      </c>
      <c r="G130" s="334" t="s">
        <v>92</v>
      </c>
      <c r="H130" s="287" t="s">
        <v>544</v>
      </c>
      <c r="I130" s="287" t="s">
        <v>664</v>
      </c>
      <c r="J130" s="287" t="s">
        <v>664</v>
      </c>
      <c r="K130" s="381" t="s">
        <v>544</v>
      </c>
      <c r="L130" s="342"/>
      <c r="M130" s="336" t="str">
        <f t="shared" si="55"/>
        <v>EB</v>
      </c>
      <c r="N130" s="397"/>
      <c r="O130" s="335" t="str">
        <f t="shared" si="56"/>
        <v>NC</v>
      </c>
      <c r="P130" s="397"/>
      <c r="Q130" s="314" t="str">
        <f t="shared" si="42"/>
        <v>NC</v>
      </c>
      <c r="R130" s="312" t="str">
        <f t="shared" si="43"/>
        <v>NC</v>
      </c>
      <c r="S130" s="457"/>
      <c r="T130" s="307" t="str">
        <f t="shared" si="44"/>
        <v>EB</v>
      </c>
      <c r="U130" s="2014"/>
      <c r="V130" s="305" t="str">
        <f t="shared" si="45"/>
        <v>NC</v>
      </c>
      <c r="W130" s="397"/>
      <c r="X130" s="314" t="str">
        <f t="shared" si="46"/>
        <v>NC</v>
      </c>
      <c r="Y130" s="312" t="str">
        <f t="shared" si="47"/>
        <v>NC</v>
      </c>
      <c r="Z130" s="212"/>
      <c r="AA130" s="272">
        <f>重み_前!M130</f>
        <v>0</v>
      </c>
      <c r="AB130" s="272">
        <f>重み_後!N130</f>
        <v>0</v>
      </c>
      <c r="AC130" s="242">
        <f>重み_前!D130</f>
        <v>0</v>
      </c>
      <c r="AD130" s="242"/>
      <c r="AE130" s="242">
        <f>重み_後!D130</f>
        <v>0</v>
      </c>
      <c r="AF130" s="242"/>
      <c r="AG130" s="242"/>
      <c r="AH130" s="243">
        <f>重み_前!N130</f>
        <v>0</v>
      </c>
      <c r="AI130" s="243">
        <f>重み_後!O130</f>
        <v>0</v>
      </c>
      <c r="AJ130" s="242">
        <f>重み_前!E130</f>
        <v>0</v>
      </c>
      <c r="AK130" s="242"/>
      <c r="AL130" s="242">
        <f>重み_後!E130</f>
        <v>0</v>
      </c>
    </row>
    <row r="131" spans="1:38" ht="14.25" hidden="1" thickBot="1">
      <c r="A131" s="406"/>
      <c r="B131" s="462"/>
      <c r="C131" s="2318">
        <v>3.5</v>
      </c>
      <c r="D131" s="2319" t="s">
        <v>695</v>
      </c>
      <c r="E131" s="1985"/>
      <c r="F131" s="287" t="s">
        <v>664</v>
      </c>
      <c r="G131" s="334" t="s">
        <v>92</v>
      </c>
      <c r="H131" s="287" t="s">
        <v>544</v>
      </c>
      <c r="I131" s="287" t="s">
        <v>664</v>
      </c>
      <c r="J131" s="287" t="s">
        <v>664</v>
      </c>
      <c r="K131" s="381" t="s">
        <v>544</v>
      </c>
      <c r="L131" s="342"/>
      <c r="M131" s="336" t="str">
        <f t="shared" si="55"/>
        <v>EB</v>
      </c>
      <c r="N131" s="300"/>
      <c r="O131" s="335" t="str">
        <f t="shared" si="56"/>
        <v>NC</v>
      </c>
      <c r="P131" s="300"/>
      <c r="Q131" s="314" t="str">
        <f t="shared" si="42"/>
        <v>NC</v>
      </c>
      <c r="R131" s="312" t="str">
        <f t="shared" si="43"/>
        <v>NC</v>
      </c>
      <c r="S131" s="457"/>
      <c r="T131" s="307" t="str">
        <f t="shared" si="44"/>
        <v>EB</v>
      </c>
      <c r="U131" s="2014"/>
      <c r="V131" s="305" t="str">
        <f t="shared" si="45"/>
        <v>NC</v>
      </c>
      <c r="W131" s="397"/>
      <c r="X131" s="314" t="str">
        <f t="shared" si="46"/>
        <v>NC</v>
      </c>
      <c r="Y131" s="312" t="str">
        <f t="shared" si="47"/>
        <v>NC</v>
      </c>
      <c r="Z131" s="212"/>
      <c r="AA131" s="272">
        <f>重み_前!M131</f>
        <v>0</v>
      </c>
      <c r="AB131" s="272">
        <f>重み_後!N131</f>
        <v>0</v>
      </c>
      <c r="AC131" s="242">
        <f>重み_前!D131</f>
        <v>0</v>
      </c>
      <c r="AD131" s="242"/>
      <c r="AE131" s="242">
        <f>重み_後!D131</f>
        <v>0</v>
      </c>
      <c r="AF131" s="242"/>
      <c r="AG131" s="242"/>
      <c r="AH131" s="243">
        <f>重み_前!N131</f>
        <v>0</v>
      </c>
      <c r="AI131" s="243">
        <f>重み_後!O131</f>
        <v>0</v>
      </c>
      <c r="AJ131" s="242">
        <f>重み_前!E131</f>
        <v>0</v>
      </c>
      <c r="AK131" s="242"/>
      <c r="AL131" s="242">
        <f>重み_後!E131</f>
        <v>0</v>
      </c>
    </row>
    <row r="132" spans="1:38" ht="13.5">
      <c r="A132" s="406"/>
      <c r="B132" s="466"/>
      <c r="C132" s="418">
        <v>3.2</v>
      </c>
      <c r="D132" s="399" t="s">
        <v>1681</v>
      </c>
      <c r="E132" s="324"/>
      <c r="F132" s="287" t="s">
        <v>664</v>
      </c>
      <c r="G132" s="381">
        <v>0</v>
      </c>
      <c r="H132" s="381">
        <v>0</v>
      </c>
      <c r="I132" s="287" t="s">
        <v>664</v>
      </c>
      <c r="J132" s="381">
        <v>0</v>
      </c>
      <c r="K132" s="381">
        <v>0</v>
      </c>
      <c r="L132" s="2345" t="str">
        <f>IF(L124="","",L124)</f>
        <v/>
      </c>
      <c r="M132" s="307">
        <f>IF(L132=$AA$3,$I132,$J132)</f>
        <v>0</v>
      </c>
      <c r="N132" s="397"/>
      <c r="O132" s="305">
        <f>IF(L132=$AA$3,$I132,$K132)</f>
        <v>0</v>
      </c>
      <c r="P132" s="397"/>
      <c r="Q132" s="321">
        <f t="shared" si="42"/>
        <v>0</v>
      </c>
      <c r="R132" s="319">
        <f t="shared" si="43"/>
        <v>0</v>
      </c>
      <c r="S132" s="457"/>
      <c r="T132" s="307">
        <f t="shared" si="44"/>
        <v>0</v>
      </c>
      <c r="U132" s="2014"/>
      <c r="V132" s="305">
        <f>IF(S132=$AA$3,$I132,$K132)</f>
        <v>0</v>
      </c>
      <c r="W132" s="397"/>
      <c r="X132" s="321">
        <f t="shared" si="46"/>
        <v>0</v>
      </c>
      <c r="Y132" s="319">
        <f t="shared" si="47"/>
        <v>0</v>
      </c>
      <c r="Z132" s="212"/>
      <c r="AA132" s="272">
        <f>重み_前!M132</f>
        <v>0.97911227154047009</v>
      </c>
      <c r="AB132" s="272">
        <f>重み_後!N132</f>
        <v>0</v>
      </c>
      <c r="AC132" s="242">
        <f>重み_前!D132</f>
        <v>1</v>
      </c>
      <c r="AD132" s="242"/>
      <c r="AE132" s="242">
        <f>重み_後!D132</f>
        <v>0</v>
      </c>
      <c r="AF132" s="242"/>
      <c r="AG132" s="242"/>
      <c r="AH132" s="243">
        <f>重み_前!N132</f>
        <v>0</v>
      </c>
      <c r="AI132" s="243">
        <f>重み_後!O132</f>
        <v>0</v>
      </c>
      <c r="AJ132" s="242">
        <f>重み_前!E132</f>
        <v>0</v>
      </c>
      <c r="AK132" s="242"/>
      <c r="AL132" s="242">
        <f>重み_後!E132</f>
        <v>0</v>
      </c>
    </row>
    <row r="133" spans="1:38" ht="13.5">
      <c r="A133" s="406"/>
      <c r="B133" s="448">
        <v>4</v>
      </c>
      <c r="C133" s="326" t="s">
        <v>696</v>
      </c>
      <c r="D133" s="285"/>
      <c r="E133" s="285"/>
      <c r="F133" s="287" t="s">
        <v>538</v>
      </c>
      <c r="G133" s="287" t="s">
        <v>538</v>
      </c>
      <c r="H133" s="287" t="s">
        <v>539</v>
      </c>
      <c r="I133" s="334"/>
      <c r="J133" s="334"/>
      <c r="K133" s="335"/>
      <c r="L133" s="344" t="str">
        <f>IF(AND(L134=AA3,L137=AA3),AA3,IF(AND(AB134=0,L137=AA3),AA3,IF(AND(AB137=0,L134=AA3),AA3,"")))</f>
        <v/>
      </c>
      <c r="M133" s="336"/>
      <c r="N133" s="2014"/>
      <c r="O133" s="335"/>
      <c r="P133" s="2014"/>
      <c r="Q133" s="343" t="str">
        <f t="shared" si="42"/>
        <v>EB</v>
      </c>
      <c r="R133" s="344" t="str">
        <f t="shared" si="43"/>
        <v>NC</v>
      </c>
      <c r="S133" s="457"/>
      <c r="T133" s="307">
        <f t="shared" si="44"/>
        <v>0</v>
      </c>
      <c r="U133" s="332"/>
      <c r="V133" s="305">
        <f t="shared" ref="V133:V139" si="57">IF(S133=$AA$3,$I133,$K133)</f>
        <v>0</v>
      </c>
      <c r="W133" s="397"/>
      <c r="X133" s="343" t="str">
        <f t="shared" si="46"/>
        <v>EB</v>
      </c>
      <c r="Y133" s="344" t="str">
        <f t="shared" si="47"/>
        <v>NC</v>
      </c>
      <c r="Z133" s="212"/>
      <c r="AA133" s="272">
        <f>重み_前!M133</f>
        <v>0.20000000000000004</v>
      </c>
      <c r="AB133" s="272">
        <f>重み_後!N133</f>
        <v>0.20953708737970453</v>
      </c>
      <c r="AC133" s="242">
        <f>重み_前!D133</f>
        <v>0.19999999999999998</v>
      </c>
      <c r="AD133" s="242"/>
      <c r="AE133" s="242">
        <f>重み_後!D133</f>
        <v>0.20953708737970453</v>
      </c>
      <c r="AF133" s="242"/>
      <c r="AG133" s="242"/>
      <c r="AH133" s="243">
        <f>重み_前!N133</f>
        <v>0</v>
      </c>
      <c r="AI133" s="243">
        <f>重み_後!O133</f>
        <v>0</v>
      </c>
      <c r="AJ133" s="242">
        <f>重み_前!E133</f>
        <v>0</v>
      </c>
      <c r="AK133" s="242"/>
      <c r="AL133" s="242">
        <f>重み_後!E133</f>
        <v>0</v>
      </c>
    </row>
    <row r="134" spans="1:38" ht="14.25" thickBot="1">
      <c r="A134" s="406"/>
      <c r="B134" s="338"/>
      <c r="C134" s="315"/>
      <c r="D134" s="333" t="s">
        <v>1682</v>
      </c>
      <c r="E134" s="297"/>
      <c r="F134" s="287" t="s">
        <v>381</v>
      </c>
      <c r="G134" s="287" t="s">
        <v>381</v>
      </c>
      <c r="H134" s="287" t="s">
        <v>92</v>
      </c>
      <c r="I134" s="2322"/>
      <c r="J134" s="2322"/>
      <c r="K134" s="458"/>
      <c r="L134" s="302" t="str">
        <f>IF(COUNTIF(L135:L136,$AA$3)&gt;=ROWS(L135:L136),$AA$3,"")</f>
        <v/>
      </c>
      <c r="M134" s="457"/>
      <c r="N134" s="316"/>
      <c r="O134" s="458"/>
      <c r="P134" s="316"/>
      <c r="Q134" s="341" t="str">
        <f t="shared" si="42"/>
        <v>EB</v>
      </c>
      <c r="R134" s="342" t="str">
        <f t="shared" si="43"/>
        <v>NC</v>
      </c>
      <c r="S134" s="457"/>
      <c r="T134" s="307">
        <f t="shared" si="44"/>
        <v>0</v>
      </c>
      <c r="U134" s="397"/>
      <c r="V134" s="305">
        <f t="shared" si="57"/>
        <v>0</v>
      </c>
      <c r="W134" s="397"/>
      <c r="X134" s="341" t="str">
        <f t="shared" si="46"/>
        <v>EB</v>
      </c>
      <c r="Y134" s="342" t="str">
        <f t="shared" si="47"/>
        <v>NC</v>
      </c>
      <c r="Z134" s="212"/>
      <c r="AA134" s="272">
        <f>重み_前!M134</f>
        <v>0.97911227154047009</v>
      </c>
      <c r="AB134" s="272">
        <f>重み_後!N134</f>
        <v>0.97911227154046998</v>
      </c>
      <c r="AC134" s="242">
        <f>重み_前!D134</f>
        <v>0.97911227154046987</v>
      </c>
      <c r="AD134" s="242"/>
      <c r="AE134" s="242">
        <f>重み_後!D134</f>
        <v>0.97911227154046998</v>
      </c>
      <c r="AF134" s="242"/>
      <c r="AG134" s="242"/>
      <c r="AH134" s="243">
        <f>重み_前!N134</f>
        <v>0</v>
      </c>
      <c r="AI134" s="243">
        <f>重み_後!O134</f>
        <v>0</v>
      </c>
      <c r="AJ134" s="242">
        <f>重み_前!E134</f>
        <v>0</v>
      </c>
      <c r="AK134" s="242"/>
      <c r="AL134" s="242">
        <f>重み_後!E134</f>
        <v>0</v>
      </c>
    </row>
    <row r="135" spans="1:38" ht="14.25" thickBot="1">
      <c r="A135" s="406"/>
      <c r="B135" s="338"/>
      <c r="C135" s="2320"/>
      <c r="D135" s="304">
        <v>4.0999999999999996</v>
      </c>
      <c r="E135" s="324" t="s">
        <v>1683</v>
      </c>
      <c r="F135" s="287" t="s">
        <v>664</v>
      </c>
      <c r="G135" s="287" t="s">
        <v>664</v>
      </c>
      <c r="H135" s="287" t="s">
        <v>544</v>
      </c>
      <c r="I135" s="287" t="s">
        <v>1686</v>
      </c>
      <c r="J135" s="287" t="s">
        <v>664</v>
      </c>
      <c r="K135" s="305" t="s">
        <v>544</v>
      </c>
      <c r="L135" s="306"/>
      <c r="M135" s="307" t="str">
        <f>IF(L135=$AA$3,$I135,$J135)</f>
        <v>EB</v>
      </c>
      <c r="N135" s="411">
        <v>3</v>
      </c>
      <c r="O135" s="305" t="str">
        <f>IF(L135=$AA$3,$I135,$K135)</f>
        <v>NC</v>
      </c>
      <c r="P135" s="411">
        <v>3</v>
      </c>
      <c r="Q135" s="453" t="str">
        <f t="shared" si="42"/>
        <v>EB</v>
      </c>
      <c r="R135" s="451" t="str">
        <f t="shared" si="43"/>
        <v>NC</v>
      </c>
      <c r="S135" s="457"/>
      <c r="T135" s="307" t="str">
        <f t="shared" si="44"/>
        <v>EB</v>
      </c>
      <c r="U135" s="397"/>
      <c r="V135" s="305" t="str">
        <f t="shared" si="57"/>
        <v>NC</v>
      </c>
      <c r="W135" s="397"/>
      <c r="X135" s="453" t="str">
        <f t="shared" si="46"/>
        <v>EB</v>
      </c>
      <c r="Y135" s="451" t="str">
        <f t="shared" si="47"/>
        <v>NC</v>
      </c>
      <c r="Z135" s="212"/>
      <c r="AA135" s="272">
        <f>重み_前!M135</f>
        <v>0.48955613577023505</v>
      </c>
      <c r="AB135" s="272">
        <f>重み_後!N135</f>
        <v>0.5</v>
      </c>
      <c r="AC135" s="242">
        <f>重み_前!D135</f>
        <v>0.5</v>
      </c>
      <c r="AD135" s="242"/>
      <c r="AE135" s="242">
        <f>重み_後!D135</f>
        <v>0.5</v>
      </c>
      <c r="AF135" s="242"/>
      <c r="AG135" s="242"/>
      <c r="AH135" s="243">
        <f>重み_前!N135</f>
        <v>0</v>
      </c>
      <c r="AI135" s="243">
        <f>重み_後!O135</f>
        <v>0</v>
      </c>
      <c r="AJ135" s="242">
        <f>重み_前!E135</f>
        <v>0</v>
      </c>
      <c r="AK135" s="242"/>
      <c r="AL135" s="242">
        <f>重み_後!E135</f>
        <v>0</v>
      </c>
    </row>
    <row r="136" spans="1:38" ht="14.25" thickBot="1">
      <c r="A136" s="406"/>
      <c r="B136" s="338"/>
      <c r="C136" s="2321"/>
      <c r="D136" s="304">
        <v>4.2</v>
      </c>
      <c r="E136" s="324" t="s">
        <v>697</v>
      </c>
      <c r="F136" s="287" t="s">
        <v>664</v>
      </c>
      <c r="G136" s="287" t="s">
        <v>664</v>
      </c>
      <c r="H136" s="287" t="s">
        <v>544</v>
      </c>
      <c r="I136" s="287" t="s">
        <v>664</v>
      </c>
      <c r="J136" s="287" t="s">
        <v>664</v>
      </c>
      <c r="K136" s="305" t="s">
        <v>544</v>
      </c>
      <c r="L136" s="312"/>
      <c r="M136" s="307" t="str">
        <f>IF(L136=$AA$3,$I136,$J136)</f>
        <v>EB</v>
      </c>
      <c r="N136" s="325">
        <v>3</v>
      </c>
      <c r="O136" s="305" t="str">
        <f>IF(L136=$AA$3,$I136,$K136)</f>
        <v>NC</v>
      </c>
      <c r="P136" s="325">
        <v>3</v>
      </c>
      <c r="Q136" s="453" t="str">
        <f t="shared" si="42"/>
        <v>EB</v>
      </c>
      <c r="R136" s="451" t="str">
        <f t="shared" si="43"/>
        <v>NC</v>
      </c>
      <c r="S136" s="457"/>
      <c r="T136" s="307" t="str">
        <f t="shared" si="44"/>
        <v>EB</v>
      </c>
      <c r="U136" s="397"/>
      <c r="V136" s="305" t="str">
        <f t="shared" si="57"/>
        <v>NC</v>
      </c>
      <c r="W136" s="397"/>
      <c r="X136" s="453" t="str">
        <f t="shared" si="46"/>
        <v>EB</v>
      </c>
      <c r="Y136" s="451" t="str">
        <f t="shared" si="47"/>
        <v>NC</v>
      </c>
      <c r="Z136" s="212"/>
      <c r="AA136" s="272">
        <f>重み_前!M136</f>
        <v>0.48955613577023505</v>
      </c>
      <c r="AB136" s="272">
        <f>重み_後!N136</f>
        <v>0.5</v>
      </c>
      <c r="AC136" s="242">
        <f>重み_前!D136</f>
        <v>0.5</v>
      </c>
      <c r="AD136" s="242"/>
      <c r="AE136" s="242">
        <f>重み_後!D136</f>
        <v>0.5</v>
      </c>
      <c r="AF136" s="242"/>
      <c r="AG136" s="242"/>
      <c r="AH136" s="243">
        <f>重み_前!N136</f>
        <v>0</v>
      </c>
      <c r="AI136" s="243">
        <f>重み_後!O136</f>
        <v>0</v>
      </c>
      <c r="AJ136" s="242">
        <f>重み_前!E136</f>
        <v>0</v>
      </c>
      <c r="AK136" s="242"/>
      <c r="AL136" s="242">
        <f>重み_後!E136</f>
        <v>0</v>
      </c>
    </row>
    <row r="137" spans="1:38" ht="14.25" thickBot="1">
      <c r="A137" s="406"/>
      <c r="B137" s="338"/>
      <c r="C137" s="315"/>
      <c r="D137" s="333" t="s">
        <v>1684</v>
      </c>
      <c r="E137" s="297"/>
      <c r="F137" s="287" t="s">
        <v>381</v>
      </c>
      <c r="G137" s="287" t="s">
        <v>381</v>
      </c>
      <c r="H137" s="287" t="s">
        <v>92</v>
      </c>
      <c r="I137" s="334"/>
      <c r="J137" s="334"/>
      <c r="K137" s="335"/>
      <c r="L137" s="302" t="str">
        <f>IF(COUNTIF(L138:L139,$AA$3)&gt;=ROWS(L138:L139),$AA$3,"")</f>
        <v/>
      </c>
      <c r="M137" s="336"/>
      <c r="N137" s="316"/>
      <c r="O137" s="335"/>
      <c r="P137" s="316"/>
      <c r="Q137" s="317" t="str">
        <f t="shared" ref="Q137:Q139" si="58">IF(L137=$AA$3,$F137,$G137)</f>
        <v>EB</v>
      </c>
      <c r="R137" s="318" t="str">
        <f t="shared" ref="R137:R139" si="59">IF(L137=$AA$3,$F137,$H137)</f>
        <v>NC</v>
      </c>
      <c r="S137" s="457"/>
      <c r="T137" s="307">
        <f t="shared" si="44"/>
        <v>0</v>
      </c>
      <c r="U137" s="397"/>
      <c r="V137" s="305">
        <f t="shared" si="57"/>
        <v>0</v>
      </c>
      <c r="W137" s="397"/>
      <c r="X137" s="317" t="str">
        <f t="shared" ref="X137:X139" si="60">IF(S137=$AA$3,$F137,$G137)</f>
        <v>EB</v>
      </c>
      <c r="Y137" s="318" t="str">
        <f t="shared" ref="Y137:Y139" si="61">IF(S137=$AA$3,$F137,$H137)</f>
        <v>NC</v>
      </c>
      <c r="Z137" s="212"/>
      <c r="AA137" s="272">
        <f>重み_前!M137</f>
        <v>2.0887728459530026E-2</v>
      </c>
      <c r="AB137" s="272">
        <f>重み_後!N137</f>
        <v>2.0887728459530026E-2</v>
      </c>
      <c r="AC137" s="242">
        <f>重み_前!D137</f>
        <v>2.0887728459530023E-2</v>
      </c>
      <c r="AD137" s="242"/>
      <c r="AE137" s="242">
        <f>重み_後!D137</f>
        <v>2.0887728459530026E-2</v>
      </c>
      <c r="AF137" s="242"/>
      <c r="AG137" s="242"/>
      <c r="AH137" s="243">
        <f>重み_前!N137</f>
        <v>0</v>
      </c>
      <c r="AI137" s="243">
        <f>重み_後!O137</f>
        <v>0</v>
      </c>
      <c r="AJ137" s="242">
        <f>重み_前!E137</f>
        <v>0</v>
      </c>
      <c r="AK137" s="242"/>
      <c r="AL137" s="242">
        <f>重み_後!E137</f>
        <v>0</v>
      </c>
    </row>
    <row r="138" spans="1:38" ht="14.25" thickBot="1">
      <c r="A138" s="406"/>
      <c r="B138" s="338"/>
      <c r="C138" s="2320"/>
      <c r="D138" s="304">
        <v>4.0999999999999996</v>
      </c>
      <c r="E138" s="324" t="s">
        <v>1683</v>
      </c>
      <c r="F138" s="287" t="s">
        <v>664</v>
      </c>
      <c r="G138" s="287" t="s">
        <v>664</v>
      </c>
      <c r="H138" s="287" t="s">
        <v>544</v>
      </c>
      <c r="I138" s="287" t="s">
        <v>664</v>
      </c>
      <c r="J138" s="287" t="s">
        <v>664</v>
      </c>
      <c r="K138" s="305" t="s">
        <v>544</v>
      </c>
      <c r="L138" s="306"/>
      <c r="M138" s="307" t="str">
        <f>IF(L138=$AA$3,$I138,$J138)</f>
        <v>EB</v>
      </c>
      <c r="N138" s="411">
        <v>3</v>
      </c>
      <c r="O138" s="305" t="str">
        <f>IF(L138=$AA$3,$I138,$K138)</f>
        <v>NC</v>
      </c>
      <c r="P138" s="411">
        <v>3</v>
      </c>
      <c r="Q138" s="453" t="str">
        <f t="shared" si="58"/>
        <v>EB</v>
      </c>
      <c r="R138" s="451" t="str">
        <f t="shared" si="59"/>
        <v>NC</v>
      </c>
      <c r="S138" s="457"/>
      <c r="T138" s="307" t="str">
        <f t="shared" si="44"/>
        <v>EB</v>
      </c>
      <c r="U138" s="397"/>
      <c r="V138" s="305" t="str">
        <f t="shared" si="57"/>
        <v>NC</v>
      </c>
      <c r="W138" s="397"/>
      <c r="X138" s="453" t="str">
        <f t="shared" si="60"/>
        <v>EB</v>
      </c>
      <c r="Y138" s="451" t="str">
        <f t="shared" si="61"/>
        <v>NC</v>
      </c>
      <c r="Z138" s="212"/>
      <c r="AA138" s="272">
        <f>重み_前!M138</f>
        <v>1.0443864229765013E-2</v>
      </c>
      <c r="AB138" s="272">
        <f>重み_後!N138</f>
        <v>0.5</v>
      </c>
      <c r="AC138" s="242">
        <f>重み_前!D138</f>
        <v>0.5</v>
      </c>
      <c r="AD138" s="242"/>
      <c r="AE138" s="242">
        <f>重み_後!D138</f>
        <v>0.5</v>
      </c>
      <c r="AF138" s="242"/>
      <c r="AG138" s="242"/>
      <c r="AH138" s="243">
        <f>重み_前!N138</f>
        <v>0</v>
      </c>
      <c r="AI138" s="243">
        <f>重み_後!O138</f>
        <v>0</v>
      </c>
      <c r="AJ138" s="242">
        <f>重み_前!E138</f>
        <v>0</v>
      </c>
      <c r="AK138" s="242"/>
      <c r="AL138" s="242">
        <f>重み_後!E138</f>
        <v>0</v>
      </c>
    </row>
    <row r="139" spans="1:38" ht="14.25" thickBot="1">
      <c r="A139" s="406"/>
      <c r="B139" s="380"/>
      <c r="C139" s="2321"/>
      <c r="D139" s="304">
        <v>4.2</v>
      </c>
      <c r="E139" s="324" t="s">
        <v>697</v>
      </c>
      <c r="F139" s="287" t="s">
        <v>664</v>
      </c>
      <c r="G139" s="287" t="s">
        <v>664</v>
      </c>
      <c r="H139" s="287" t="s">
        <v>544</v>
      </c>
      <c r="I139" s="287" t="s">
        <v>664</v>
      </c>
      <c r="J139" s="287" t="s">
        <v>664</v>
      </c>
      <c r="K139" s="305" t="s">
        <v>544</v>
      </c>
      <c r="L139" s="312"/>
      <c r="M139" s="307" t="str">
        <f>IF(L139=$AA$3,$I139,$J139)</f>
        <v>EB</v>
      </c>
      <c r="N139" s="325">
        <v>3</v>
      </c>
      <c r="O139" s="305" t="str">
        <f>IF(L139=$AA$3,$I139,$K139)</f>
        <v>NC</v>
      </c>
      <c r="P139" s="325">
        <v>3</v>
      </c>
      <c r="Q139" s="453" t="str">
        <f t="shared" si="58"/>
        <v>EB</v>
      </c>
      <c r="R139" s="451" t="str">
        <f t="shared" si="59"/>
        <v>NC</v>
      </c>
      <c r="S139" s="457"/>
      <c r="T139" s="307" t="str">
        <f t="shared" si="44"/>
        <v>EB</v>
      </c>
      <c r="U139" s="300"/>
      <c r="V139" s="305" t="str">
        <f t="shared" si="57"/>
        <v>NC</v>
      </c>
      <c r="W139" s="300"/>
      <c r="X139" s="453" t="str">
        <f t="shared" si="60"/>
        <v>EB</v>
      </c>
      <c r="Y139" s="451" t="str">
        <f t="shared" si="61"/>
        <v>NC</v>
      </c>
      <c r="Z139" s="212"/>
      <c r="AA139" s="272">
        <f>重み_前!M139</f>
        <v>1.0443864229765013E-2</v>
      </c>
      <c r="AB139" s="272">
        <f>重み_後!N139</f>
        <v>0.5</v>
      </c>
      <c r="AC139" s="242">
        <f>重み_前!D139</f>
        <v>0.5</v>
      </c>
      <c r="AD139" s="242"/>
      <c r="AE139" s="242">
        <f>重み_後!D139</f>
        <v>0.5</v>
      </c>
      <c r="AF139" s="242"/>
      <c r="AG139" s="242"/>
      <c r="AH139" s="243">
        <f>重み_前!N139</f>
        <v>0</v>
      </c>
      <c r="AI139" s="243">
        <f>重み_後!O139</f>
        <v>0</v>
      </c>
      <c r="AJ139" s="242">
        <f>重み_前!E139</f>
        <v>0</v>
      </c>
      <c r="AK139" s="242"/>
      <c r="AL139" s="242">
        <f>重み_後!E139</f>
        <v>0</v>
      </c>
    </row>
    <row r="140" spans="1:38" ht="14.25" thickBot="1">
      <c r="A140" s="406"/>
      <c r="B140" s="360" t="s">
        <v>698</v>
      </c>
      <c r="C140" s="407" t="s">
        <v>699</v>
      </c>
      <c r="D140" s="407"/>
      <c r="E140" s="407"/>
      <c r="F140" s="362"/>
      <c r="G140" s="362"/>
      <c r="H140" s="362"/>
      <c r="I140" s="362"/>
      <c r="J140" s="362"/>
      <c r="K140" s="363"/>
      <c r="L140" s="364"/>
      <c r="M140" s="364"/>
      <c r="N140" s="366"/>
      <c r="O140" s="363"/>
      <c r="P140" s="366"/>
      <c r="Q140" s="368"/>
      <c r="R140" s="364"/>
      <c r="S140" s="409"/>
      <c r="T140" s="364"/>
      <c r="U140" s="366"/>
      <c r="V140" s="363"/>
      <c r="W140" s="366"/>
      <c r="X140" s="368"/>
      <c r="Y140" s="364"/>
      <c r="Z140" s="212"/>
      <c r="AA140" s="272">
        <f>重み_前!M140</f>
        <v>0.3</v>
      </c>
      <c r="AB140" s="272">
        <f>重み_後!N140</f>
        <v>0.3</v>
      </c>
      <c r="AC140" s="242" t="e">
        <f>重み_前!D140</f>
        <v>#VALUE!</v>
      </c>
      <c r="AD140" s="242"/>
      <c r="AE140" s="242" t="e">
        <f>重み_後!D140</f>
        <v>#VALUE!</v>
      </c>
      <c r="AF140" s="242"/>
      <c r="AG140" s="242"/>
      <c r="AH140" s="243">
        <f>重み_前!N140</f>
        <v>0</v>
      </c>
      <c r="AI140" s="243">
        <f>重み_後!O140</f>
        <v>0</v>
      </c>
      <c r="AJ140" s="242">
        <f>重み_前!E140</f>
        <v>0</v>
      </c>
      <c r="AK140" s="242"/>
      <c r="AL140" s="242">
        <f>重み_後!E140</f>
        <v>0</v>
      </c>
    </row>
    <row r="141" spans="1:38" ht="14.25" thickBot="1">
      <c r="A141" s="406"/>
      <c r="B141" s="468">
        <v>1</v>
      </c>
      <c r="C141" s="285" t="s">
        <v>700</v>
      </c>
      <c r="D141" s="285"/>
      <c r="E141" s="443"/>
      <c r="F141" s="287" t="s">
        <v>594</v>
      </c>
      <c r="G141" s="287" t="s">
        <v>594</v>
      </c>
      <c r="H141" s="287" t="s">
        <v>595</v>
      </c>
      <c r="I141" s="334"/>
      <c r="J141" s="334"/>
      <c r="K141" s="335"/>
      <c r="L141" s="290" t="str">
        <f>IF(COUNTIF(L142:L145,$AA$3)&gt;=ROWS(L142:L145),$AA$3,"")</f>
        <v/>
      </c>
      <c r="M141" s="336"/>
      <c r="N141" s="316"/>
      <c r="O141" s="335"/>
      <c r="P141" s="300"/>
      <c r="Q141" s="317" t="str">
        <f t="shared" ref="Q141:Q158" si="62">IF(L141=$AA$3,$F141,$G141)</f>
        <v>EB</v>
      </c>
      <c r="R141" s="318" t="str">
        <f t="shared" ref="R141:R158" si="63">IF(L141=$AA$3,$F141,$H141)</f>
        <v>NC</v>
      </c>
      <c r="S141" s="457"/>
      <c r="T141" s="307">
        <f t="shared" ref="T141:T180" si="64">IF(S141=$AA$3,$I141,$J141)</f>
        <v>0</v>
      </c>
      <c r="U141" s="449"/>
      <c r="V141" s="305">
        <f t="shared" ref="V141:V142" si="65">IF(S141=$AA$3,$I141,$K141)</f>
        <v>0</v>
      </c>
      <c r="W141" s="449"/>
      <c r="X141" s="317" t="str">
        <f t="shared" ref="X141:X158" si="66">IF(S141=$AA$3,$F141,$G141)</f>
        <v>EB</v>
      </c>
      <c r="Y141" s="318" t="str">
        <f t="shared" ref="Y141:Y158" si="67">IF(S141=$AA$3,$F141,$H141)</f>
        <v>NC</v>
      </c>
      <c r="Z141" s="212"/>
      <c r="AA141" s="272">
        <f>重み_前!M141</f>
        <v>0.20000000000000004</v>
      </c>
      <c r="AB141" s="272">
        <f>重み_後!N141</f>
        <v>0.19999999999999998</v>
      </c>
      <c r="AC141" s="242">
        <f>重み_前!D141</f>
        <v>0.20000000000000004</v>
      </c>
      <c r="AD141" s="242"/>
      <c r="AE141" s="242">
        <f>重み_後!D141</f>
        <v>0.19999999999999998</v>
      </c>
      <c r="AF141" s="242"/>
      <c r="AG141" s="242"/>
      <c r="AH141" s="243">
        <f>重み_前!N141</f>
        <v>0</v>
      </c>
      <c r="AI141" s="243">
        <f>重み_後!O141</f>
        <v>0</v>
      </c>
      <c r="AJ141" s="242">
        <f>重み_前!E141</f>
        <v>0</v>
      </c>
      <c r="AK141" s="242"/>
      <c r="AL141" s="242">
        <f>重み_後!E141</f>
        <v>0</v>
      </c>
    </row>
    <row r="142" spans="1:38" ht="14.25" thickBot="1">
      <c r="A142" s="406"/>
      <c r="B142" s="338"/>
      <c r="C142" s="323">
        <v>1.1000000000000001</v>
      </c>
      <c r="D142" s="324" t="s">
        <v>701</v>
      </c>
      <c r="E142" s="324"/>
      <c r="F142" s="287" t="s">
        <v>664</v>
      </c>
      <c r="G142" s="287" t="s">
        <v>664</v>
      </c>
      <c r="H142" s="287" t="s">
        <v>544</v>
      </c>
      <c r="I142" s="287" t="s">
        <v>664</v>
      </c>
      <c r="J142" s="287" t="s">
        <v>664</v>
      </c>
      <c r="K142" s="305" t="s">
        <v>544</v>
      </c>
      <c r="L142" s="451"/>
      <c r="M142" s="307" t="str">
        <f>IF(L142=$AA$3,$I142,$J142)</f>
        <v>EB</v>
      </c>
      <c r="N142" s="452">
        <v>3</v>
      </c>
      <c r="O142" s="305" t="str">
        <f>IF(L142=$AA$3,$I142,$K142)</f>
        <v>NC</v>
      </c>
      <c r="P142" s="452">
        <v>3</v>
      </c>
      <c r="Q142" s="453" t="str">
        <f t="shared" si="62"/>
        <v>EB</v>
      </c>
      <c r="R142" s="451" t="str">
        <f t="shared" si="63"/>
        <v>NC</v>
      </c>
      <c r="S142" s="457"/>
      <c r="T142" s="307" t="str">
        <f t="shared" si="64"/>
        <v>EB</v>
      </c>
      <c r="U142" s="2014"/>
      <c r="V142" s="305" t="str">
        <f t="shared" si="65"/>
        <v>NC</v>
      </c>
      <c r="W142" s="2014"/>
      <c r="X142" s="453" t="str">
        <f t="shared" si="66"/>
        <v>EB</v>
      </c>
      <c r="Y142" s="451" t="str">
        <f t="shared" si="67"/>
        <v>NC</v>
      </c>
      <c r="Z142" s="212"/>
      <c r="AA142" s="272">
        <f>重み_前!M142</f>
        <v>0.40000000000000008</v>
      </c>
      <c r="AB142" s="272">
        <f>重み_後!N142</f>
        <v>0.40000000000000008</v>
      </c>
      <c r="AC142" s="242">
        <f>重み_前!D142</f>
        <v>0.40000000000000008</v>
      </c>
      <c r="AD142" s="242"/>
      <c r="AE142" s="242">
        <f>重み_後!D142</f>
        <v>0.40000000000000008</v>
      </c>
      <c r="AF142" s="242"/>
      <c r="AG142" s="242"/>
      <c r="AH142" s="243">
        <f>重み_前!N142</f>
        <v>0</v>
      </c>
      <c r="AI142" s="243">
        <f>重み_後!O142</f>
        <v>0</v>
      </c>
      <c r="AJ142" s="242">
        <f>重み_前!E142</f>
        <v>0</v>
      </c>
      <c r="AK142" s="242"/>
      <c r="AL142" s="242">
        <f>重み_後!E142</f>
        <v>0</v>
      </c>
    </row>
    <row r="143" spans="1:38" ht="14.25" thickBot="1">
      <c r="A143" s="406"/>
      <c r="B143" s="338"/>
      <c r="C143" s="469">
        <v>1.2</v>
      </c>
      <c r="D143" s="333" t="s">
        <v>746</v>
      </c>
      <c r="E143" s="324"/>
      <c r="F143" s="287" t="s">
        <v>703</v>
      </c>
      <c r="G143" s="287" t="s">
        <v>703</v>
      </c>
      <c r="H143" s="287" t="s">
        <v>704</v>
      </c>
      <c r="I143" s="334"/>
      <c r="J143" s="334"/>
      <c r="K143" s="335"/>
      <c r="L143" s="302" t="str">
        <f>IF(COUNTIF(L144:L145,$AA$3)&gt;=ROWS(L144:L145),$AA$3,"")</f>
        <v/>
      </c>
      <c r="M143" s="336"/>
      <c r="N143" s="316"/>
      <c r="O143" s="335"/>
      <c r="P143" s="316"/>
      <c r="Q143" s="317" t="str">
        <f t="shared" si="62"/>
        <v>EB</v>
      </c>
      <c r="R143" s="318" t="str">
        <f t="shared" si="63"/>
        <v>NC</v>
      </c>
      <c r="S143" s="457"/>
      <c r="T143" s="307">
        <f t="shared" si="64"/>
        <v>0</v>
      </c>
      <c r="U143" s="2014"/>
      <c r="V143" s="305">
        <f t="shared" ref="V143:V158" si="68">IF(S143=$AA$3,$I143,$K143)</f>
        <v>0</v>
      </c>
      <c r="W143" s="2014"/>
      <c r="X143" s="317" t="str">
        <f t="shared" si="66"/>
        <v>EB</v>
      </c>
      <c r="Y143" s="318" t="str">
        <f t="shared" si="67"/>
        <v>NC</v>
      </c>
      <c r="Z143" s="212"/>
      <c r="AA143" s="272">
        <f>重み_前!M143</f>
        <v>0.6</v>
      </c>
      <c r="AB143" s="272">
        <f>重み_後!N143</f>
        <v>0.6</v>
      </c>
      <c r="AC143" s="242">
        <f>重み_前!D143</f>
        <v>0.6</v>
      </c>
      <c r="AD143" s="242"/>
      <c r="AE143" s="242">
        <f>重み_後!D143</f>
        <v>0.6</v>
      </c>
      <c r="AF143" s="242"/>
      <c r="AG143" s="242"/>
      <c r="AH143" s="243">
        <f>重み_前!N143</f>
        <v>0</v>
      </c>
      <c r="AI143" s="243">
        <f>重み_後!O143</f>
        <v>0</v>
      </c>
      <c r="AJ143" s="242">
        <f>重み_前!E143</f>
        <v>0</v>
      </c>
      <c r="AK143" s="242"/>
      <c r="AL143" s="242">
        <f>重み_後!E143</f>
        <v>0</v>
      </c>
    </row>
    <row r="144" spans="1:38" ht="13.5">
      <c r="A144" s="406"/>
      <c r="B144" s="338"/>
      <c r="C144" s="470"/>
      <c r="D144" s="304">
        <v>1</v>
      </c>
      <c r="E144" s="353" t="s">
        <v>705</v>
      </c>
      <c r="F144" s="287" t="s">
        <v>664</v>
      </c>
      <c r="G144" s="287" t="s">
        <v>664</v>
      </c>
      <c r="H144" s="287" t="s">
        <v>544</v>
      </c>
      <c r="I144" s="287" t="s">
        <v>664</v>
      </c>
      <c r="J144" s="287" t="s">
        <v>664</v>
      </c>
      <c r="K144" s="305" t="s">
        <v>544</v>
      </c>
      <c r="L144" s="306"/>
      <c r="M144" s="307" t="str">
        <f>IF(L144=$AA$3,$I144,$J144)</f>
        <v>EB</v>
      </c>
      <c r="N144" s="308">
        <v>3</v>
      </c>
      <c r="O144" s="305" t="str">
        <f>IF(L144=$AA$3,$I144,$K144)</f>
        <v>NC</v>
      </c>
      <c r="P144" s="308">
        <v>3</v>
      </c>
      <c r="Q144" s="309" t="str">
        <f t="shared" si="62"/>
        <v>EB</v>
      </c>
      <c r="R144" s="306" t="str">
        <f t="shared" si="63"/>
        <v>NC</v>
      </c>
      <c r="S144" s="457"/>
      <c r="T144" s="307" t="str">
        <f t="shared" si="64"/>
        <v>EB</v>
      </c>
      <c r="U144" s="2014"/>
      <c r="V144" s="305" t="str">
        <f t="shared" si="68"/>
        <v>NC</v>
      </c>
      <c r="W144" s="2014"/>
      <c r="X144" s="309" t="str">
        <f t="shared" si="66"/>
        <v>EB</v>
      </c>
      <c r="Y144" s="306" t="str">
        <f t="shared" si="67"/>
        <v>NC</v>
      </c>
      <c r="Z144" s="212"/>
      <c r="AA144" s="272">
        <f>重み_前!M144</f>
        <v>0.70000000000000007</v>
      </c>
      <c r="AB144" s="272">
        <f>重み_後!N144</f>
        <v>0.70000000000000007</v>
      </c>
      <c r="AC144" s="242">
        <f>重み_前!D144</f>
        <v>0.70000000000000007</v>
      </c>
      <c r="AD144" s="242"/>
      <c r="AE144" s="242">
        <f>重み_後!D144</f>
        <v>0.70000000000000007</v>
      </c>
      <c r="AF144" s="242"/>
      <c r="AG144" s="242"/>
      <c r="AH144" s="243">
        <f>重み_前!N144</f>
        <v>0</v>
      </c>
      <c r="AI144" s="243">
        <f>重み_後!O144</f>
        <v>0</v>
      </c>
      <c r="AJ144" s="242">
        <f>重み_前!E144</f>
        <v>0</v>
      </c>
      <c r="AK144" s="242"/>
      <c r="AL144" s="242">
        <f>重み_後!E144</f>
        <v>0</v>
      </c>
    </row>
    <row r="145" spans="1:38" ht="14.25" thickBot="1">
      <c r="A145" s="406"/>
      <c r="B145" s="380"/>
      <c r="C145" s="471"/>
      <c r="D145" s="304">
        <v>2</v>
      </c>
      <c r="E145" s="353" t="s">
        <v>745</v>
      </c>
      <c r="F145" s="287" t="s">
        <v>664</v>
      </c>
      <c r="G145" s="287" t="s">
        <v>664</v>
      </c>
      <c r="H145" s="287" t="s">
        <v>544</v>
      </c>
      <c r="I145" s="287" t="s">
        <v>664</v>
      </c>
      <c r="J145" s="287" t="s">
        <v>664</v>
      </c>
      <c r="K145" s="305" t="s">
        <v>544</v>
      </c>
      <c r="L145" s="312"/>
      <c r="M145" s="307" t="str">
        <f>IF(L145=$AA$3,$I145,$J145)</f>
        <v>EB</v>
      </c>
      <c r="N145" s="313">
        <v>3</v>
      </c>
      <c r="O145" s="305" t="str">
        <f>IF(L145=$AA$3,$I145,$K145)</f>
        <v>NC</v>
      </c>
      <c r="P145" s="313">
        <v>3</v>
      </c>
      <c r="Q145" s="314" t="str">
        <f t="shared" si="62"/>
        <v>EB</v>
      </c>
      <c r="R145" s="312" t="str">
        <f t="shared" si="63"/>
        <v>NC</v>
      </c>
      <c r="S145" s="457"/>
      <c r="T145" s="307" t="str">
        <f t="shared" si="64"/>
        <v>EB</v>
      </c>
      <c r="U145" s="2014"/>
      <c r="V145" s="305" t="str">
        <f t="shared" si="68"/>
        <v>NC</v>
      </c>
      <c r="W145" s="2014"/>
      <c r="X145" s="314" t="str">
        <f t="shared" si="66"/>
        <v>EB</v>
      </c>
      <c r="Y145" s="312" t="str">
        <f t="shared" si="67"/>
        <v>NC</v>
      </c>
      <c r="Z145" s="212"/>
      <c r="AA145" s="272">
        <f>重み_前!M145</f>
        <v>0.3</v>
      </c>
      <c r="AB145" s="272">
        <f>重み_後!N145</f>
        <v>0.3</v>
      </c>
      <c r="AC145" s="242">
        <f>重み_前!D145</f>
        <v>0.3</v>
      </c>
      <c r="AD145" s="242"/>
      <c r="AE145" s="242">
        <f>重み_後!D145</f>
        <v>0.3</v>
      </c>
      <c r="AF145" s="242"/>
      <c r="AG145" s="242"/>
      <c r="AH145" s="243">
        <f>重み_前!N145</f>
        <v>0</v>
      </c>
      <c r="AI145" s="243">
        <f>重み_後!O145</f>
        <v>0</v>
      </c>
      <c r="AJ145" s="242">
        <f>重み_前!E145</f>
        <v>0</v>
      </c>
      <c r="AK145" s="242"/>
      <c r="AL145" s="242">
        <f>重み_後!E145</f>
        <v>0</v>
      </c>
    </row>
    <row r="146" spans="1:38" ht="14.25" thickBot="1">
      <c r="A146" s="406"/>
      <c r="B146" s="450">
        <v>2</v>
      </c>
      <c r="C146" s="370" t="s">
        <v>706</v>
      </c>
      <c r="D146" s="370"/>
      <c r="E146" s="472"/>
      <c r="F146" s="287" t="s">
        <v>703</v>
      </c>
      <c r="G146" s="287" t="s">
        <v>703</v>
      </c>
      <c r="H146" s="287" t="s">
        <v>704</v>
      </c>
      <c r="I146" s="334"/>
      <c r="J146" s="334"/>
      <c r="K146" s="335"/>
      <c r="L146" s="383" t="str">
        <f>IF(COUNTIF(L147:L152,$AA$3)&gt;=ROWS(L147:L152),$AA$3,"")</f>
        <v/>
      </c>
      <c r="M146" s="335"/>
      <c r="N146" s="316"/>
      <c r="O146" s="335"/>
      <c r="P146" s="300"/>
      <c r="Q146" s="317" t="str">
        <f t="shared" si="62"/>
        <v>EB</v>
      </c>
      <c r="R146" s="318" t="str">
        <f t="shared" si="63"/>
        <v>NC</v>
      </c>
      <c r="S146" s="457"/>
      <c r="T146" s="307">
        <f t="shared" si="64"/>
        <v>0</v>
      </c>
      <c r="U146" s="2014"/>
      <c r="V146" s="305">
        <f t="shared" si="68"/>
        <v>0</v>
      </c>
      <c r="W146" s="2014"/>
      <c r="X146" s="317" t="str">
        <f t="shared" si="66"/>
        <v>EB</v>
      </c>
      <c r="Y146" s="318" t="str">
        <f t="shared" si="67"/>
        <v>NC</v>
      </c>
      <c r="Z146" s="212"/>
      <c r="AA146" s="272">
        <f>重み_前!M146</f>
        <v>0.6</v>
      </c>
      <c r="AB146" s="272">
        <f>重み_後!N146</f>
        <v>0.6</v>
      </c>
      <c r="AC146" s="242">
        <f>重み_前!D146</f>
        <v>0.6</v>
      </c>
      <c r="AD146" s="242"/>
      <c r="AE146" s="242">
        <f>重み_後!D146</f>
        <v>0.6</v>
      </c>
      <c r="AF146" s="242"/>
      <c r="AG146" s="242"/>
      <c r="AH146" s="243">
        <f>重み_前!N146</f>
        <v>0</v>
      </c>
      <c r="AI146" s="243">
        <f>重み_後!O146</f>
        <v>0</v>
      </c>
      <c r="AJ146" s="242">
        <f>重み_前!E146</f>
        <v>0</v>
      </c>
      <c r="AK146" s="242"/>
      <c r="AL146" s="242">
        <f>重み_後!E146</f>
        <v>0</v>
      </c>
    </row>
    <row r="147" spans="1:38" ht="13.5">
      <c r="A147" s="406"/>
      <c r="B147" s="338"/>
      <c r="C147" s="296">
        <v>2.1</v>
      </c>
      <c r="D147" s="333" t="s">
        <v>707</v>
      </c>
      <c r="E147" s="324"/>
      <c r="F147" s="334" t="s">
        <v>664</v>
      </c>
      <c r="G147" s="334" t="s">
        <v>664</v>
      </c>
      <c r="H147" s="334" t="s">
        <v>544</v>
      </c>
      <c r="I147" s="334" t="s">
        <v>664</v>
      </c>
      <c r="J147" s="334" t="s">
        <v>664</v>
      </c>
      <c r="K147" s="335" t="s">
        <v>544</v>
      </c>
      <c r="L147" s="306"/>
      <c r="M147" s="307" t="str">
        <f t="shared" ref="M147:M152" si="69">IF(L147=$AA$3,$I147,$J147)</f>
        <v>EB</v>
      </c>
      <c r="N147" s="473">
        <v>3</v>
      </c>
      <c r="O147" s="305" t="str">
        <f t="shared" ref="O147:O152" si="70">IF(L147=$AA$3,$I147,$K147)</f>
        <v>NC</v>
      </c>
      <c r="P147" s="473">
        <v>3</v>
      </c>
      <c r="Q147" s="309" t="str">
        <f t="shared" si="62"/>
        <v>EB</v>
      </c>
      <c r="R147" s="308" t="str">
        <f t="shared" si="63"/>
        <v>NC</v>
      </c>
      <c r="S147" s="457"/>
      <c r="T147" s="307" t="str">
        <f t="shared" si="64"/>
        <v>EB</v>
      </c>
      <c r="U147" s="2014"/>
      <c r="V147" s="305" t="str">
        <f t="shared" si="68"/>
        <v>NC</v>
      </c>
      <c r="W147" s="2014"/>
      <c r="X147" s="309" t="str">
        <f t="shared" si="66"/>
        <v>EB</v>
      </c>
      <c r="Y147" s="308" t="str">
        <f t="shared" si="67"/>
        <v>NC</v>
      </c>
      <c r="Z147" s="212"/>
      <c r="AA147" s="272">
        <f>重み_前!M147</f>
        <v>0.10000000000000002</v>
      </c>
      <c r="AB147" s="272">
        <f>重み_後!N147</f>
        <v>0.1</v>
      </c>
      <c r="AC147" s="242">
        <f>重み_前!D147</f>
        <v>9.9999999999999992E-2</v>
      </c>
      <c r="AD147" s="242"/>
      <c r="AE147" s="242">
        <f>重み_後!D147</f>
        <v>0.1</v>
      </c>
      <c r="AF147" s="242"/>
      <c r="AG147" s="242"/>
      <c r="AH147" s="243">
        <f>重み_前!N147</f>
        <v>0</v>
      </c>
      <c r="AI147" s="243">
        <f>重み_後!O147</f>
        <v>0</v>
      </c>
      <c r="AJ147" s="242">
        <f>重み_前!E147</f>
        <v>0</v>
      </c>
      <c r="AK147" s="242"/>
      <c r="AL147" s="242">
        <f>重み_後!E147</f>
        <v>0</v>
      </c>
    </row>
    <row r="148" spans="1:38" ht="13.5">
      <c r="A148" s="406"/>
      <c r="B148" s="347"/>
      <c r="C148" s="323">
        <v>2.2000000000000002</v>
      </c>
      <c r="D148" s="399" t="s">
        <v>708</v>
      </c>
      <c r="E148" s="324"/>
      <c r="F148" s="287" t="s">
        <v>664</v>
      </c>
      <c r="G148" s="287" t="s">
        <v>664</v>
      </c>
      <c r="H148" s="382" t="s">
        <v>709</v>
      </c>
      <c r="I148" s="287" t="s">
        <v>664</v>
      </c>
      <c r="J148" s="287" t="s">
        <v>664</v>
      </c>
      <c r="K148" s="474" t="s">
        <v>709</v>
      </c>
      <c r="L148" s="320"/>
      <c r="M148" s="307" t="str">
        <f t="shared" si="69"/>
        <v>EB</v>
      </c>
      <c r="N148" s="473">
        <v>3</v>
      </c>
      <c r="O148" s="305" t="str">
        <f t="shared" si="70"/>
        <v>EB</v>
      </c>
      <c r="P148" s="473">
        <v>3</v>
      </c>
      <c r="Q148" s="321" t="str">
        <f t="shared" si="62"/>
        <v>EB</v>
      </c>
      <c r="R148" s="320" t="str">
        <f t="shared" si="63"/>
        <v>EB</v>
      </c>
      <c r="S148" s="457"/>
      <c r="T148" s="307" t="str">
        <f t="shared" si="64"/>
        <v>EB</v>
      </c>
      <c r="U148" s="2014"/>
      <c r="V148" s="305" t="str">
        <f t="shared" si="68"/>
        <v>EB</v>
      </c>
      <c r="W148" s="2014"/>
      <c r="X148" s="321" t="str">
        <f t="shared" si="66"/>
        <v>EB</v>
      </c>
      <c r="Y148" s="320" t="str">
        <f t="shared" si="67"/>
        <v>EB</v>
      </c>
      <c r="Z148" s="212"/>
      <c r="AA148" s="272">
        <f>重み_前!M148</f>
        <v>0.20000000000000004</v>
      </c>
      <c r="AB148" s="272">
        <f>重み_後!N148</f>
        <v>0.2</v>
      </c>
      <c r="AC148" s="242">
        <f>重み_前!D148</f>
        <v>0.19999999999999998</v>
      </c>
      <c r="AD148" s="242"/>
      <c r="AE148" s="242">
        <f>重み_後!D148</f>
        <v>0.2</v>
      </c>
      <c r="AF148" s="242"/>
      <c r="AG148" s="242"/>
      <c r="AH148" s="243">
        <f>重み_前!N148</f>
        <v>0</v>
      </c>
      <c r="AI148" s="243">
        <f>重み_後!O148</f>
        <v>0</v>
      </c>
      <c r="AJ148" s="242">
        <f>重み_前!E148</f>
        <v>0</v>
      </c>
      <c r="AK148" s="242"/>
      <c r="AL148" s="242">
        <f>重み_後!E148</f>
        <v>0</v>
      </c>
    </row>
    <row r="149" spans="1:38" ht="13.5">
      <c r="A149" s="406"/>
      <c r="B149" s="338"/>
      <c r="C149" s="296">
        <v>2.2999999999999998</v>
      </c>
      <c r="D149" s="333" t="s">
        <v>710</v>
      </c>
      <c r="E149" s="324"/>
      <c r="F149" s="287" t="s">
        <v>664</v>
      </c>
      <c r="G149" s="287" t="s">
        <v>664</v>
      </c>
      <c r="H149" s="287" t="s">
        <v>544</v>
      </c>
      <c r="I149" s="287" t="s">
        <v>664</v>
      </c>
      <c r="J149" s="287" t="s">
        <v>664</v>
      </c>
      <c r="K149" s="305" t="s">
        <v>544</v>
      </c>
      <c r="L149" s="320"/>
      <c r="M149" s="307" t="str">
        <f t="shared" si="69"/>
        <v>EB</v>
      </c>
      <c r="N149" s="320">
        <v>3</v>
      </c>
      <c r="O149" s="305" t="str">
        <f t="shared" si="70"/>
        <v>NC</v>
      </c>
      <c r="P149" s="320">
        <v>3</v>
      </c>
      <c r="Q149" s="320" t="str">
        <f t="shared" si="62"/>
        <v>EB</v>
      </c>
      <c r="R149" s="320" t="str">
        <f t="shared" si="63"/>
        <v>NC</v>
      </c>
      <c r="S149" s="457"/>
      <c r="T149" s="307" t="str">
        <f t="shared" si="64"/>
        <v>EB</v>
      </c>
      <c r="U149" s="2014"/>
      <c r="V149" s="305" t="str">
        <f t="shared" si="68"/>
        <v>NC</v>
      </c>
      <c r="W149" s="2014"/>
      <c r="X149" s="320" t="str">
        <f t="shared" si="66"/>
        <v>EB</v>
      </c>
      <c r="Y149" s="320" t="str">
        <f t="shared" si="67"/>
        <v>NC</v>
      </c>
      <c r="Z149" s="212"/>
      <c r="AA149" s="272">
        <f>重み_前!M149</f>
        <v>0.20000000000000004</v>
      </c>
      <c r="AB149" s="272">
        <f>重み_後!N149</f>
        <v>0.2</v>
      </c>
      <c r="AC149" s="242">
        <f>重み_前!D149</f>
        <v>0.19999999999999998</v>
      </c>
      <c r="AD149" s="242"/>
      <c r="AE149" s="242">
        <f>重み_後!D149</f>
        <v>0.2</v>
      </c>
      <c r="AF149" s="242"/>
      <c r="AG149" s="242"/>
      <c r="AH149" s="243">
        <f>重み_前!N149</f>
        <v>0</v>
      </c>
      <c r="AI149" s="243">
        <f>重み_後!O149</f>
        <v>0</v>
      </c>
      <c r="AJ149" s="242">
        <f>重み_前!E149</f>
        <v>0</v>
      </c>
      <c r="AK149" s="242"/>
      <c r="AL149" s="242">
        <f>重み_後!E149</f>
        <v>0</v>
      </c>
    </row>
    <row r="150" spans="1:38" ht="13.5">
      <c r="A150" s="406"/>
      <c r="B150" s="338"/>
      <c r="C150" s="323">
        <v>2.4</v>
      </c>
      <c r="D150" s="2008" t="s">
        <v>1685</v>
      </c>
      <c r="E150" s="324"/>
      <c r="F150" s="287" t="s">
        <v>664</v>
      </c>
      <c r="G150" s="287" t="s">
        <v>664</v>
      </c>
      <c r="H150" s="287" t="s">
        <v>544</v>
      </c>
      <c r="I150" s="287" t="s">
        <v>664</v>
      </c>
      <c r="J150" s="287" t="s">
        <v>664</v>
      </c>
      <c r="K150" s="305" t="s">
        <v>544</v>
      </c>
      <c r="L150" s="320"/>
      <c r="M150" s="307" t="str">
        <f t="shared" si="69"/>
        <v>EB</v>
      </c>
      <c r="N150" s="320">
        <v>3</v>
      </c>
      <c r="O150" s="305" t="str">
        <f t="shared" si="70"/>
        <v>NC</v>
      </c>
      <c r="P150" s="320">
        <v>3</v>
      </c>
      <c r="Q150" s="320" t="str">
        <f t="shared" si="62"/>
        <v>EB</v>
      </c>
      <c r="R150" s="320" t="str">
        <f t="shared" si="63"/>
        <v>NC</v>
      </c>
      <c r="S150" s="457"/>
      <c r="T150" s="307" t="str">
        <f t="shared" si="64"/>
        <v>EB</v>
      </c>
      <c r="U150" s="2014"/>
      <c r="V150" s="305" t="str">
        <f t="shared" si="68"/>
        <v>NC</v>
      </c>
      <c r="W150" s="2014"/>
      <c r="X150" s="320" t="str">
        <f t="shared" si="66"/>
        <v>EB</v>
      </c>
      <c r="Y150" s="320" t="str">
        <f t="shared" si="67"/>
        <v>NC</v>
      </c>
      <c r="Z150" s="212"/>
      <c r="AA150" s="272">
        <f>重み_前!M150</f>
        <v>0.20000000000000004</v>
      </c>
      <c r="AB150" s="272">
        <f>重み_後!N150</f>
        <v>0.2</v>
      </c>
      <c r="AC150" s="242">
        <f>重み_前!D150</f>
        <v>0.19999999999999998</v>
      </c>
      <c r="AD150" s="242"/>
      <c r="AE150" s="242">
        <f>重み_後!D150</f>
        <v>0.2</v>
      </c>
      <c r="AF150" s="242"/>
      <c r="AG150" s="242"/>
      <c r="AH150" s="243">
        <f>重み_前!N150</f>
        <v>0</v>
      </c>
      <c r="AI150" s="243">
        <f>重み_後!O150</f>
        <v>0</v>
      </c>
      <c r="AJ150" s="242">
        <f>重み_前!E150</f>
        <v>0</v>
      </c>
      <c r="AK150" s="242"/>
      <c r="AL150" s="242">
        <f>重み_後!E150</f>
        <v>0</v>
      </c>
    </row>
    <row r="151" spans="1:38" ht="13.5">
      <c r="A151" s="406"/>
      <c r="B151" s="347"/>
      <c r="C151" s="352">
        <v>2.5</v>
      </c>
      <c r="D151" s="399" t="s">
        <v>711</v>
      </c>
      <c r="E151" s="324"/>
      <c r="F151" s="287" t="s">
        <v>664</v>
      </c>
      <c r="G151" s="287" t="s">
        <v>664</v>
      </c>
      <c r="H151" s="287" t="s">
        <v>544</v>
      </c>
      <c r="I151" s="287" t="s">
        <v>664</v>
      </c>
      <c r="J151" s="287" t="s">
        <v>664</v>
      </c>
      <c r="K151" s="305" t="s">
        <v>544</v>
      </c>
      <c r="L151" s="320"/>
      <c r="M151" s="307" t="str">
        <f t="shared" si="69"/>
        <v>EB</v>
      </c>
      <c r="N151" s="473">
        <v>3</v>
      </c>
      <c r="O151" s="305" t="str">
        <f t="shared" si="70"/>
        <v>NC</v>
      </c>
      <c r="P151" s="473">
        <v>3</v>
      </c>
      <c r="Q151" s="320" t="str">
        <f t="shared" si="62"/>
        <v>EB</v>
      </c>
      <c r="R151" s="320" t="str">
        <f t="shared" si="63"/>
        <v>NC</v>
      </c>
      <c r="S151" s="457"/>
      <c r="T151" s="307" t="str">
        <f t="shared" si="64"/>
        <v>EB</v>
      </c>
      <c r="U151" s="2014"/>
      <c r="V151" s="305" t="str">
        <f t="shared" si="68"/>
        <v>NC</v>
      </c>
      <c r="W151" s="2014"/>
      <c r="X151" s="320" t="str">
        <f t="shared" si="66"/>
        <v>EB</v>
      </c>
      <c r="Y151" s="320" t="str">
        <f t="shared" si="67"/>
        <v>NC</v>
      </c>
      <c r="Z151" s="212"/>
      <c r="AA151" s="272">
        <f>重み_前!M151</f>
        <v>0.10000000000000002</v>
      </c>
      <c r="AB151" s="272">
        <f>重み_後!N151</f>
        <v>0.1</v>
      </c>
      <c r="AC151" s="242">
        <f>重み_前!D151</f>
        <v>9.9999999999999992E-2</v>
      </c>
      <c r="AD151" s="242"/>
      <c r="AE151" s="242">
        <f>重み_後!D151</f>
        <v>0.1</v>
      </c>
      <c r="AF151" s="242"/>
      <c r="AG151" s="242"/>
      <c r="AH151" s="243">
        <f>重み_前!N151</f>
        <v>0</v>
      </c>
      <c r="AI151" s="243">
        <f>重み_後!O151</f>
        <v>0</v>
      </c>
      <c r="AJ151" s="242">
        <f>重み_前!E151</f>
        <v>0</v>
      </c>
      <c r="AK151" s="242"/>
      <c r="AL151" s="242">
        <f>重み_後!E151</f>
        <v>0</v>
      </c>
    </row>
    <row r="152" spans="1:38" ht="14.25" thickBot="1">
      <c r="A152" s="406"/>
      <c r="B152" s="475"/>
      <c r="C152" s="323">
        <v>2.6</v>
      </c>
      <c r="D152" s="399" t="s">
        <v>712</v>
      </c>
      <c r="E152" s="324"/>
      <c r="F152" s="287" t="s">
        <v>664</v>
      </c>
      <c r="G152" s="287" t="s">
        <v>664</v>
      </c>
      <c r="H152" s="287" t="s">
        <v>544</v>
      </c>
      <c r="I152" s="287" t="s">
        <v>664</v>
      </c>
      <c r="J152" s="287" t="s">
        <v>664</v>
      </c>
      <c r="K152" s="305" t="s">
        <v>544</v>
      </c>
      <c r="L152" s="313"/>
      <c r="M152" s="307" t="str">
        <f t="shared" si="69"/>
        <v>EB</v>
      </c>
      <c r="N152" s="325">
        <v>3</v>
      </c>
      <c r="O152" s="305" t="str">
        <f t="shared" si="70"/>
        <v>NC</v>
      </c>
      <c r="P152" s="325">
        <v>3</v>
      </c>
      <c r="Q152" s="313" t="str">
        <f t="shared" si="62"/>
        <v>EB</v>
      </c>
      <c r="R152" s="313" t="str">
        <f t="shared" si="63"/>
        <v>NC</v>
      </c>
      <c r="S152" s="457"/>
      <c r="T152" s="307" t="str">
        <f t="shared" si="64"/>
        <v>EB</v>
      </c>
      <c r="U152" s="2014"/>
      <c r="V152" s="305" t="str">
        <f t="shared" si="68"/>
        <v>NC</v>
      </c>
      <c r="W152" s="2014"/>
      <c r="X152" s="313" t="str">
        <f t="shared" si="66"/>
        <v>EB</v>
      </c>
      <c r="Y152" s="313" t="str">
        <f t="shared" si="67"/>
        <v>NC</v>
      </c>
      <c r="Z152" s="212"/>
      <c r="AA152" s="272">
        <f>重み_前!M152</f>
        <v>0.20000000000000004</v>
      </c>
      <c r="AB152" s="272">
        <f>重み_後!N152</f>
        <v>0.2</v>
      </c>
      <c r="AC152" s="242">
        <f>重み_前!D152</f>
        <v>0.19999999999999998</v>
      </c>
      <c r="AD152" s="242"/>
      <c r="AE152" s="242">
        <f>重み_後!D152</f>
        <v>0.2</v>
      </c>
      <c r="AF152" s="242"/>
      <c r="AG152" s="242"/>
      <c r="AH152" s="243">
        <f>重み_前!N152</f>
        <v>0</v>
      </c>
      <c r="AI152" s="243">
        <f>重み_後!O152</f>
        <v>0</v>
      </c>
      <c r="AJ152" s="242">
        <f>重み_前!E152</f>
        <v>0</v>
      </c>
      <c r="AK152" s="242"/>
      <c r="AL152" s="242">
        <f>重み_後!E152</f>
        <v>0</v>
      </c>
    </row>
    <row r="153" spans="1:38" ht="14.25" thickBot="1">
      <c r="A153" s="406"/>
      <c r="B153" s="450">
        <v>3</v>
      </c>
      <c r="C153" s="370" t="s">
        <v>713</v>
      </c>
      <c r="D153" s="370"/>
      <c r="E153" s="472"/>
      <c r="F153" s="287" t="s">
        <v>609</v>
      </c>
      <c r="G153" s="287" t="s">
        <v>609</v>
      </c>
      <c r="H153" s="287" t="s">
        <v>610</v>
      </c>
      <c r="I153" s="287"/>
      <c r="J153" s="287"/>
      <c r="K153" s="305"/>
      <c r="L153" s="302" t="str">
        <f>IF(COUNTIF(L154:L155,$AA$3)&gt;=ROWS(L154:L155),$AA$3,"")</f>
        <v/>
      </c>
      <c r="M153" s="336"/>
      <c r="N153" s="316"/>
      <c r="O153" s="335"/>
      <c r="P153" s="316"/>
      <c r="Q153" s="317" t="str">
        <f t="shared" si="62"/>
        <v>EB</v>
      </c>
      <c r="R153" s="318" t="str">
        <f t="shared" si="63"/>
        <v>NC</v>
      </c>
      <c r="S153" s="457"/>
      <c r="T153" s="307">
        <f t="shared" si="64"/>
        <v>0</v>
      </c>
      <c r="U153" s="2014"/>
      <c r="V153" s="305">
        <f t="shared" si="68"/>
        <v>0</v>
      </c>
      <c r="W153" s="2014"/>
      <c r="X153" s="317" t="str">
        <f t="shared" si="66"/>
        <v>EB</v>
      </c>
      <c r="Y153" s="318" t="str">
        <f t="shared" si="67"/>
        <v>NC</v>
      </c>
      <c r="Z153" s="212"/>
      <c r="AA153" s="272">
        <f>重み_前!M153</f>
        <v>0.20000000000000004</v>
      </c>
      <c r="AB153" s="272">
        <f>重み_後!N153</f>
        <v>0.2</v>
      </c>
      <c r="AC153" s="242">
        <f>重み_前!D153</f>
        <v>0.20000000000000004</v>
      </c>
      <c r="AD153" s="242"/>
      <c r="AE153" s="242">
        <f>重み_後!D153</f>
        <v>0.2</v>
      </c>
      <c r="AF153" s="242"/>
      <c r="AG153" s="242"/>
      <c r="AH153" s="243">
        <f>重み_前!N153</f>
        <v>0</v>
      </c>
      <c r="AI153" s="243">
        <f>重み_後!O153</f>
        <v>0</v>
      </c>
      <c r="AJ153" s="242">
        <f>重み_前!E153</f>
        <v>0</v>
      </c>
      <c r="AK153" s="242"/>
      <c r="AL153" s="242">
        <f>重み_後!E153</f>
        <v>0</v>
      </c>
    </row>
    <row r="154" spans="1:38" ht="14.25" thickBot="1">
      <c r="A154" s="406"/>
      <c r="B154" s="347"/>
      <c r="C154" s="323">
        <v>3.1</v>
      </c>
      <c r="D154" s="399" t="s">
        <v>714</v>
      </c>
      <c r="E154" s="324"/>
      <c r="F154" s="287" t="s">
        <v>664</v>
      </c>
      <c r="G154" s="287" t="s">
        <v>664</v>
      </c>
      <c r="H154" s="287" t="s">
        <v>544</v>
      </c>
      <c r="I154" s="287" t="s">
        <v>664</v>
      </c>
      <c r="J154" s="287" t="s">
        <v>664</v>
      </c>
      <c r="K154" s="305" t="s">
        <v>544</v>
      </c>
      <c r="L154" s="451"/>
      <c r="M154" s="307" t="str">
        <f>IF(L154=$AA$3,$I154,$J154)</f>
        <v>EB</v>
      </c>
      <c r="N154" s="452">
        <v>3</v>
      </c>
      <c r="O154" s="305" t="str">
        <f>IF(L154=$AA$3,$I154,$K154)</f>
        <v>NC</v>
      </c>
      <c r="P154" s="452">
        <v>3</v>
      </c>
      <c r="Q154" s="453" t="str">
        <f t="shared" si="62"/>
        <v>EB</v>
      </c>
      <c r="R154" s="451" t="str">
        <f t="shared" si="63"/>
        <v>NC</v>
      </c>
      <c r="S154" s="457"/>
      <c r="T154" s="307" t="str">
        <f t="shared" si="64"/>
        <v>EB</v>
      </c>
      <c r="U154" s="2014"/>
      <c r="V154" s="305" t="str">
        <f t="shared" si="68"/>
        <v>NC</v>
      </c>
      <c r="W154" s="2014"/>
      <c r="X154" s="453" t="str">
        <f t="shared" si="66"/>
        <v>EB</v>
      </c>
      <c r="Y154" s="451" t="str">
        <f t="shared" si="67"/>
        <v>NC</v>
      </c>
      <c r="Z154" s="212"/>
      <c r="AA154" s="272">
        <f>重み_前!M154</f>
        <v>0.3</v>
      </c>
      <c r="AB154" s="272">
        <f>重み_後!N154</f>
        <v>0.29999999999999993</v>
      </c>
      <c r="AC154" s="242">
        <f>重み_前!D154</f>
        <v>0.3</v>
      </c>
      <c r="AD154" s="242"/>
      <c r="AE154" s="242">
        <f>重み_後!D154</f>
        <v>0.3</v>
      </c>
      <c r="AF154" s="242"/>
      <c r="AG154" s="242"/>
      <c r="AH154" s="243">
        <f>重み_前!N154</f>
        <v>0</v>
      </c>
      <c r="AI154" s="243">
        <f>重み_後!O154</f>
        <v>0</v>
      </c>
      <c r="AJ154" s="242">
        <f>重み_前!E154</f>
        <v>0</v>
      </c>
      <c r="AK154" s="242"/>
      <c r="AL154" s="242">
        <f>重み_後!E154</f>
        <v>0</v>
      </c>
    </row>
    <row r="155" spans="1:38" ht="14.25" thickBot="1">
      <c r="A155" s="406"/>
      <c r="B155" s="347"/>
      <c r="C155" s="296">
        <v>3.2</v>
      </c>
      <c r="D155" s="399" t="s">
        <v>715</v>
      </c>
      <c r="E155" s="297"/>
      <c r="F155" s="287" t="s">
        <v>709</v>
      </c>
      <c r="G155" s="287" t="s">
        <v>709</v>
      </c>
      <c r="H155" s="287" t="s">
        <v>716</v>
      </c>
      <c r="I155" s="334"/>
      <c r="J155" s="334"/>
      <c r="K155" s="335"/>
      <c r="L155" s="299" t="str">
        <f>IF(COUNTIF(L156:L158,$AA$3)&gt;=ROWS(L156:L158),$AA$3,"")</f>
        <v/>
      </c>
      <c r="M155" s="336"/>
      <c r="N155" s="316"/>
      <c r="O155" s="335"/>
      <c r="P155" s="316"/>
      <c r="Q155" s="317" t="str">
        <f t="shared" si="62"/>
        <v>EB</v>
      </c>
      <c r="R155" s="318" t="str">
        <f t="shared" si="63"/>
        <v>NC</v>
      </c>
      <c r="S155" s="457"/>
      <c r="T155" s="307">
        <f t="shared" si="64"/>
        <v>0</v>
      </c>
      <c r="U155" s="2014"/>
      <c r="V155" s="305">
        <f t="shared" si="68"/>
        <v>0</v>
      </c>
      <c r="W155" s="2014"/>
      <c r="X155" s="317" t="str">
        <f t="shared" si="66"/>
        <v>EB</v>
      </c>
      <c r="Y155" s="318" t="str">
        <f t="shared" si="67"/>
        <v>NC</v>
      </c>
      <c r="Z155" s="212"/>
      <c r="AA155" s="272">
        <f>重み_前!M155</f>
        <v>0.70000000000000007</v>
      </c>
      <c r="AB155" s="272">
        <f>重み_後!N155</f>
        <v>0.7</v>
      </c>
      <c r="AC155" s="242">
        <f>重み_前!D155</f>
        <v>0.70000000000000007</v>
      </c>
      <c r="AD155" s="242"/>
      <c r="AE155" s="242">
        <f>重み_後!D155</f>
        <v>0.70000000000000007</v>
      </c>
      <c r="AF155" s="242"/>
      <c r="AG155" s="242"/>
      <c r="AH155" s="243">
        <f>重み_前!N155</f>
        <v>0</v>
      </c>
      <c r="AI155" s="243">
        <f>重み_後!O155</f>
        <v>0</v>
      </c>
      <c r="AJ155" s="242">
        <f>重み_前!E155</f>
        <v>0</v>
      </c>
      <c r="AK155" s="242"/>
      <c r="AL155" s="242">
        <f>重み_後!E155</f>
        <v>0</v>
      </c>
    </row>
    <row r="156" spans="1:38" ht="13.5">
      <c r="A156" s="406"/>
      <c r="B156" s="347"/>
      <c r="C156" s="303"/>
      <c r="D156" s="304">
        <v>1</v>
      </c>
      <c r="E156" s="324" t="s">
        <v>717</v>
      </c>
      <c r="F156" s="287" t="s">
        <v>664</v>
      </c>
      <c r="G156" s="287" t="s">
        <v>664</v>
      </c>
      <c r="H156" s="287" t="s">
        <v>544</v>
      </c>
      <c r="I156" s="287" t="s">
        <v>664</v>
      </c>
      <c r="J156" s="287" t="s">
        <v>664</v>
      </c>
      <c r="K156" s="305" t="s">
        <v>544</v>
      </c>
      <c r="L156" s="306"/>
      <c r="M156" s="307" t="str">
        <f>IF(L156=$AA$3,$I156,$J156)</f>
        <v>EB</v>
      </c>
      <c r="N156" s="308">
        <v>3</v>
      </c>
      <c r="O156" s="305" t="str">
        <f>IF(L156=$AA$3,$I156,$K156)</f>
        <v>NC</v>
      </c>
      <c r="P156" s="308">
        <v>3</v>
      </c>
      <c r="Q156" s="309" t="str">
        <f t="shared" si="62"/>
        <v>EB</v>
      </c>
      <c r="R156" s="306" t="str">
        <f t="shared" si="63"/>
        <v>NC</v>
      </c>
      <c r="S156" s="457"/>
      <c r="T156" s="307" t="str">
        <f t="shared" si="64"/>
        <v>EB</v>
      </c>
      <c r="U156" s="2014"/>
      <c r="V156" s="305" t="str">
        <f t="shared" si="68"/>
        <v>NC</v>
      </c>
      <c r="W156" s="2014"/>
      <c r="X156" s="309" t="str">
        <f t="shared" si="66"/>
        <v>EB</v>
      </c>
      <c r="Y156" s="306" t="str">
        <f t="shared" si="67"/>
        <v>NC</v>
      </c>
      <c r="Z156" s="212"/>
      <c r="AA156" s="272">
        <f>重み_前!M156</f>
        <v>0.33333333333333337</v>
      </c>
      <c r="AB156" s="272">
        <f>重み_後!N156</f>
        <v>0.33333333333333337</v>
      </c>
      <c r="AC156" s="242">
        <f>重み_前!D156</f>
        <v>0.33333333333333337</v>
      </c>
      <c r="AD156" s="242"/>
      <c r="AE156" s="242">
        <f>重み_後!D156</f>
        <v>0.33333333333333337</v>
      </c>
      <c r="AF156" s="242"/>
      <c r="AG156" s="242"/>
      <c r="AH156" s="243">
        <f>重み_前!N156</f>
        <v>0</v>
      </c>
      <c r="AI156" s="243">
        <f>重み_後!O156</f>
        <v>0</v>
      </c>
      <c r="AJ156" s="242">
        <f>重み_前!E156</f>
        <v>0</v>
      </c>
      <c r="AK156" s="242"/>
      <c r="AL156" s="242">
        <f>重み_後!E156</f>
        <v>0</v>
      </c>
    </row>
    <row r="157" spans="1:38" ht="13.5">
      <c r="A157" s="406"/>
      <c r="B157" s="347"/>
      <c r="C157" s="303"/>
      <c r="D157" s="304">
        <v>2</v>
      </c>
      <c r="E157" s="324" t="s">
        <v>744</v>
      </c>
      <c r="F157" s="287" t="s">
        <v>664</v>
      </c>
      <c r="G157" s="287" t="s">
        <v>664</v>
      </c>
      <c r="H157" s="287" t="s">
        <v>544</v>
      </c>
      <c r="I157" s="287" t="s">
        <v>664</v>
      </c>
      <c r="J157" s="287" t="s">
        <v>664</v>
      </c>
      <c r="K157" s="305" t="s">
        <v>544</v>
      </c>
      <c r="L157" s="319"/>
      <c r="M157" s="307" t="str">
        <f>IF(L157=$AA$3,$I157,$J157)</f>
        <v>EB</v>
      </c>
      <c r="N157" s="320">
        <v>3</v>
      </c>
      <c r="O157" s="305" t="str">
        <f>IF(L157=$AA$3,$I157,$K157)</f>
        <v>NC</v>
      </c>
      <c r="P157" s="320">
        <v>3</v>
      </c>
      <c r="Q157" s="321" t="str">
        <f t="shared" si="62"/>
        <v>EB</v>
      </c>
      <c r="R157" s="319" t="str">
        <f t="shared" si="63"/>
        <v>NC</v>
      </c>
      <c r="S157" s="457"/>
      <c r="T157" s="307" t="str">
        <f t="shared" si="64"/>
        <v>EB</v>
      </c>
      <c r="U157" s="2014"/>
      <c r="V157" s="305" t="str">
        <f t="shared" si="68"/>
        <v>NC</v>
      </c>
      <c r="W157" s="2014"/>
      <c r="X157" s="321" t="str">
        <f t="shared" si="66"/>
        <v>EB</v>
      </c>
      <c r="Y157" s="319" t="str">
        <f t="shared" si="67"/>
        <v>NC</v>
      </c>
      <c r="Z157" s="212"/>
      <c r="AA157" s="272">
        <f>重み_前!M157</f>
        <v>0.33333333333333337</v>
      </c>
      <c r="AB157" s="272">
        <f>重み_後!N157</f>
        <v>0.33333333333333337</v>
      </c>
      <c r="AC157" s="242">
        <f>重み_前!D157</f>
        <v>0.33333333333333337</v>
      </c>
      <c r="AD157" s="242"/>
      <c r="AE157" s="242">
        <f>重み_後!D157</f>
        <v>0.33333333333333337</v>
      </c>
      <c r="AF157" s="242"/>
      <c r="AG157" s="242"/>
      <c r="AH157" s="243">
        <f>重み_前!N157</f>
        <v>0</v>
      </c>
      <c r="AI157" s="243">
        <f>重み_後!O157</f>
        <v>0</v>
      </c>
      <c r="AJ157" s="242">
        <f>重み_前!E157</f>
        <v>0</v>
      </c>
      <c r="AK157" s="242"/>
      <c r="AL157" s="242">
        <f>重み_後!E157</f>
        <v>0</v>
      </c>
    </row>
    <row r="158" spans="1:38" ht="14.25" thickBot="1">
      <c r="A158" s="406"/>
      <c r="B158" s="476"/>
      <c r="C158" s="355"/>
      <c r="D158" s="356">
        <v>3</v>
      </c>
      <c r="E158" s="357" t="s">
        <v>718</v>
      </c>
      <c r="F158" s="287" t="s">
        <v>664</v>
      </c>
      <c r="G158" s="287" t="s">
        <v>664</v>
      </c>
      <c r="H158" s="287" t="s">
        <v>544</v>
      </c>
      <c r="I158" s="287" t="s">
        <v>664</v>
      </c>
      <c r="J158" s="287" t="s">
        <v>664</v>
      </c>
      <c r="K158" s="305" t="s">
        <v>544</v>
      </c>
      <c r="L158" s="312"/>
      <c r="M158" s="307" t="str">
        <f>IF(L158=$AA$3,$I158,$J158)</f>
        <v>EB</v>
      </c>
      <c r="N158" s="313">
        <v>3</v>
      </c>
      <c r="O158" s="305" t="str">
        <f>IF(L158=$AA$3,$I158,$K158)</f>
        <v>NC</v>
      </c>
      <c r="P158" s="313">
        <v>3</v>
      </c>
      <c r="Q158" s="314" t="str">
        <f t="shared" si="62"/>
        <v>EB</v>
      </c>
      <c r="R158" s="312" t="str">
        <f t="shared" si="63"/>
        <v>NC</v>
      </c>
      <c r="S158" s="457"/>
      <c r="T158" s="307" t="str">
        <f t="shared" si="64"/>
        <v>EB</v>
      </c>
      <c r="U158" s="300"/>
      <c r="V158" s="305" t="str">
        <f t="shared" si="68"/>
        <v>NC</v>
      </c>
      <c r="W158" s="300"/>
      <c r="X158" s="314" t="str">
        <f t="shared" si="66"/>
        <v>EB</v>
      </c>
      <c r="Y158" s="312" t="str">
        <f t="shared" si="67"/>
        <v>NC</v>
      </c>
      <c r="Z158" s="212"/>
      <c r="AA158" s="272">
        <f>重み_前!M158</f>
        <v>0.33333333333333337</v>
      </c>
      <c r="AB158" s="272">
        <f>重み_後!N158</f>
        <v>0.33333333333333337</v>
      </c>
      <c r="AC158" s="242">
        <f>重み_前!D158</f>
        <v>0.33333333333333337</v>
      </c>
      <c r="AD158" s="242"/>
      <c r="AE158" s="242">
        <f>重み_後!D158</f>
        <v>0.33333333333333337</v>
      </c>
      <c r="AF158" s="242"/>
      <c r="AG158" s="242"/>
      <c r="AH158" s="243">
        <f>重み_前!N158</f>
        <v>0</v>
      </c>
      <c r="AI158" s="243">
        <f>重み_後!O158</f>
        <v>0</v>
      </c>
      <c r="AJ158" s="242">
        <f>重み_前!E158</f>
        <v>0</v>
      </c>
      <c r="AK158" s="242"/>
      <c r="AL158" s="242">
        <f>重み_後!E158</f>
        <v>0</v>
      </c>
    </row>
    <row r="159" spans="1:38" ht="14.25" thickBot="1">
      <c r="A159" s="406"/>
      <c r="B159" s="360" t="s">
        <v>383</v>
      </c>
      <c r="C159" s="407" t="s">
        <v>384</v>
      </c>
      <c r="D159" s="407"/>
      <c r="E159" s="407"/>
      <c r="F159" s="362"/>
      <c r="G159" s="362"/>
      <c r="H159" s="362"/>
      <c r="I159" s="362"/>
      <c r="J159" s="362"/>
      <c r="K159" s="363"/>
      <c r="L159" s="477"/>
      <c r="M159" s="364"/>
      <c r="N159" s="478"/>
      <c r="O159" s="363"/>
      <c r="P159" s="478"/>
      <c r="Q159" s="479"/>
      <c r="R159" s="480"/>
      <c r="S159" s="481"/>
      <c r="T159" s="364"/>
      <c r="U159" s="366"/>
      <c r="V159" s="363"/>
      <c r="W159" s="366"/>
      <c r="X159" s="479"/>
      <c r="Y159" s="480"/>
      <c r="Z159" s="212"/>
      <c r="AA159" s="272">
        <f>重み_前!M159</f>
        <v>0.3</v>
      </c>
      <c r="AB159" s="272">
        <f>重み_後!N159</f>
        <v>0.3</v>
      </c>
      <c r="AC159" s="242" t="e">
        <f>重み_前!D159</f>
        <v>#VALUE!</v>
      </c>
      <c r="AD159" s="242"/>
      <c r="AE159" s="242" t="e">
        <f>重み_後!D159</f>
        <v>#VALUE!</v>
      </c>
      <c r="AF159" s="242"/>
      <c r="AG159" s="242"/>
      <c r="AH159" s="243">
        <f>重み_前!N159</f>
        <v>0</v>
      </c>
      <c r="AI159" s="243">
        <f>重み_後!O159</f>
        <v>0</v>
      </c>
      <c r="AJ159" s="242">
        <f>重み_前!E159</f>
        <v>0</v>
      </c>
      <c r="AK159" s="242"/>
      <c r="AL159" s="242">
        <f>重み_後!E159</f>
        <v>0</v>
      </c>
    </row>
    <row r="160" spans="1:38" ht="14.25" thickBot="1">
      <c r="A160" s="406"/>
      <c r="B160" s="482">
        <v>1</v>
      </c>
      <c r="C160" s="414" t="s">
        <v>719</v>
      </c>
      <c r="D160" s="414"/>
      <c r="E160" s="414"/>
      <c r="F160" s="287" t="s">
        <v>664</v>
      </c>
      <c r="G160" s="287" t="s">
        <v>664</v>
      </c>
      <c r="H160" s="287" t="s">
        <v>544</v>
      </c>
      <c r="I160" s="287" t="s">
        <v>664</v>
      </c>
      <c r="J160" s="287" t="s">
        <v>664</v>
      </c>
      <c r="K160" s="305" t="s">
        <v>544</v>
      </c>
      <c r="L160" s="451"/>
      <c r="M160" s="307" t="str">
        <f>IF(L160=$AA$3,$I160,$J160)</f>
        <v>EB</v>
      </c>
      <c r="N160" s="483"/>
      <c r="O160" s="305" t="str">
        <f>IF(L160=$AA$3,$I160,$K160)</f>
        <v>NC</v>
      </c>
      <c r="P160" s="483"/>
      <c r="Q160" s="453" t="str">
        <f t="shared" ref="Q160:Q180" si="71">IF(L160=$AA$3,$F160,$G160)</f>
        <v>EB</v>
      </c>
      <c r="R160" s="451" t="str">
        <f t="shared" ref="R160:R180" si="72">IF(L160=$AA$3,$F160,$H160)</f>
        <v>NC</v>
      </c>
      <c r="S160" s="457"/>
      <c r="T160" s="307" t="str">
        <f t="shared" si="64"/>
        <v>EB</v>
      </c>
      <c r="U160" s="449"/>
      <c r="V160" s="305" t="str">
        <f t="shared" ref="V160:V161" si="73">IF(S160=$AA$3,$I160,$K160)</f>
        <v>NC</v>
      </c>
      <c r="W160" s="449"/>
      <c r="X160" s="453" t="str">
        <f t="shared" ref="X160:X180" si="74">IF(S160=$AA$3,$F160,$G160)</f>
        <v>EB</v>
      </c>
      <c r="Y160" s="451" t="str">
        <f t="shared" ref="Y160:Y180" si="75">IF(S160=$AA$3,$F160,$H160)</f>
        <v>NC</v>
      </c>
      <c r="Z160" s="212"/>
      <c r="AA160" s="272">
        <f>重み_前!M160</f>
        <v>0.33333333333333337</v>
      </c>
      <c r="AB160" s="272">
        <f>重み_後!N160</f>
        <v>0.33333333333333331</v>
      </c>
      <c r="AC160" s="242" t="e">
        <f>重み_前!D160</f>
        <v>#VALUE!</v>
      </c>
      <c r="AD160" s="242"/>
      <c r="AE160" s="242" t="e">
        <f>重み_後!D160</f>
        <v>#VALUE!</v>
      </c>
      <c r="AF160" s="242"/>
      <c r="AG160" s="242"/>
      <c r="AH160" s="243">
        <f>重み_前!N160</f>
        <v>0</v>
      </c>
      <c r="AI160" s="243">
        <f>重み_後!O160</f>
        <v>0</v>
      </c>
      <c r="AJ160" s="242">
        <f>重み_前!E160</f>
        <v>0</v>
      </c>
      <c r="AK160" s="242"/>
      <c r="AL160" s="242">
        <f>重み_後!E160</f>
        <v>0</v>
      </c>
    </row>
    <row r="161" spans="1:38" ht="14.25" thickBot="1">
      <c r="A161" s="406"/>
      <c r="B161" s="484">
        <v>2</v>
      </c>
      <c r="C161" s="414" t="s">
        <v>720</v>
      </c>
      <c r="D161" s="285"/>
      <c r="E161" s="285"/>
      <c r="F161" s="287" t="s">
        <v>721</v>
      </c>
      <c r="G161" s="287" t="s">
        <v>721</v>
      </c>
      <c r="H161" s="287" t="s">
        <v>722</v>
      </c>
      <c r="I161" s="287"/>
      <c r="J161" s="287"/>
      <c r="K161" s="305"/>
      <c r="L161" s="299" t="str">
        <f>IF(COUNTIF(L162:L164,$AA$3)&gt;=ROWS(L162:L164),$AA$3,"")</f>
        <v/>
      </c>
      <c r="M161" s="336"/>
      <c r="N161" s="316"/>
      <c r="O161" s="335"/>
      <c r="P161" s="316"/>
      <c r="Q161" s="317" t="str">
        <f t="shared" si="71"/>
        <v>EB</v>
      </c>
      <c r="R161" s="318" t="str">
        <f t="shared" si="72"/>
        <v>NC</v>
      </c>
      <c r="S161" s="457"/>
      <c r="T161" s="307">
        <f t="shared" si="64"/>
        <v>0</v>
      </c>
      <c r="U161" s="2014"/>
      <c r="V161" s="305">
        <f t="shared" si="73"/>
        <v>0</v>
      </c>
      <c r="W161" s="2014"/>
      <c r="X161" s="317" t="str">
        <f t="shared" si="74"/>
        <v>EB</v>
      </c>
      <c r="Y161" s="318" t="str">
        <f t="shared" si="75"/>
        <v>NC</v>
      </c>
      <c r="Z161" s="212"/>
      <c r="AA161" s="272">
        <f>重み_前!M161</f>
        <v>0.33333333333333337</v>
      </c>
      <c r="AB161" s="272">
        <f>重み_後!N161</f>
        <v>0.3333333333333332</v>
      </c>
      <c r="AC161" s="242" t="e">
        <f>重み_前!D161</f>
        <v>#VALUE!</v>
      </c>
      <c r="AD161" s="242"/>
      <c r="AE161" s="242" t="e">
        <f>重み_後!D161</f>
        <v>#VALUE!</v>
      </c>
      <c r="AF161" s="242"/>
      <c r="AG161" s="242"/>
      <c r="AH161" s="243">
        <f>重み_前!N161</f>
        <v>0</v>
      </c>
      <c r="AI161" s="243">
        <f>重み_後!O161</f>
        <v>0</v>
      </c>
      <c r="AJ161" s="242">
        <f>重み_前!E161</f>
        <v>0</v>
      </c>
      <c r="AK161" s="242"/>
      <c r="AL161" s="242">
        <f>重み_後!E161</f>
        <v>0</v>
      </c>
    </row>
    <row r="162" spans="1:38" ht="13.5">
      <c r="A162" s="406"/>
      <c r="B162" s="484"/>
      <c r="C162" s="323">
        <v>2.1</v>
      </c>
      <c r="D162" s="399" t="s">
        <v>723</v>
      </c>
      <c r="E162" s="324"/>
      <c r="F162" s="287" t="s">
        <v>664</v>
      </c>
      <c r="G162" s="287" t="s">
        <v>664</v>
      </c>
      <c r="H162" s="287" t="s">
        <v>544</v>
      </c>
      <c r="I162" s="287" t="s">
        <v>664</v>
      </c>
      <c r="J162" s="287" t="s">
        <v>664</v>
      </c>
      <c r="K162" s="305" t="s">
        <v>544</v>
      </c>
      <c r="L162" s="308"/>
      <c r="M162" s="307" t="str">
        <f>IF(L162=$AA$3,$I162,$J162)</f>
        <v>EB</v>
      </c>
      <c r="N162" s="411">
        <v>3</v>
      </c>
      <c r="O162" s="305" t="str">
        <f>IF(L162=$AA$3,$I162,$K162)</f>
        <v>NC</v>
      </c>
      <c r="P162" s="411">
        <v>3</v>
      </c>
      <c r="Q162" s="308" t="str">
        <f t="shared" si="71"/>
        <v>EB</v>
      </c>
      <c r="R162" s="308" t="str">
        <f t="shared" si="72"/>
        <v>NC</v>
      </c>
      <c r="S162" s="457"/>
      <c r="T162" s="307" t="str">
        <f t="shared" si="64"/>
        <v>EB</v>
      </c>
      <c r="U162" s="2014"/>
      <c r="V162" s="305" t="str">
        <f t="shared" ref="V162:V180" si="76">IF(S162=$AA$3,$I162,$K162)</f>
        <v>NC</v>
      </c>
      <c r="W162" s="2014"/>
      <c r="X162" s="308" t="str">
        <f t="shared" si="74"/>
        <v>EB</v>
      </c>
      <c r="Y162" s="308" t="str">
        <f t="shared" si="75"/>
        <v>NC</v>
      </c>
      <c r="Z162" s="212"/>
      <c r="AA162" s="272">
        <f>重み_前!M162</f>
        <v>0.25000000000000006</v>
      </c>
      <c r="AB162" s="272">
        <f>重み_後!N162</f>
        <v>0.25000000000000011</v>
      </c>
      <c r="AC162" s="242">
        <f>重み_前!D162</f>
        <v>0.25</v>
      </c>
      <c r="AD162" s="242"/>
      <c r="AE162" s="242">
        <f>重み_後!D162</f>
        <v>0.25</v>
      </c>
      <c r="AF162" s="242"/>
      <c r="AG162" s="242"/>
      <c r="AH162" s="243">
        <f>重み_前!N162</f>
        <v>0</v>
      </c>
      <c r="AI162" s="243">
        <f>重み_後!O162</f>
        <v>0</v>
      </c>
      <c r="AJ162" s="242">
        <f>重み_前!E162</f>
        <v>0</v>
      </c>
      <c r="AK162" s="242"/>
      <c r="AL162" s="242">
        <f>重み_後!E162</f>
        <v>0</v>
      </c>
    </row>
    <row r="163" spans="1:38" ht="14.25" thickBot="1">
      <c r="A163" s="406"/>
      <c r="B163" s="485"/>
      <c r="C163" s="323">
        <v>2.2000000000000002</v>
      </c>
      <c r="D163" s="399" t="s">
        <v>724</v>
      </c>
      <c r="E163" s="324"/>
      <c r="F163" s="287" t="s">
        <v>664</v>
      </c>
      <c r="G163" s="287" t="s">
        <v>664</v>
      </c>
      <c r="H163" s="287" t="s">
        <v>544</v>
      </c>
      <c r="I163" s="287" t="s">
        <v>664</v>
      </c>
      <c r="J163" s="287" t="s">
        <v>664</v>
      </c>
      <c r="K163" s="305" t="s">
        <v>544</v>
      </c>
      <c r="L163" s="313"/>
      <c r="M163" s="307" t="str">
        <f>IF(L163=$AA$3,$I163,$J163)</f>
        <v>EB</v>
      </c>
      <c r="N163" s="325">
        <v>3</v>
      </c>
      <c r="O163" s="305" t="str">
        <f>IF(L163=$AA$3,$I163,$K163)</f>
        <v>NC</v>
      </c>
      <c r="P163" s="325">
        <v>3</v>
      </c>
      <c r="Q163" s="313" t="str">
        <f t="shared" si="71"/>
        <v>EB</v>
      </c>
      <c r="R163" s="313" t="str">
        <f t="shared" si="72"/>
        <v>NC</v>
      </c>
      <c r="S163" s="457"/>
      <c r="T163" s="307" t="str">
        <f t="shared" si="64"/>
        <v>EB</v>
      </c>
      <c r="U163" s="2014"/>
      <c r="V163" s="305" t="str">
        <f t="shared" si="76"/>
        <v>NC</v>
      </c>
      <c r="W163" s="2014"/>
      <c r="X163" s="313" t="str">
        <f t="shared" si="74"/>
        <v>EB</v>
      </c>
      <c r="Y163" s="313" t="str">
        <f t="shared" si="75"/>
        <v>NC</v>
      </c>
      <c r="Z163" s="212"/>
      <c r="AA163" s="272">
        <f>重み_前!M163</f>
        <v>0.50000000000000011</v>
      </c>
      <c r="AB163" s="272">
        <f>重み_後!N163</f>
        <v>0.50000000000000022</v>
      </c>
      <c r="AC163" s="242">
        <f>重み_前!D163</f>
        <v>0.5</v>
      </c>
      <c r="AD163" s="242"/>
      <c r="AE163" s="242">
        <f>重み_後!D163</f>
        <v>0.5</v>
      </c>
      <c r="AF163" s="242"/>
      <c r="AG163" s="242"/>
      <c r="AH163" s="243">
        <f>重み_前!N163</f>
        <v>0</v>
      </c>
      <c r="AI163" s="243">
        <f>重み_後!O163</f>
        <v>0</v>
      </c>
      <c r="AJ163" s="242">
        <f>重み_前!E163</f>
        <v>0</v>
      </c>
      <c r="AK163" s="242"/>
      <c r="AL163" s="242">
        <f>重み_後!E163</f>
        <v>0</v>
      </c>
    </row>
    <row r="164" spans="1:38" ht="14.25" thickBot="1">
      <c r="A164" s="406"/>
      <c r="B164" s="485"/>
      <c r="C164" s="296">
        <v>2.2999999999999998</v>
      </c>
      <c r="D164" s="399" t="s">
        <v>725</v>
      </c>
      <c r="E164" s="324"/>
      <c r="F164" s="287" t="s">
        <v>726</v>
      </c>
      <c r="G164" s="287" t="s">
        <v>726</v>
      </c>
      <c r="H164" s="287" t="s">
        <v>727</v>
      </c>
      <c r="I164" s="287"/>
      <c r="J164" s="287"/>
      <c r="K164" s="305"/>
      <c r="L164" s="299" t="str">
        <f>IF(COUNTIF(L165:L168,$AA$3)&gt;=ROWS(L165:L168),$AA$3,"")</f>
        <v/>
      </c>
      <c r="M164" s="307"/>
      <c r="N164" s="316"/>
      <c r="O164" s="305"/>
      <c r="P164" s="316"/>
      <c r="Q164" s="341" t="str">
        <f t="shared" si="71"/>
        <v>EB</v>
      </c>
      <c r="R164" s="342" t="str">
        <f t="shared" si="72"/>
        <v>NC</v>
      </c>
      <c r="S164" s="457"/>
      <c r="T164" s="307">
        <f t="shared" si="64"/>
        <v>0</v>
      </c>
      <c r="U164" s="2014"/>
      <c r="V164" s="305">
        <f t="shared" si="76"/>
        <v>0</v>
      </c>
      <c r="W164" s="2014"/>
      <c r="X164" s="341" t="str">
        <f t="shared" si="74"/>
        <v>EB</v>
      </c>
      <c r="Y164" s="342" t="str">
        <f t="shared" si="75"/>
        <v>NC</v>
      </c>
      <c r="Z164" s="212"/>
      <c r="AA164" s="272">
        <f>重み_前!M164</f>
        <v>0.25000000000000006</v>
      </c>
      <c r="AB164" s="272">
        <f>重み_後!N164</f>
        <v>0.25000000000000011</v>
      </c>
      <c r="AC164" s="242">
        <f>重み_前!D164</f>
        <v>0.25</v>
      </c>
      <c r="AD164" s="242"/>
      <c r="AE164" s="242">
        <f>重み_後!D164</f>
        <v>0.25</v>
      </c>
      <c r="AF164" s="242"/>
      <c r="AG164" s="242"/>
      <c r="AH164" s="243">
        <f>重み_前!N164</f>
        <v>0</v>
      </c>
      <c r="AI164" s="243">
        <f>重み_後!O164</f>
        <v>0</v>
      </c>
      <c r="AJ164" s="242">
        <f>重み_前!E164</f>
        <v>0</v>
      </c>
      <c r="AK164" s="242"/>
      <c r="AL164" s="242">
        <f>重み_後!E164</f>
        <v>0</v>
      </c>
    </row>
    <row r="165" spans="1:38" ht="13.5">
      <c r="A165" s="406"/>
      <c r="B165" s="485"/>
      <c r="C165" s="486"/>
      <c r="D165" s="304">
        <v>1</v>
      </c>
      <c r="E165" s="324" t="s">
        <v>728</v>
      </c>
      <c r="F165" s="287" t="s">
        <v>664</v>
      </c>
      <c r="G165" s="287" t="s">
        <v>664</v>
      </c>
      <c r="H165" s="287" t="s">
        <v>544</v>
      </c>
      <c r="I165" s="287" t="s">
        <v>664</v>
      </c>
      <c r="J165" s="287" t="s">
        <v>664</v>
      </c>
      <c r="K165" s="305" t="s">
        <v>544</v>
      </c>
      <c r="L165" s="308"/>
      <c r="M165" s="307" t="str">
        <f>IF(L165=$AA$3,$I165,$J165)</f>
        <v>EB</v>
      </c>
      <c r="N165" s="411">
        <v>3</v>
      </c>
      <c r="O165" s="305" t="str">
        <f>IF(L165=$AA$3,$I165,$K165)</f>
        <v>NC</v>
      </c>
      <c r="P165" s="411">
        <v>3</v>
      </c>
      <c r="Q165" s="309" t="str">
        <f t="shared" si="71"/>
        <v>EB</v>
      </c>
      <c r="R165" s="308" t="str">
        <f t="shared" si="72"/>
        <v>NC</v>
      </c>
      <c r="S165" s="457"/>
      <c r="T165" s="307" t="str">
        <f t="shared" si="64"/>
        <v>EB</v>
      </c>
      <c r="U165" s="2014"/>
      <c r="V165" s="305" t="str">
        <f t="shared" si="76"/>
        <v>NC</v>
      </c>
      <c r="W165" s="2014"/>
      <c r="X165" s="309" t="str">
        <f t="shared" si="74"/>
        <v>EB</v>
      </c>
      <c r="Y165" s="308" t="str">
        <f t="shared" si="75"/>
        <v>NC</v>
      </c>
      <c r="Z165" s="212"/>
      <c r="AA165" s="272">
        <f>重み_前!M165</f>
        <v>0.25000000000000006</v>
      </c>
      <c r="AB165" s="272">
        <f>重み_後!N165</f>
        <v>0.25</v>
      </c>
      <c r="AC165" s="242">
        <f>重み_前!D165</f>
        <v>0.25</v>
      </c>
      <c r="AD165" s="242"/>
      <c r="AE165" s="242">
        <f>重み_後!D165</f>
        <v>0.25</v>
      </c>
      <c r="AF165" s="242"/>
      <c r="AG165" s="242"/>
      <c r="AH165" s="243">
        <f>重み_前!N165</f>
        <v>0</v>
      </c>
      <c r="AI165" s="243">
        <f>重み_後!O165</f>
        <v>0</v>
      </c>
      <c r="AJ165" s="242">
        <f>重み_前!E165</f>
        <v>0</v>
      </c>
      <c r="AK165" s="242"/>
      <c r="AL165" s="242">
        <f>重み_後!E165</f>
        <v>0</v>
      </c>
    </row>
    <row r="166" spans="1:38" ht="13.5">
      <c r="A166" s="406"/>
      <c r="B166" s="484"/>
      <c r="C166" s="486"/>
      <c r="D166" s="304">
        <v>2</v>
      </c>
      <c r="E166" s="324" t="s">
        <v>729</v>
      </c>
      <c r="F166" s="287" t="s">
        <v>664</v>
      </c>
      <c r="G166" s="287" t="s">
        <v>664</v>
      </c>
      <c r="H166" s="287" t="s">
        <v>544</v>
      </c>
      <c r="I166" s="287" t="s">
        <v>664</v>
      </c>
      <c r="J166" s="287" t="s">
        <v>664</v>
      </c>
      <c r="K166" s="305" t="s">
        <v>544</v>
      </c>
      <c r="L166" s="320"/>
      <c r="M166" s="307" t="str">
        <f>IF(L166=$AA$3,$I166,$J166)</f>
        <v>EB</v>
      </c>
      <c r="N166" s="473">
        <v>3</v>
      </c>
      <c r="O166" s="305" t="str">
        <f>IF(L166=$AA$3,$I166,$K166)</f>
        <v>NC</v>
      </c>
      <c r="P166" s="473">
        <v>3</v>
      </c>
      <c r="Q166" s="321" t="str">
        <f t="shared" si="71"/>
        <v>EB</v>
      </c>
      <c r="R166" s="320" t="str">
        <f t="shared" si="72"/>
        <v>NC</v>
      </c>
      <c r="S166" s="457"/>
      <c r="T166" s="307" t="str">
        <f t="shared" si="64"/>
        <v>EB</v>
      </c>
      <c r="U166" s="2014"/>
      <c r="V166" s="305" t="str">
        <f t="shared" si="76"/>
        <v>NC</v>
      </c>
      <c r="W166" s="2014"/>
      <c r="X166" s="321" t="str">
        <f t="shared" si="74"/>
        <v>EB</v>
      </c>
      <c r="Y166" s="320" t="str">
        <f t="shared" si="75"/>
        <v>NC</v>
      </c>
      <c r="Z166" s="212"/>
      <c r="AA166" s="272">
        <f>重み_前!M166</f>
        <v>0.25000000000000006</v>
      </c>
      <c r="AB166" s="272">
        <f>重み_後!N166</f>
        <v>0.25</v>
      </c>
      <c r="AC166" s="242">
        <f>重み_前!D166</f>
        <v>0.25</v>
      </c>
      <c r="AD166" s="242"/>
      <c r="AE166" s="242">
        <f>重み_後!D166</f>
        <v>0.25</v>
      </c>
      <c r="AF166" s="242"/>
      <c r="AG166" s="242"/>
      <c r="AH166" s="243">
        <f>重み_前!N166</f>
        <v>0</v>
      </c>
      <c r="AI166" s="243">
        <f>重み_後!O166</f>
        <v>0</v>
      </c>
      <c r="AJ166" s="242">
        <f>重み_前!E166</f>
        <v>0</v>
      </c>
      <c r="AK166" s="242"/>
      <c r="AL166" s="242">
        <f>重み_後!E166</f>
        <v>0</v>
      </c>
    </row>
    <row r="167" spans="1:38" ht="13.5">
      <c r="A167" s="406"/>
      <c r="B167" s="484"/>
      <c r="C167" s="486"/>
      <c r="D167" s="304">
        <v>3</v>
      </c>
      <c r="E167" s="324" t="s">
        <v>730</v>
      </c>
      <c r="F167" s="287" t="s">
        <v>664</v>
      </c>
      <c r="G167" s="287" t="s">
        <v>664</v>
      </c>
      <c r="H167" s="287" t="s">
        <v>544</v>
      </c>
      <c r="I167" s="287" t="s">
        <v>664</v>
      </c>
      <c r="J167" s="287" t="s">
        <v>664</v>
      </c>
      <c r="K167" s="305" t="s">
        <v>544</v>
      </c>
      <c r="L167" s="320"/>
      <c r="M167" s="307" t="str">
        <f>IF(L167=$AA$3,$I167,$J167)</f>
        <v>EB</v>
      </c>
      <c r="N167" s="473">
        <v>3</v>
      </c>
      <c r="O167" s="305" t="str">
        <f>IF(L167=$AA$3,$I167,$K167)</f>
        <v>NC</v>
      </c>
      <c r="P167" s="473">
        <v>3</v>
      </c>
      <c r="Q167" s="321" t="str">
        <f t="shared" si="71"/>
        <v>EB</v>
      </c>
      <c r="R167" s="320" t="str">
        <f t="shared" si="72"/>
        <v>NC</v>
      </c>
      <c r="S167" s="457"/>
      <c r="T167" s="307" t="str">
        <f t="shared" si="64"/>
        <v>EB</v>
      </c>
      <c r="U167" s="2014"/>
      <c r="V167" s="305" t="str">
        <f t="shared" si="76"/>
        <v>NC</v>
      </c>
      <c r="W167" s="2014"/>
      <c r="X167" s="321" t="str">
        <f t="shared" si="74"/>
        <v>EB</v>
      </c>
      <c r="Y167" s="320" t="str">
        <f t="shared" si="75"/>
        <v>NC</v>
      </c>
      <c r="Z167" s="212"/>
      <c r="AA167" s="272">
        <f>重み_前!M167</f>
        <v>0.25000000000000006</v>
      </c>
      <c r="AB167" s="272">
        <f>重み_後!N167</f>
        <v>0.25</v>
      </c>
      <c r="AC167" s="242">
        <f>重み_前!D167</f>
        <v>0.25</v>
      </c>
      <c r="AD167" s="242"/>
      <c r="AE167" s="242">
        <f>重み_後!D167</f>
        <v>0.25</v>
      </c>
      <c r="AF167" s="242"/>
      <c r="AG167" s="242"/>
      <c r="AH167" s="243">
        <f>重み_前!N167</f>
        <v>0</v>
      </c>
      <c r="AI167" s="243">
        <f>重み_後!O167</f>
        <v>0</v>
      </c>
      <c r="AJ167" s="242">
        <f>重み_前!E167</f>
        <v>0</v>
      </c>
      <c r="AK167" s="242"/>
      <c r="AL167" s="242">
        <f>重み_後!E167</f>
        <v>0</v>
      </c>
    </row>
    <row r="168" spans="1:38" ht="14.25" thickBot="1">
      <c r="A168" s="406"/>
      <c r="B168" s="487"/>
      <c r="C168" s="488"/>
      <c r="D168" s="304">
        <v>4</v>
      </c>
      <c r="E168" s="324" t="s">
        <v>731</v>
      </c>
      <c r="F168" s="287" t="s">
        <v>664</v>
      </c>
      <c r="G168" s="287" t="s">
        <v>664</v>
      </c>
      <c r="H168" s="287" t="s">
        <v>544</v>
      </c>
      <c r="I168" s="287" t="s">
        <v>664</v>
      </c>
      <c r="J168" s="287" t="s">
        <v>664</v>
      </c>
      <c r="K168" s="305" t="s">
        <v>544</v>
      </c>
      <c r="L168" s="313"/>
      <c r="M168" s="307" t="str">
        <f>IF(L168=$AA$3,$I168,$J168)</f>
        <v>EB</v>
      </c>
      <c r="N168" s="325">
        <v>3</v>
      </c>
      <c r="O168" s="305" t="str">
        <f>IF(L168=$AA$3,$I168,$K168)</f>
        <v>NC</v>
      </c>
      <c r="P168" s="325">
        <v>3</v>
      </c>
      <c r="Q168" s="314" t="str">
        <f t="shared" si="71"/>
        <v>EB</v>
      </c>
      <c r="R168" s="313" t="str">
        <f t="shared" si="72"/>
        <v>NC</v>
      </c>
      <c r="S168" s="457"/>
      <c r="T168" s="307" t="str">
        <f t="shared" si="64"/>
        <v>EB</v>
      </c>
      <c r="U168" s="2014"/>
      <c r="V168" s="305" t="str">
        <f t="shared" si="76"/>
        <v>NC</v>
      </c>
      <c r="W168" s="2014"/>
      <c r="X168" s="314" t="str">
        <f t="shared" si="74"/>
        <v>EB</v>
      </c>
      <c r="Y168" s="313" t="str">
        <f t="shared" si="75"/>
        <v>NC</v>
      </c>
      <c r="Z168" s="212"/>
      <c r="AA168" s="272">
        <f>重み_前!M168</f>
        <v>0.25000000000000006</v>
      </c>
      <c r="AB168" s="272">
        <f>重み_後!N168</f>
        <v>0.25</v>
      </c>
      <c r="AC168" s="242">
        <f>重み_前!D168</f>
        <v>0.25</v>
      </c>
      <c r="AD168" s="242"/>
      <c r="AE168" s="242">
        <f>重み_後!D168</f>
        <v>0.25</v>
      </c>
      <c r="AF168" s="242"/>
      <c r="AG168" s="242"/>
      <c r="AH168" s="243">
        <f>重み_前!N168</f>
        <v>0</v>
      </c>
      <c r="AI168" s="243">
        <f>重み_後!O168</f>
        <v>0</v>
      </c>
      <c r="AJ168" s="242">
        <f>重み_前!E168</f>
        <v>0</v>
      </c>
      <c r="AK168" s="242"/>
      <c r="AL168" s="242">
        <f>重み_後!E168</f>
        <v>0</v>
      </c>
    </row>
    <row r="169" spans="1:38" ht="13.5">
      <c r="A169" s="406"/>
      <c r="B169" s="484">
        <v>3</v>
      </c>
      <c r="C169" s="414" t="s">
        <v>732</v>
      </c>
      <c r="D169" s="285"/>
      <c r="E169" s="285"/>
      <c r="F169" s="287" t="s">
        <v>594</v>
      </c>
      <c r="G169" s="287" t="s">
        <v>594</v>
      </c>
      <c r="H169" s="287" t="s">
        <v>595</v>
      </c>
      <c r="I169" s="489"/>
      <c r="J169" s="489"/>
      <c r="K169" s="445"/>
      <c r="L169" s="330" t="str">
        <f>IF(COUNTIF(L170:L180,$AA$3)&gt;=ROWS(L170:L180),$AA$3,"")</f>
        <v/>
      </c>
      <c r="M169" s="336"/>
      <c r="N169" s="467"/>
      <c r="O169" s="335"/>
      <c r="P169" s="490"/>
      <c r="Q169" s="491" t="str">
        <f t="shared" si="71"/>
        <v>EB</v>
      </c>
      <c r="R169" s="447" t="str">
        <f t="shared" si="72"/>
        <v>NC</v>
      </c>
      <c r="S169" s="457"/>
      <c r="T169" s="307">
        <f t="shared" si="64"/>
        <v>0</v>
      </c>
      <c r="U169" s="2014"/>
      <c r="V169" s="305">
        <f t="shared" si="76"/>
        <v>0</v>
      </c>
      <c r="W169" s="2014"/>
      <c r="X169" s="491" t="str">
        <f t="shared" si="74"/>
        <v>EB</v>
      </c>
      <c r="Y169" s="447" t="str">
        <f t="shared" si="75"/>
        <v>NC</v>
      </c>
      <c r="Z169" s="212"/>
      <c r="AA169" s="272">
        <f>重み_前!M169</f>
        <v>0.33333333333333337</v>
      </c>
      <c r="AB169" s="272">
        <f>重み_後!N169</f>
        <v>0.33333333333333348</v>
      </c>
      <c r="AC169" s="242" t="e">
        <f>重み_前!D169</f>
        <v>#VALUE!</v>
      </c>
      <c r="AD169" s="242"/>
      <c r="AE169" s="242" t="e">
        <f>重み_後!D169</f>
        <v>#VALUE!</v>
      </c>
      <c r="AF169" s="242"/>
      <c r="AG169" s="242"/>
      <c r="AH169" s="243">
        <f>重み_前!N169</f>
        <v>0</v>
      </c>
      <c r="AI169" s="243">
        <f>重み_後!O169</f>
        <v>0</v>
      </c>
      <c r="AJ169" s="242">
        <f>重み_前!E169</f>
        <v>0</v>
      </c>
      <c r="AK169" s="242"/>
      <c r="AL169" s="242">
        <f>重み_後!E169</f>
        <v>0</v>
      </c>
    </row>
    <row r="170" spans="1:38" ht="14.25" thickBot="1">
      <c r="A170" s="406"/>
      <c r="B170" s="492"/>
      <c r="C170" s="296">
        <v>3.1</v>
      </c>
      <c r="D170" s="399" t="s">
        <v>733</v>
      </c>
      <c r="E170" s="324"/>
      <c r="F170" s="287" t="s">
        <v>567</v>
      </c>
      <c r="G170" s="287" t="s">
        <v>567</v>
      </c>
      <c r="H170" s="287" t="s">
        <v>568</v>
      </c>
      <c r="I170" s="287"/>
      <c r="J170" s="287"/>
      <c r="K170" s="305"/>
      <c r="L170" s="299" t="str">
        <f>IF(COUNTIF(L171:L173,$AA$3)&gt;=ROWS(L171:L173),$AA$3,"")</f>
        <v/>
      </c>
      <c r="M170" s="307"/>
      <c r="N170" s="316"/>
      <c r="O170" s="305"/>
      <c r="P170" s="493"/>
      <c r="Q170" s="494" t="str">
        <f t="shared" si="71"/>
        <v>EB</v>
      </c>
      <c r="R170" s="302" t="str">
        <f t="shared" si="72"/>
        <v>NC</v>
      </c>
      <c r="S170" s="457"/>
      <c r="T170" s="307">
        <f t="shared" si="64"/>
        <v>0</v>
      </c>
      <c r="U170" s="2014"/>
      <c r="V170" s="305">
        <f t="shared" si="76"/>
        <v>0</v>
      </c>
      <c r="W170" s="2014"/>
      <c r="X170" s="494" t="str">
        <f t="shared" si="74"/>
        <v>EB</v>
      </c>
      <c r="Y170" s="302" t="str">
        <f t="shared" si="75"/>
        <v>NC</v>
      </c>
      <c r="Z170" s="212"/>
      <c r="AA170" s="272">
        <f>重み_前!M170</f>
        <v>0.40000000000000008</v>
      </c>
      <c r="AB170" s="272">
        <f>重み_後!N170</f>
        <v>0.4</v>
      </c>
      <c r="AC170" s="242">
        <f>重み_前!D170</f>
        <v>0.39999999999999997</v>
      </c>
      <c r="AD170" s="242"/>
      <c r="AE170" s="242">
        <f>重み_後!D170</f>
        <v>0.40000000000000008</v>
      </c>
      <c r="AF170" s="242"/>
      <c r="AG170" s="242"/>
      <c r="AH170" s="243">
        <f>重み_前!N170</f>
        <v>0</v>
      </c>
      <c r="AI170" s="243">
        <f>重み_後!O170</f>
        <v>0</v>
      </c>
      <c r="AJ170" s="242">
        <f>重み_前!E170</f>
        <v>0</v>
      </c>
      <c r="AK170" s="242"/>
      <c r="AL170" s="242">
        <f>重み_後!E170</f>
        <v>0</v>
      </c>
    </row>
    <row r="171" spans="1:38" ht="13.5">
      <c r="A171" s="406"/>
      <c r="B171" s="495"/>
      <c r="C171" s="496"/>
      <c r="D171" s="304">
        <v>1</v>
      </c>
      <c r="E171" s="324" t="s">
        <v>734</v>
      </c>
      <c r="F171" s="287" t="s">
        <v>664</v>
      </c>
      <c r="G171" s="287" t="s">
        <v>664</v>
      </c>
      <c r="H171" s="287" t="s">
        <v>544</v>
      </c>
      <c r="I171" s="287" t="s">
        <v>664</v>
      </c>
      <c r="J171" s="287" t="s">
        <v>664</v>
      </c>
      <c r="K171" s="305" t="s">
        <v>544</v>
      </c>
      <c r="L171" s="308"/>
      <c r="M171" s="307" t="str">
        <f>IF(L171=$AA$3,$I171,$J171)</f>
        <v>EB</v>
      </c>
      <c r="N171" s="411">
        <v>3</v>
      </c>
      <c r="O171" s="305" t="str">
        <f>IF(L171=$AA$3,$I171,$K171)</f>
        <v>NC</v>
      </c>
      <c r="P171" s="411">
        <v>3</v>
      </c>
      <c r="Q171" s="321" t="str">
        <f t="shared" si="71"/>
        <v>EB</v>
      </c>
      <c r="R171" s="319" t="str">
        <f t="shared" si="72"/>
        <v>NC</v>
      </c>
      <c r="S171" s="457"/>
      <c r="T171" s="307" t="str">
        <f t="shared" si="64"/>
        <v>EB</v>
      </c>
      <c r="U171" s="2014"/>
      <c r="V171" s="305" t="str">
        <f t="shared" si="76"/>
        <v>NC</v>
      </c>
      <c r="W171" s="2014"/>
      <c r="X171" s="321" t="str">
        <f t="shared" si="74"/>
        <v>EB</v>
      </c>
      <c r="Y171" s="319" t="str">
        <f t="shared" si="75"/>
        <v>NC</v>
      </c>
      <c r="Z171" s="212"/>
      <c r="AA171" s="272">
        <f>重み_前!M171</f>
        <v>0.33333333333333337</v>
      </c>
      <c r="AB171" s="272">
        <f>重み_後!N171</f>
        <v>0.33333333333333331</v>
      </c>
      <c r="AC171" s="242">
        <f>重み_前!D171</f>
        <v>0.33333333333333337</v>
      </c>
      <c r="AD171" s="242"/>
      <c r="AE171" s="242">
        <f>重み_後!D171</f>
        <v>0.33333333333333331</v>
      </c>
      <c r="AF171" s="242"/>
      <c r="AG171" s="242"/>
      <c r="AH171" s="243">
        <f>重み_前!N171</f>
        <v>0</v>
      </c>
      <c r="AI171" s="243">
        <f>重み_後!O171</f>
        <v>0</v>
      </c>
      <c r="AJ171" s="242">
        <f>重み_前!E171</f>
        <v>0</v>
      </c>
      <c r="AK171" s="242"/>
      <c r="AL171" s="242">
        <f>重み_後!E171</f>
        <v>0</v>
      </c>
    </row>
    <row r="172" spans="1:38" ht="13.5">
      <c r="A172" s="406"/>
      <c r="B172" s="497"/>
      <c r="C172" s="496"/>
      <c r="D172" s="304">
        <v>2</v>
      </c>
      <c r="E172" s="324" t="s">
        <v>735</v>
      </c>
      <c r="F172" s="287" t="s">
        <v>664</v>
      </c>
      <c r="G172" s="287" t="s">
        <v>664</v>
      </c>
      <c r="H172" s="287" t="s">
        <v>544</v>
      </c>
      <c r="I172" s="287" t="s">
        <v>664</v>
      </c>
      <c r="J172" s="287" t="s">
        <v>664</v>
      </c>
      <c r="K172" s="305" t="s">
        <v>544</v>
      </c>
      <c r="L172" s="320"/>
      <c r="M172" s="307" t="str">
        <f>IF(L172=$AA$3,$I172,$J172)</f>
        <v>EB</v>
      </c>
      <c r="N172" s="473">
        <v>3</v>
      </c>
      <c r="O172" s="305" t="str">
        <f>IF(L172=$AA$3,$I172,$K172)</f>
        <v>NC</v>
      </c>
      <c r="P172" s="473">
        <v>3</v>
      </c>
      <c r="Q172" s="321" t="str">
        <f t="shared" si="71"/>
        <v>EB</v>
      </c>
      <c r="R172" s="319" t="str">
        <f t="shared" si="72"/>
        <v>NC</v>
      </c>
      <c r="S172" s="457"/>
      <c r="T172" s="307" t="str">
        <f t="shared" si="64"/>
        <v>EB</v>
      </c>
      <c r="U172" s="2014"/>
      <c r="V172" s="305" t="str">
        <f t="shared" si="76"/>
        <v>NC</v>
      </c>
      <c r="W172" s="2014"/>
      <c r="X172" s="321" t="str">
        <f t="shared" si="74"/>
        <v>EB</v>
      </c>
      <c r="Y172" s="319" t="str">
        <f t="shared" si="75"/>
        <v>NC</v>
      </c>
      <c r="Z172" s="212"/>
      <c r="AA172" s="272">
        <f>重み_前!M172</f>
        <v>0.33333333333333337</v>
      </c>
      <c r="AB172" s="272">
        <f>重み_後!N172</f>
        <v>0.33333333333333331</v>
      </c>
      <c r="AC172" s="242">
        <f>重み_前!D172</f>
        <v>0.33333333333333337</v>
      </c>
      <c r="AD172" s="242"/>
      <c r="AE172" s="242">
        <f>重み_後!D172</f>
        <v>0.33333333333333331</v>
      </c>
      <c r="AF172" s="242"/>
      <c r="AG172" s="242"/>
      <c r="AH172" s="243">
        <f>重み_前!N172</f>
        <v>0</v>
      </c>
      <c r="AI172" s="243">
        <f>重み_後!O172</f>
        <v>0</v>
      </c>
      <c r="AJ172" s="242">
        <f>重み_前!E172</f>
        <v>0</v>
      </c>
      <c r="AK172" s="242"/>
      <c r="AL172" s="242">
        <f>重み_後!E172</f>
        <v>0</v>
      </c>
    </row>
    <row r="173" spans="1:38" ht="14.25" thickBot="1">
      <c r="A173" s="406"/>
      <c r="B173" s="498"/>
      <c r="C173" s="499"/>
      <c r="D173" s="304">
        <v>3</v>
      </c>
      <c r="E173" s="324" t="s">
        <v>736</v>
      </c>
      <c r="F173" s="287" t="s">
        <v>664</v>
      </c>
      <c r="G173" s="287" t="s">
        <v>664</v>
      </c>
      <c r="H173" s="287" t="s">
        <v>544</v>
      </c>
      <c r="I173" s="287" t="s">
        <v>664</v>
      </c>
      <c r="J173" s="287" t="s">
        <v>664</v>
      </c>
      <c r="K173" s="305" t="s">
        <v>544</v>
      </c>
      <c r="L173" s="313"/>
      <c r="M173" s="307" t="str">
        <f>IF(L173=$AA$3,$I173,$J173)</f>
        <v>EB</v>
      </c>
      <c r="N173" s="325">
        <v>3</v>
      </c>
      <c r="O173" s="305" t="str">
        <f>IF(L173=$AA$3,$I173,$K173)</f>
        <v>NC</v>
      </c>
      <c r="P173" s="325">
        <v>3</v>
      </c>
      <c r="Q173" s="321" t="str">
        <f t="shared" si="71"/>
        <v>EB</v>
      </c>
      <c r="R173" s="319" t="str">
        <f t="shared" si="72"/>
        <v>NC</v>
      </c>
      <c r="S173" s="457"/>
      <c r="T173" s="307" t="str">
        <f t="shared" si="64"/>
        <v>EB</v>
      </c>
      <c r="U173" s="2014"/>
      <c r="V173" s="305" t="str">
        <f t="shared" si="76"/>
        <v>NC</v>
      </c>
      <c r="W173" s="2014"/>
      <c r="X173" s="321" t="str">
        <f t="shared" si="74"/>
        <v>EB</v>
      </c>
      <c r="Y173" s="319" t="str">
        <f t="shared" si="75"/>
        <v>NC</v>
      </c>
      <c r="Z173" s="212"/>
      <c r="AA173" s="272">
        <f>重み_前!M173</f>
        <v>0.33333333333333337</v>
      </c>
      <c r="AB173" s="272">
        <f>重み_後!N173</f>
        <v>0.33333333333333331</v>
      </c>
      <c r="AC173" s="242">
        <f>重み_前!D173</f>
        <v>0.33333333333333337</v>
      </c>
      <c r="AD173" s="242"/>
      <c r="AE173" s="242">
        <f>重み_後!D173</f>
        <v>0.33333333333333331</v>
      </c>
      <c r="AF173" s="242"/>
      <c r="AG173" s="242"/>
      <c r="AH173" s="243">
        <f>重み_前!N173</f>
        <v>0</v>
      </c>
      <c r="AI173" s="243">
        <f>重み_後!O173</f>
        <v>0</v>
      </c>
      <c r="AJ173" s="242">
        <f>重み_前!E173</f>
        <v>0</v>
      </c>
      <c r="AK173" s="242"/>
      <c r="AL173" s="242">
        <f>重み_後!E173</f>
        <v>0</v>
      </c>
    </row>
    <row r="174" spans="1:38" ht="14.25" thickBot="1">
      <c r="A174" s="406"/>
      <c r="B174" s="500"/>
      <c r="C174" s="296">
        <v>3.2</v>
      </c>
      <c r="D174" s="399" t="s">
        <v>577</v>
      </c>
      <c r="E174" s="414"/>
      <c r="F174" s="287" t="s">
        <v>709</v>
      </c>
      <c r="G174" s="287" t="s">
        <v>709</v>
      </c>
      <c r="H174" s="287" t="s">
        <v>716</v>
      </c>
      <c r="I174" s="287"/>
      <c r="J174" s="287"/>
      <c r="K174" s="305"/>
      <c r="L174" s="299" t="str">
        <f>IF(COUNTIF(L175:L176,$AA$3)&gt;=ROWS(L175:L176),$AA$3,"")</f>
        <v/>
      </c>
      <c r="M174" s="307"/>
      <c r="N174" s="316"/>
      <c r="O174" s="305"/>
      <c r="P174" s="316"/>
      <c r="Q174" s="501" t="str">
        <f t="shared" si="71"/>
        <v>EB</v>
      </c>
      <c r="R174" s="502" t="str">
        <f t="shared" si="72"/>
        <v>NC</v>
      </c>
      <c r="S174" s="457"/>
      <c r="T174" s="307">
        <f t="shared" si="64"/>
        <v>0</v>
      </c>
      <c r="U174" s="2014"/>
      <c r="V174" s="305">
        <f t="shared" si="76"/>
        <v>0</v>
      </c>
      <c r="W174" s="2014"/>
      <c r="X174" s="501" t="str">
        <f t="shared" si="74"/>
        <v>EB</v>
      </c>
      <c r="Y174" s="502" t="str">
        <f t="shared" si="75"/>
        <v>NC</v>
      </c>
      <c r="Z174" s="212"/>
      <c r="AA174" s="272">
        <f>重み_前!M174</f>
        <v>0.40000000000000008</v>
      </c>
      <c r="AB174" s="272">
        <f>重み_後!N174</f>
        <v>0.39999999999999991</v>
      </c>
      <c r="AC174" s="242">
        <f>重み_前!D174</f>
        <v>0.39999999999999997</v>
      </c>
      <c r="AD174" s="242"/>
      <c r="AE174" s="242">
        <f>重み_後!D174</f>
        <v>0.39999999999999997</v>
      </c>
      <c r="AF174" s="242"/>
      <c r="AG174" s="242"/>
      <c r="AH174" s="243">
        <f>重み_前!N174</f>
        <v>0</v>
      </c>
      <c r="AI174" s="243">
        <f>重み_後!O174</f>
        <v>0</v>
      </c>
      <c r="AJ174" s="242">
        <f>重み_前!E174</f>
        <v>0</v>
      </c>
      <c r="AK174" s="242"/>
      <c r="AL174" s="242">
        <f>重み_後!E174</f>
        <v>0</v>
      </c>
    </row>
    <row r="175" spans="1:38" ht="13.5">
      <c r="A175" s="406"/>
      <c r="B175" s="500"/>
      <c r="C175" s="503"/>
      <c r="D175" s="304">
        <v>1</v>
      </c>
      <c r="E175" s="399" t="s">
        <v>768</v>
      </c>
      <c r="F175" s="287" t="s">
        <v>664</v>
      </c>
      <c r="G175" s="287" t="s">
        <v>664</v>
      </c>
      <c r="H175" s="287" t="s">
        <v>544</v>
      </c>
      <c r="I175" s="287" t="s">
        <v>664</v>
      </c>
      <c r="J175" s="287" t="s">
        <v>664</v>
      </c>
      <c r="K175" s="305" t="s">
        <v>544</v>
      </c>
      <c r="L175" s="308"/>
      <c r="M175" s="307" t="str">
        <f>IF(L175=$AA$3,$I175,$J175)</f>
        <v>EB</v>
      </c>
      <c r="N175" s="411">
        <v>3</v>
      </c>
      <c r="O175" s="305" t="str">
        <f>IF(L175=$AA$3,$I175,$K175)</f>
        <v>NC</v>
      </c>
      <c r="P175" s="411">
        <v>3</v>
      </c>
      <c r="Q175" s="321" t="str">
        <f>IF(L175=$AA$3,$F175,$G175)</f>
        <v>EB</v>
      </c>
      <c r="R175" s="319" t="str">
        <f>IF(L175=$AA$3,$F175,$H175)</f>
        <v>NC</v>
      </c>
      <c r="S175" s="457"/>
      <c r="T175" s="307" t="str">
        <f t="shared" si="64"/>
        <v>EB</v>
      </c>
      <c r="U175" s="2014"/>
      <c r="V175" s="305" t="str">
        <f t="shared" si="76"/>
        <v>NC</v>
      </c>
      <c r="W175" s="2014"/>
      <c r="X175" s="321" t="str">
        <f>IF(S175=$AA$3,$F175,$G175)</f>
        <v>EB</v>
      </c>
      <c r="Y175" s="319" t="str">
        <f>IF(S175=$AA$3,$F175,$H175)</f>
        <v>NC</v>
      </c>
      <c r="Z175" s="212"/>
      <c r="AA175" s="272">
        <f>重み_前!M175</f>
        <v>0.70000000000000007</v>
      </c>
      <c r="AB175" s="272">
        <f>重み_後!N175</f>
        <v>0.70000000000000007</v>
      </c>
      <c r="AC175" s="242">
        <f>重み_前!D175</f>
        <v>0.70000000000000007</v>
      </c>
      <c r="AD175" s="242"/>
      <c r="AE175" s="242">
        <f>重み_後!D175</f>
        <v>0.70000000000000007</v>
      </c>
      <c r="AF175" s="242"/>
      <c r="AG175" s="242"/>
      <c r="AH175" s="243">
        <f>重み_前!N175</f>
        <v>0</v>
      </c>
      <c r="AI175" s="243">
        <f>重み_後!O175</f>
        <v>0</v>
      </c>
      <c r="AJ175" s="242">
        <f>重み_前!E175</f>
        <v>0</v>
      </c>
      <c r="AK175" s="242"/>
      <c r="AL175" s="242">
        <f>重み_後!E175</f>
        <v>0</v>
      </c>
    </row>
    <row r="176" spans="1:38" ht="13.5">
      <c r="A176" s="406"/>
      <c r="B176" s="500"/>
      <c r="C176" s="503"/>
      <c r="D176" s="304">
        <v>2</v>
      </c>
      <c r="E176" s="399" t="s">
        <v>1016</v>
      </c>
      <c r="F176" s="287" t="s">
        <v>664</v>
      </c>
      <c r="G176" s="287" t="s">
        <v>664</v>
      </c>
      <c r="H176" s="287" t="s">
        <v>544</v>
      </c>
      <c r="I176" s="287" t="s">
        <v>664</v>
      </c>
      <c r="J176" s="287" t="s">
        <v>664</v>
      </c>
      <c r="K176" s="305" t="s">
        <v>544</v>
      </c>
      <c r="L176" s="320"/>
      <c r="M176" s="307" t="str">
        <f>IF(L176=$AA$3,$I176,$J176)</f>
        <v>EB</v>
      </c>
      <c r="N176" s="473">
        <v>3</v>
      </c>
      <c r="O176" s="305" t="str">
        <f>IF(L176=$AA$3,$I176,$K176)</f>
        <v>NC</v>
      </c>
      <c r="P176" s="473">
        <v>3</v>
      </c>
      <c r="Q176" s="321" t="str">
        <f>IF(L176=$AA$3,$F176,$G176)</f>
        <v>EB</v>
      </c>
      <c r="R176" s="319" t="str">
        <f>IF(L176=$AA$3,$F176,$H176)</f>
        <v>NC</v>
      </c>
      <c r="S176" s="457"/>
      <c r="T176" s="307" t="str">
        <f t="shared" si="64"/>
        <v>EB</v>
      </c>
      <c r="U176" s="2014"/>
      <c r="V176" s="305" t="str">
        <f t="shared" si="76"/>
        <v>NC</v>
      </c>
      <c r="W176" s="2014"/>
      <c r="X176" s="321" t="str">
        <f>IF(S176=$AA$3,$F176,$G176)</f>
        <v>EB</v>
      </c>
      <c r="Y176" s="319" t="str">
        <f>IF(S176=$AA$3,$F176,$H176)</f>
        <v>NC</v>
      </c>
      <c r="Z176" s="212"/>
      <c r="AA176" s="272">
        <f>重み_前!M176</f>
        <v>0</v>
      </c>
      <c r="AB176" s="272">
        <f>重み_後!N176</f>
        <v>0</v>
      </c>
      <c r="AC176" s="242">
        <f>重み_前!D176</f>
        <v>0</v>
      </c>
      <c r="AD176" s="242"/>
      <c r="AE176" s="242">
        <f>重み_後!D176</f>
        <v>0</v>
      </c>
      <c r="AF176" s="242"/>
      <c r="AG176" s="242"/>
      <c r="AH176" s="243">
        <f>重み_前!N176</f>
        <v>0</v>
      </c>
      <c r="AI176" s="243">
        <f>重み_後!O176</f>
        <v>0</v>
      </c>
      <c r="AJ176" s="242">
        <f>重み_前!E176</f>
        <v>0</v>
      </c>
      <c r="AK176" s="242"/>
      <c r="AL176" s="242">
        <f>重み_後!E176</f>
        <v>0</v>
      </c>
    </row>
    <row r="177" spans="1:38" ht="14.25" thickBot="1">
      <c r="A177" s="406"/>
      <c r="B177" s="500"/>
      <c r="C177" s="503"/>
      <c r="D177" s="398">
        <v>3</v>
      </c>
      <c r="E177" s="399" t="s">
        <v>1017</v>
      </c>
      <c r="F177" s="287" t="s">
        <v>664</v>
      </c>
      <c r="G177" s="287" t="s">
        <v>664</v>
      </c>
      <c r="H177" s="287" t="s">
        <v>544</v>
      </c>
      <c r="I177" s="287" t="s">
        <v>664</v>
      </c>
      <c r="J177" s="287" t="s">
        <v>664</v>
      </c>
      <c r="K177" s="305" t="s">
        <v>544</v>
      </c>
      <c r="L177" s="313"/>
      <c r="M177" s="307" t="str">
        <f>IF(L177=$AA$3,$I177,$J177)</f>
        <v>EB</v>
      </c>
      <c r="N177" s="325">
        <v>3</v>
      </c>
      <c r="O177" s="305" t="str">
        <f>IF(L177=$AA$3,$I177,$K177)</f>
        <v>NC</v>
      </c>
      <c r="P177" s="325">
        <v>3</v>
      </c>
      <c r="Q177" s="321" t="str">
        <f>IF(L177=$AA$3,$F177,$G177)</f>
        <v>EB</v>
      </c>
      <c r="R177" s="319" t="str">
        <f>IF(L177=$AA$3,$F177,$H177)</f>
        <v>NC</v>
      </c>
      <c r="S177" s="457"/>
      <c r="T177" s="307" t="str">
        <f t="shared" si="64"/>
        <v>EB</v>
      </c>
      <c r="U177" s="2014"/>
      <c r="V177" s="305" t="str">
        <f t="shared" si="76"/>
        <v>NC</v>
      </c>
      <c r="W177" s="2014"/>
      <c r="X177" s="321" t="str">
        <f>IF(S177=$AA$3,$F177,$G177)</f>
        <v>EB</v>
      </c>
      <c r="Y177" s="319" t="str">
        <f>IF(S177=$AA$3,$F177,$H177)</f>
        <v>NC</v>
      </c>
      <c r="Z177" s="212"/>
      <c r="AA177" s="272">
        <f>重み_前!M177</f>
        <v>0.3</v>
      </c>
      <c r="AB177" s="272">
        <f>重み_後!N177</f>
        <v>0.3</v>
      </c>
      <c r="AC177" s="242">
        <f>重み_前!D177</f>
        <v>0.3</v>
      </c>
      <c r="AD177" s="242"/>
      <c r="AE177" s="242">
        <f>重み_後!D177</f>
        <v>0.3</v>
      </c>
      <c r="AF177" s="242"/>
      <c r="AG177" s="242"/>
      <c r="AH177" s="243">
        <f>重み_前!N177</f>
        <v>0</v>
      </c>
      <c r="AI177" s="243">
        <f>重み_後!O177</f>
        <v>0</v>
      </c>
      <c r="AJ177" s="242">
        <f>重み_前!E177</f>
        <v>0</v>
      </c>
      <c r="AK177" s="242"/>
      <c r="AL177" s="242">
        <f>重み_後!E177</f>
        <v>0</v>
      </c>
    </row>
    <row r="178" spans="1:38" ht="14.25" thickBot="1">
      <c r="A178" s="406"/>
      <c r="B178" s="485"/>
      <c r="C178" s="296">
        <v>3.3</v>
      </c>
      <c r="D178" s="399" t="s">
        <v>737</v>
      </c>
      <c r="E178" s="324"/>
      <c r="F178" s="287" t="s">
        <v>738</v>
      </c>
      <c r="G178" s="287" t="s">
        <v>738</v>
      </c>
      <c r="H178" s="287" t="s">
        <v>739</v>
      </c>
      <c r="I178" s="287"/>
      <c r="J178" s="287"/>
      <c r="K178" s="305"/>
      <c r="L178" s="302" t="str">
        <f>IF(COUNTIF(L179:L180,$AA$3)&gt;=ROWS(L179:L180),$AA$3,"")</f>
        <v/>
      </c>
      <c r="M178" s="307"/>
      <c r="N178" s="316"/>
      <c r="O178" s="305"/>
      <c r="P178" s="316"/>
      <c r="Q178" s="341" t="str">
        <f t="shared" si="71"/>
        <v>EB</v>
      </c>
      <c r="R178" s="342" t="str">
        <f t="shared" si="72"/>
        <v>NC</v>
      </c>
      <c r="S178" s="457"/>
      <c r="T178" s="307">
        <f t="shared" si="64"/>
        <v>0</v>
      </c>
      <c r="U178" s="2014"/>
      <c r="V178" s="305">
        <f t="shared" si="76"/>
        <v>0</v>
      </c>
      <c r="W178" s="2014"/>
      <c r="X178" s="341" t="str">
        <f t="shared" si="74"/>
        <v>EB</v>
      </c>
      <c r="Y178" s="342" t="str">
        <f t="shared" si="75"/>
        <v>NC</v>
      </c>
      <c r="Z178" s="212"/>
      <c r="AA178" s="272">
        <f>重み_前!M178</f>
        <v>0.20000000000000004</v>
      </c>
      <c r="AB178" s="272">
        <f>重み_後!N178</f>
        <v>0.19999999999999996</v>
      </c>
      <c r="AC178" s="242">
        <f>重み_前!D178</f>
        <v>0.19999999999999998</v>
      </c>
      <c r="AD178" s="242"/>
      <c r="AE178" s="242">
        <f>重み_後!D178</f>
        <v>0.19999999999999998</v>
      </c>
      <c r="AF178" s="242"/>
      <c r="AG178" s="242"/>
      <c r="AH178" s="243">
        <f>重み_前!N178</f>
        <v>0</v>
      </c>
      <c r="AI178" s="243">
        <f>重み_後!O178</f>
        <v>0</v>
      </c>
      <c r="AJ178" s="242">
        <f>重み_前!E178</f>
        <v>0</v>
      </c>
      <c r="AK178" s="242"/>
      <c r="AL178" s="242">
        <f>重み_後!E178</f>
        <v>0</v>
      </c>
    </row>
    <row r="179" spans="1:38" ht="13.5">
      <c r="A179" s="406"/>
      <c r="B179" s="500"/>
      <c r="C179" s="503"/>
      <c r="D179" s="304">
        <v>1</v>
      </c>
      <c r="E179" s="324" t="s">
        <v>740</v>
      </c>
      <c r="F179" s="287" t="s">
        <v>664</v>
      </c>
      <c r="G179" s="287" t="s">
        <v>664</v>
      </c>
      <c r="H179" s="287" t="s">
        <v>544</v>
      </c>
      <c r="I179" s="287" t="s">
        <v>664</v>
      </c>
      <c r="J179" s="287" t="s">
        <v>664</v>
      </c>
      <c r="K179" s="305" t="s">
        <v>544</v>
      </c>
      <c r="L179" s="306"/>
      <c r="M179" s="307" t="str">
        <f>IF(L179=$AA$3,$I179,$J179)</f>
        <v>EB</v>
      </c>
      <c r="N179" s="411">
        <v>3</v>
      </c>
      <c r="O179" s="305" t="str">
        <f>IF(L179=$AA$3,$I179,$K179)</f>
        <v>NC</v>
      </c>
      <c r="P179" s="411">
        <v>3</v>
      </c>
      <c r="Q179" s="309" t="str">
        <f t="shared" si="71"/>
        <v>EB</v>
      </c>
      <c r="R179" s="306" t="str">
        <f t="shared" si="72"/>
        <v>NC</v>
      </c>
      <c r="S179" s="457"/>
      <c r="T179" s="307" t="str">
        <f t="shared" si="64"/>
        <v>EB</v>
      </c>
      <c r="U179" s="2014"/>
      <c r="V179" s="305" t="str">
        <f t="shared" si="76"/>
        <v>NC</v>
      </c>
      <c r="W179" s="2014"/>
      <c r="X179" s="309" t="str">
        <f t="shared" si="74"/>
        <v>EB</v>
      </c>
      <c r="Y179" s="306" t="str">
        <f t="shared" si="75"/>
        <v>NC</v>
      </c>
      <c r="Z179" s="212"/>
      <c r="AA179" s="272">
        <f>重み_前!M179</f>
        <v>0.70000000000000007</v>
      </c>
      <c r="AB179" s="272">
        <f>重み_後!N179</f>
        <v>0.70000000000000007</v>
      </c>
      <c r="AC179" s="242">
        <f>重み_前!D179</f>
        <v>0.70000000000000007</v>
      </c>
      <c r="AD179" s="242"/>
      <c r="AE179" s="242">
        <f>重み_後!D179</f>
        <v>0.70000000000000007</v>
      </c>
      <c r="AF179" s="242"/>
      <c r="AG179" s="242"/>
      <c r="AH179" s="243">
        <f>重み_前!N179</f>
        <v>0</v>
      </c>
      <c r="AI179" s="243">
        <f>重み_後!O179</f>
        <v>0</v>
      </c>
      <c r="AJ179" s="242">
        <f>重み_前!E179</f>
        <v>0</v>
      </c>
      <c r="AK179" s="242"/>
      <c r="AL179" s="242">
        <f>重み_後!E179</f>
        <v>0</v>
      </c>
    </row>
    <row r="180" spans="1:38" ht="14.25" thickBot="1">
      <c r="A180" s="406"/>
      <c r="B180" s="504"/>
      <c r="C180" s="505"/>
      <c r="D180" s="356">
        <v>2</v>
      </c>
      <c r="E180" s="506" t="s">
        <v>741</v>
      </c>
      <c r="F180" s="507" t="s">
        <v>664</v>
      </c>
      <c r="G180" s="507" t="s">
        <v>664</v>
      </c>
      <c r="H180" s="507" t="s">
        <v>544</v>
      </c>
      <c r="I180" s="507" t="s">
        <v>664</v>
      </c>
      <c r="J180" s="507" t="s">
        <v>664</v>
      </c>
      <c r="K180" s="359" t="s">
        <v>544</v>
      </c>
      <c r="L180" s="312"/>
      <c r="M180" s="358" t="str">
        <f>IF(L180=$AA$3,$I180,$J180)</f>
        <v>EB</v>
      </c>
      <c r="N180" s="325">
        <v>3</v>
      </c>
      <c r="O180" s="359" t="str">
        <f>IF(L180=$AA$3,$I180,$K180)</f>
        <v>NC</v>
      </c>
      <c r="P180" s="325">
        <v>3</v>
      </c>
      <c r="Q180" s="314" t="str">
        <f t="shared" si="71"/>
        <v>EB</v>
      </c>
      <c r="R180" s="312" t="str">
        <f t="shared" si="72"/>
        <v>NC</v>
      </c>
      <c r="S180" s="2323"/>
      <c r="T180" s="358" t="str">
        <f t="shared" si="64"/>
        <v>EB</v>
      </c>
      <c r="U180" s="300"/>
      <c r="V180" s="359" t="str">
        <f t="shared" si="76"/>
        <v>NC</v>
      </c>
      <c r="W180" s="300"/>
      <c r="X180" s="314" t="str">
        <f t="shared" si="74"/>
        <v>EB</v>
      </c>
      <c r="Y180" s="312" t="str">
        <f t="shared" si="75"/>
        <v>NC</v>
      </c>
      <c r="Z180" s="212"/>
      <c r="AA180" s="272">
        <f>重み_前!M180</f>
        <v>0.3</v>
      </c>
      <c r="AB180" s="272">
        <f>重み_後!N180</f>
        <v>0.3</v>
      </c>
      <c r="AC180" s="242">
        <f>重み_前!D180</f>
        <v>0.3</v>
      </c>
      <c r="AD180" s="242"/>
      <c r="AE180" s="242">
        <f>重み_後!D180</f>
        <v>0.3</v>
      </c>
      <c r="AF180" s="242"/>
      <c r="AG180" s="242"/>
      <c r="AH180" s="243">
        <f>重み_前!N180</f>
        <v>0</v>
      </c>
      <c r="AI180" s="243">
        <f>重み_後!O180</f>
        <v>0</v>
      </c>
      <c r="AJ180" s="242">
        <f>重み_前!E180</f>
        <v>0</v>
      </c>
      <c r="AK180" s="242"/>
      <c r="AL180" s="242">
        <f>重み_後!E180</f>
        <v>0</v>
      </c>
    </row>
    <row r="181" spans="1:38" ht="13.5">
      <c r="B181" s="508"/>
      <c r="C181" s="509"/>
      <c r="D181" s="510"/>
      <c r="E181" s="511"/>
      <c r="F181" s="512"/>
      <c r="G181" s="512"/>
      <c r="H181" s="512"/>
      <c r="I181" s="512"/>
      <c r="J181" s="512"/>
      <c r="K181" s="512"/>
      <c r="L181" s="512"/>
      <c r="M181" s="512"/>
      <c r="N181" s="512"/>
      <c r="O181" s="512"/>
      <c r="P181" s="512"/>
      <c r="Q181" s="512"/>
      <c r="R181" s="512"/>
      <c r="S181" s="512"/>
      <c r="T181" s="512"/>
      <c r="U181" s="513"/>
      <c r="V181" s="512"/>
      <c r="W181" s="513"/>
      <c r="X181" s="513"/>
      <c r="Y181" s="513"/>
      <c r="Z181" s="513"/>
      <c r="AA181" s="201"/>
      <c r="AB181" s="201"/>
      <c r="AC181" s="201"/>
      <c r="AD181" s="201"/>
      <c r="AE181" s="201"/>
      <c r="AF181" s="201"/>
      <c r="AG181" s="201"/>
    </row>
  </sheetData>
  <sheetProtection password="82B4" sheet="1" objects="1" scenarios="1"/>
  <mergeCells count="5">
    <mergeCell ref="O6:P6"/>
    <mergeCell ref="M6:N6"/>
    <mergeCell ref="V6:W6"/>
    <mergeCell ref="T6:U6"/>
    <mergeCell ref="D46:E46"/>
  </mergeCells>
  <phoneticPr fontId="20"/>
  <conditionalFormatting sqref="N12:N13 N36:N38 N24:N25 N64:N66 N77:N78 N15:N19 N99:N101 N113:N115 N142:N145 N59:N60 N30 U68:U70 N91:N96 N103:N108 N110:N111 N171:N173 N87:N89 N32:N33 U22 U12:U13 U36:U38 U64:U66 U77:U78 U15:U19 N72:N74 U99:U101 U115 U59:U60 U41:U46 U32:U33 U91:U96 U103:U108 N122:N123 N120 U80:U85 U87:U89 N68:N70 U72:U74 N179:N180 N162:N163 N165:N168 N147:N154 N156:N160 N80:N85 N175:N177 N22 U52 U49:U50 U54:U56 N54:N56 U30 N49:N50 U24:U25 N52 N41:N46">
    <cfRule type="expression" dxfId="41" priority="35" stopIfTrue="1">
      <formula>(AA12=0)</formula>
    </cfRule>
  </conditionalFormatting>
  <conditionalFormatting sqref="P36:P38 P41:P46 P64:P66 P77:P78 P15:P19 P113:P115 P142:P145 P59:P60 P99:P101 W24:W25 W68:W70 P91:P96 P103:P108 P110:P111 P171:P173 P12:P13 P87:P89 W30 P32:P33 W36:W38 W52 W64:W66 W77:W78 W41:W46 P72:P74 W115 W59:W60 W99:W101 P54:P56 W32:W33 W91:W96 W103:W108 P122:P123 P120 W80:W85 W12:W13 W87:W89 W15:W19 P68:P70 W72:W74 P179:P180 P162:P163 P165:P168 P147:P154 P156:P160 P80:P85 P175:P177 W54:W56 P52 P49:P50 W49:W50 P24:P25 P30 P22 W22">
    <cfRule type="expression" dxfId="40" priority="36" stopIfTrue="1">
      <formula>(AB12=0)</formula>
    </cfRule>
  </conditionalFormatting>
  <conditionalFormatting sqref="N11 U11">
    <cfRule type="expression" dxfId="39" priority="33" stopIfTrue="1">
      <formula>(AA11=0)</formula>
    </cfRule>
  </conditionalFormatting>
  <conditionalFormatting sqref="P11 W11">
    <cfRule type="expression" dxfId="38" priority="34" stopIfTrue="1">
      <formula>(AB11=0)</formula>
    </cfRule>
  </conditionalFormatting>
  <conditionalFormatting sqref="N134">
    <cfRule type="expression" dxfId="37" priority="29" stopIfTrue="1">
      <formula>(AA134=0)</formula>
    </cfRule>
  </conditionalFormatting>
  <conditionalFormatting sqref="P134">
    <cfRule type="expression" dxfId="36" priority="30" stopIfTrue="1">
      <formula>(AB134=0)</formula>
    </cfRule>
  </conditionalFormatting>
  <conditionalFormatting sqref="N137">
    <cfRule type="expression" dxfId="35" priority="27" stopIfTrue="1">
      <formula>(AA137=0)</formula>
    </cfRule>
  </conditionalFormatting>
  <conditionalFormatting sqref="P137">
    <cfRule type="expression" dxfId="34" priority="28" stopIfTrue="1">
      <formula>(AB137=0)</formula>
    </cfRule>
  </conditionalFormatting>
  <conditionalFormatting sqref="N135:N136">
    <cfRule type="expression" dxfId="33" priority="10" stopIfTrue="1">
      <formula>(AA135=0)</formula>
    </cfRule>
  </conditionalFormatting>
  <conditionalFormatting sqref="N138:N139">
    <cfRule type="expression" dxfId="32" priority="9" stopIfTrue="1">
      <formula>(AA138=0)</formula>
    </cfRule>
  </conditionalFormatting>
  <conditionalFormatting sqref="P135:P136">
    <cfRule type="expression" dxfId="31" priority="8" stopIfTrue="1">
      <formula>(AC135=0)</formula>
    </cfRule>
  </conditionalFormatting>
  <conditionalFormatting sqref="P138:P139">
    <cfRule type="expression" dxfId="30" priority="7" stopIfTrue="1">
      <formula>(AC138=0)</formula>
    </cfRule>
  </conditionalFormatting>
  <conditionalFormatting sqref="N121">
    <cfRule type="expression" dxfId="29" priority="3" stopIfTrue="1">
      <formula>(AA121=0)</formula>
    </cfRule>
  </conditionalFormatting>
  <conditionalFormatting sqref="P121">
    <cfRule type="expression" dxfId="28" priority="4" stopIfTrue="1">
      <formula>(AB121=0)</formula>
    </cfRule>
  </conditionalFormatting>
  <dataValidations xWindow="895" yWindow="482" count="2">
    <dataValidation type="list" allowBlank="1" showInputMessage="1" showErrorMessage="1" sqref="L179:L180 L22:L31 S22:S31 L54:L57 L59:L60 L64:L66 L77:L78 L68:L70 L80:L85 L72:L74 L40:L46 L11:L13 L15:L19 L36:L38 L49:L52 S40:S46 S49:S52 S54:S57 S59:S60 S64:S66 S77:S78 S68:S70 S80:S85 S72:S74 S11:S13 S15:S19 S36:S38 L175:L177 L99:L101 L110:L111 L103:L108 L154 L135:L136 S99:S101 L91:L95 L171:L173 L122:L124 S110:S111 S103:S108 S91:S95 L138:L139 S87:S89 L144:L145 L87:L89 L165:L168 L142 L156:L158 L113:L114 L162:L163 L160 L147:L152 L118:L119 S113:S114">
      <formula1>$AA$2:$AA$3</formula1>
    </dataValidation>
    <dataValidation allowBlank="1" showErrorMessage="1" sqref="AJ6:AL180 AC6:AG180"/>
  </dataValidations>
  <printOptions horizontalCentered="1"/>
  <pageMargins left="0.59055118110236227" right="0.59055118110236227" top="0.78740157480314965" bottom="0.59055118110236227" header="0.51181102362204722" footer="0.51181102362204722"/>
  <pageSetup paperSize="9" scale="62" fitToHeight="2" orientation="portrait" verticalDpi="4294967293" r:id="rId1"/>
  <headerFooter alignWithMargins="0">
    <oddHeader>&amp;L&amp;F&amp;R&amp;A</oddHeader>
    <oddFooter>&amp;C&amp;P/&amp;N</oddFooter>
  </headerFooter>
  <rowBreaks count="1" manualBreakCount="1">
    <brk id="96" max="25" man="1"/>
  </rowBreaks>
  <legacyDrawing r:id="rId2"/>
</worksheet>
</file>

<file path=xl/worksheets/sheet14.xml><?xml version="1.0" encoding="utf-8"?>
<worksheet xmlns="http://schemas.openxmlformats.org/spreadsheetml/2006/main" xmlns:r="http://schemas.openxmlformats.org/officeDocument/2006/relationships">
  <sheetPr>
    <pageSetUpPr autoPageBreaks="0"/>
  </sheetPr>
  <dimension ref="A1:WVP6"/>
  <sheetViews>
    <sheetView showGridLines="0" zoomScaleNormal="100" workbookViewId="0">
      <selection activeCell="B4" sqref="B4"/>
    </sheetView>
  </sheetViews>
  <sheetFormatPr defaultColWidth="0" defaultRowHeight="13.5" zeroHeight="1"/>
  <cols>
    <col min="1" max="1" width="1.375" customWidth="1"/>
    <col min="2" max="2" width="76.625" customWidth="1"/>
    <col min="3" max="3" width="1.25" customWidth="1"/>
    <col min="4" max="4" width="4.125" customWidth="1"/>
    <col min="5" max="5" width="1.25" customWidth="1"/>
    <col min="6" max="6" width="76.625" customWidth="1"/>
    <col min="7" max="7" width="1.125" customWidth="1"/>
    <col min="8" max="8" width="2.5" hidden="1" customWidth="1"/>
    <col min="257" max="257" width="1.375" hidden="1" customWidth="1"/>
    <col min="258" max="258" width="76.625" hidden="1" customWidth="1"/>
    <col min="259" max="259" width="1.25" hidden="1" customWidth="1"/>
    <col min="260" max="260" width="4.125" hidden="1" customWidth="1"/>
    <col min="261" max="261" width="1.25" hidden="1" customWidth="1"/>
    <col min="262" max="262" width="76.625" hidden="1" customWidth="1"/>
    <col min="263" max="263" width="1.125" hidden="1" customWidth="1"/>
    <col min="264" max="264" width="2.5" hidden="1" customWidth="1"/>
    <col min="513" max="513" width="1.375" hidden="1" customWidth="1"/>
    <col min="514" max="514" width="76.625" hidden="1" customWidth="1"/>
    <col min="515" max="515" width="1.25" hidden="1" customWidth="1"/>
    <col min="516" max="516" width="4.125" hidden="1" customWidth="1"/>
    <col min="517" max="517" width="1.25" hidden="1" customWidth="1"/>
    <col min="518" max="518" width="76.625" hidden="1" customWidth="1"/>
    <col min="519" max="519" width="1.125" hidden="1" customWidth="1"/>
    <col min="520" max="520" width="2.5" hidden="1" customWidth="1"/>
    <col min="769" max="769" width="1.375" hidden="1" customWidth="1"/>
    <col min="770" max="770" width="76.625" hidden="1" customWidth="1"/>
    <col min="771" max="771" width="1.25" hidden="1" customWidth="1"/>
    <col min="772" max="772" width="4.125" hidden="1" customWidth="1"/>
    <col min="773" max="773" width="1.25" hidden="1" customWidth="1"/>
    <col min="774" max="774" width="76.625" hidden="1" customWidth="1"/>
    <col min="775" max="775" width="1.125" hidden="1" customWidth="1"/>
    <col min="776" max="776" width="2.5" hidden="1" customWidth="1"/>
    <col min="1025" max="1025" width="1.375" hidden="1" customWidth="1"/>
    <col min="1026" max="1026" width="76.625" hidden="1" customWidth="1"/>
    <col min="1027" max="1027" width="1.25" hidden="1" customWidth="1"/>
    <col min="1028" max="1028" width="4.125" hidden="1" customWidth="1"/>
    <col min="1029" max="1029" width="1.25" hidden="1" customWidth="1"/>
    <col min="1030" max="1030" width="76.625" hidden="1" customWidth="1"/>
    <col min="1031" max="1031" width="1.125" hidden="1" customWidth="1"/>
    <col min="1032" max="1032" width="2.5" hidden="1" customWidth="1"/>
    <col min="1281" max="1281" width="1.375" hidden="1" customWidth="1"/>
    <col min="1282" max="1282" width="76.625" hidden="1" customWidth="1"/>
    <col min="1283" max="1283" width="1.25" hidden="1" customWidth="1"/>
    <col min="1284" max="1284" width="4.125" hidden="1" customWidth="1"/>
    <col min="1285" max="1285" width="1.25" hidden="1" customWidth="1"/>
    <col min="1286" max="1286" width="76.625" hidden="1" customWidth="1"/>
    <col min="1287" max="1287" width="1.125" hidden="1" customWidth="1"/>
    <col min="1288" max="1288" width="2.5" hidden="1" customWidth="1"/>
    <col min="1537" max="1537" width="1.375" hidden="1" customWidth="1"/>
    <col min="1538" max="1538" width="76.625" hidden="1" customWidth="1"/>
    <col min="1539" max="1539" width="1.25" hidden="1" customWidth="1"/>
    <col min="1540" max="1540" width="4.125" hidden="1" customWidth="1"/>
    <col min="1541" max="1541" width="1.25" hidden="1" customWidth="1"/>
    <col min="1542" max="1542" width="76.625" hidden="1" customWidth="1"/>
    <col min="1543" max="1543" width="1.125" hidden="1" customWidth="1"/>
    <col min="1544" max="1544" width="2.5" hidden="1" customWidth="1"/>
    <col min="1793" max="1793" width="1.375" hidden="1" customWidth="1"/>
    <col min="1794" max="1794" width="76.625" hidden="1" customWidth="1"/>
    <col min="1795" max="1795" width="1.25" hidden="1" customWidth="1"/>
    <col min="1796" max="1796" width="4.125" hidden="1" customWidth="1"/>
    <col min="1797" max="1797" width="1.25" hidden="1" customWidth="1"/>
    <col min="1798" max="1798" width="76.625" hidden="1" customWidth="1"/>
    <col min="1799" max="1799" width="1.125" hidden="1" customWidth="1"/>
    <col min="1800" max="1800" width="2.5" hidden="1" customWidth="1"/>
    <col min="2049" max="2049" width="1.375" hidden="1" customWidth="1"/>
    <col min="2050" max="2050" width="76.625" hidden="1" customWidth="1"/>
    <col min="2051" max="2051" width="1.25" hidden="1" customWidth="1"/>
    <col min="2052" max="2052" width="4.125" hidden="1" customWidth="1"/>
    <col min="2053" max="2053" width="1.25" hidden="1" customWidth="1"/>
    <col min="2054" max="2054" width="76.625" hidden="1" customWidth="1"/>
    <col min="2055" max="2055" width="1.125" hidden="1" customWidth="1"/>
    <col min="2056" max="2056" width="2.5" hidden="1" customWidth="1"/>
    <col min="2305" max="2305" width="1.375" hidden="1" customWidth="1"/>
    <col min="2306" max="2306" width="76.625" hidden="1" customWidth="1"/>
    <col min="2307" max="2307" width="1.25" hidden="1" customWidth="1"/>
    <col min="2308" max="2308" width="4.125" hidden="1" customWidth="1"/>
    <col min="2309" max="2309" width="1.25" hidden="1" customWidth="1"/>
    <col min="2310" max="2310" width="76.625" hidden="1" customWidth="1"/>
    <col min="2311" max="2311" width="1.125" hidden="1" customWidth="1"/>
    <col min="2312" max="2312" width="2.5" hidden="1" customWidth="1"/>
    <col min="2561" max="2561" width="1.375" hidden="1" customWidth="1"/>
    <col min="2562" max="2562" width="76.625" hidden="1" customWidth="1"/>
    <col min="2563" max="2563" width="1.25" hidden="1" customWidth="1"/>
    <col min="2564" max="2564" width="4.125" hidden="1" customWidth="1"/>
    <col min="2565" max="2565" width="1.25" hidden="1" customWidth="1"/>
    <col min="2566" max="2566" width="76.625" hidden="1" customWidth="1"/>
    <col min="2567" max="2567" width="1.125" hidden="1" customWidth="1"/>
    <col min="2568" max="2568" width="2.5" hidden="1" customWidth="1"/>
    <col min="2817" max="2817" width="1.375" hidden="1" customWidth="1"/>
    <col min="2818" max="2818" width="76.625" hidden="1" customWidth="1"/>
    <col min="2819" max="2819" width="1.25" hidden="1" customWidth="1"/>
    <col min="2820" max="2820" width="4.125" hidden="1" customWidth="1"/>
    <col min="2821" max="2821" width="1.25" hidden="1" customWidth="1"/>
    <col min="2822" max="2822" width="76.625" hidden="1" customWidth="1"/>
    <col min="2823" max="2823" width="1.125" hidden="1" customWidth="1"/>
    <col min="2824" max="2824" width="2.5" hidden="1" customWidth="1"/>
    <col min="3073" max="3073" width="1.375" hidden="1" customWidth="1"/>
    <col min="3074" max="3074" width="76.625" hidden="1" customWidth="1"/>
    <col min="3075" max="3075" width="1.25" hidden="1" customWidth="1"/>
    <col min="3076" max="3076" width="4.125" hidden="1" customWidth="1"/>
    <col min="3077" max="3077" width="1.25" hidden="1" customWidth="1"/>
    <col min="3078" max="3078" width="76.625" hidden="1" customWidth="1"/>
    <col min="3079" max="3079" width="1.125" hidden="1" customWidth="1"/>
    <col min="3080" max="3080" width="2.5" hidden="1" customWidth="1"/>
    <col min="3329" max="3329" width="1.375" hidden="1" customWidth="1"/>
    <col min="3330" max="3330" width="76.625" hidden="1" customWidth="1"/>
    <col min="3331" max="3331" width="1.25" hidden="1" customWidth="1"/>
    <col min="3332" max="3332" width="4.125" hidden="1" customWidth="1"/>
    <col min="3333" max="3333" width="1.25" hidden="1" customWidth="1"/>
    <col min="3334" max="3334" width="76.625" hidden="1" customWidth="1"/>
    <col min="3335" max="3335" width="1.125" hidden="1" customWidth="1"/>
    <col min="3336" max="3336" width="2.5" hidden="1" customWidth="1"/>
    <col min="3585" max="3585" width="1.375" hidden="1" customWidth="1"/>
    <col min="3586" max="3586" width="76.625" hidden="1" customWidth="1"/>
    <col min="3587" max="3587" width="1.25" hidden="1" customWidth="1"/>
    <col min="3588" max="3588" width="4.125" hidden="1" customWidth="1"/>
    <col min="3589" max="3589" width="1.25" hidden="1" customWidth="1"/>
    <col min="3590" max="3590" width="76.625" hidden="1" customWidth="1"/>
    <col min="3591" max="3591" width="1.125" hidden="1" customWidth="1"/>
    <col min="3592" max="3592" width="2.5" hidden="1" customWidth="1"/>
    <col min="3841" max="3841" width="1.375" hidden="1" customWidth="1"/>
    <col min="3842" max="3842" width="76.625" hidden="1" customWidth="1"/>
    <col min="3843" max="3843" width="1.25" hidden="1" customWidth="1"/>
    <col min="3844" max="3844" width="4.125" hidden="1" customWidth="1"/>
    <col min="3845" max="3845" width="1.25" hidden="1" customWidth="1"/>
    <col min="3846" max="3846" width="76.625" hidden="1" customWidth="1"/>
    <col min="3847" max="3847" width="1.125" hidden="1" customWidth="1"/>
    <col min="3848" max="3848" width="2.5" hidden="1" customWidth="1"/>
    <col min="4097" max="4097" width="1.375" hidden="1" customWidth="1"/>
    <col min="4098" max="4098" width="76.625" hidden="1" customWidth="1"/>
    <col min="4099" max="4099" width="1.25" hidden="1" customWidth="1"/>
    <col min="4100" max="4100" width="4.125" hidden="1" customWidth="1"/>
    <col min="4101" max="4101" width="1.25" hidden="1" customWidth="1"/>
    <col min="4102" max="4102" width="76.625" hidden="1" customWidth="1"/>
    <col min="4103" max="4103" width="1.125" hidden="1" customWidth="1"/>
    <col min="4104" max="4104" width="2.5" hidden="1" customWidth="1"/>
    <col min="4353" max="4353" width="1.375" hidden="1" customWidth="1"/>
    <col min="4354" max="4354" width="76.625" hidden="1" customWidth="1"/>
    <col min="4355" max="4355" width="1.25" hidden="1" customWidth="1"/>
    <col min="4356" max="4356" width="4.125" hidden="1" customWidth="1"/>
    <col min="4357" max="4357" width="1.25" hidden="1" customWidth="1"/>
    <col min="4358" max="4358" width="76.625" hidden="1" customWidth="1"/>
    <col min="4359" max="4359" width="1.125" hidden="1" customWidth="1"/>
    <col min="4360" max="4360" width="2.5" hidden="1" customWidth="1"/>
    <col min="4609" max="4609" width="1.375" hidden="1" customWidth="1"/>
    <col min="4610" max="4610" width="76.625" hidden="1" customWidth="1"/>
    <col min="4611" max="4611" width="1.25" hidden="1" customWidth="1"/>
    <col min="4612" max="4612" width="4.125" hidden="1" customWidth="1"/>
    <col min="4613" max="4613" width="1.25" hidden="1" customWidth="1"/>
    <col min="4614" max="4614" width="76.625" hidden="1" customWidth="1"/>
    <col min="4615" max="4615" width="1.125" hidden="1" customWidth="1"/>
    <col min="4616" max="4616" width="2.5" hidden="1" customWidth="1"/>
    <col min="4865" max="4865" width="1.375" hidden="1" customWidth="1"/>
    <col min="4866" max="4866" width="76.625" hidden="1" customWidth="1"/>
    <col min="4867" max="4867" width="1.25" hidden="1" customWidth="1"/>
    <col min="4868" max="4868" width="4.125" hidden="1" customWidth="1"/>
    <col min="4869" max="4869" width="1.25" hidden="1" customWidth="1"/>
    <col min="4870" max="4870" width="76.625" hidden="1" customWidth="1"/>
    <col min="4871" max="4871" width="1.125" hidden="1" customWidth="1"/>
    <col min="4872" max="4872" width="2.5" hidden="1" customWidth="1"/>
    <col min="5121" max="5121" width="1.375" hidden="1" customWidth="1"/>
    <col min="5122" max="5122" width="76.625" hidden="1" customWidth="1"/>
    <col min="5123" max="5123" width="1.25" hidden="1" customWidth="1"/>
    <col min="5124" max="5124" width="4.125" hidden="1" customWidth="1"/>
    <col min="5125" max="5125" width="1.25" hidden="1" customWidth="1"/>
    <col min="5126" max="5126" width="76.625" hidden="1" customWidth="1"/>
    <col min="5127" max="5127" width="1.125" hidden="1" customWidth="1"/>
    <col min="5128" max="5128" width="2.5" hidden="1" customWidth="1"/>
    <col min="5377" max="5377" width="1.375" hidden="1" customWidth="1"/>
    <col min="5378" max="5378" width="76.625" hidden="1" customWidth="1"/>
    <col min="5379" max="5379" width="1.25" hidden="1" customWidth="1"/>
    <col min="5380" max="5380" width="4.125" hidden="1" customWidth="1"/>
    <col min="5381" max="5381" width="1.25" hidden="1" customWidth="1"/>
    <col min="5382" max="5382" width="76.625" hidden="1" customWidth="1"/>
    <col min="5383" max="5383" width="1.125" hidden="1" customWidth="1"/>
    <col min="5384" max="5384" width="2.5" hidden="1" customWidth="1"/>
    <col min="5633" max="5633" width="1.375" hidden="1" customWidth="1"/>
    <col min="5634" max="5634" width="76.625" hidden="1" customWidth="1"/>
    <col min="5635" max="5635" width="1.25" hidden="1" customWidth="1"/>
    <col min="5636" max="5636" width="4.125" hidden="1" customWidth="1"/>
    <col min="5637" max="5637" width="1.25" hidden="1" customWidth="1"/>
    <col min="5638" max="5638" width="76.625" hidden="1" customWidth="1"/>
    <col min="5639" max="5639" width="1.125" hidden="1" customWidth="1"/>
    <col min="5640" max="5640" width="2.5" hidden="1" customWidth="1"/>
    <col min="5889" max="5889" width="1.375" hidden="1" customWidth="1"/>
    <col min="5890" max="5890" width="76.625" hidden="1" customWidth="1"/>
    <col min="5891" max="5891" width="1.25" hidden="1" customWidth="1"/>
    <col min="5892" max="5892" width="4.125" hidden="1" customWidth="1"/>
    <col min="5893" max="5893" width="1.25" hidden="1" customWidth="1"/>
    <col min="5894" max="5894" width="76.625" hidden="1" customWidth="1"/>
    <col min="5895" max="5895" width="1.125" hidden="1" customWidth="1"/>
    <col min="5896" max="5896" width="2.5" hidden="1" customWidth="1"/>
    <col min="6145" max="6145" width="1.375" hidden="1" customWidth="1"/>
    <col min="6146" max="6146" width="76.625" hidden="1" customWidth="1"/>
    <col min="6147" max="6147" width="1.25" hidden="1" customWidth="1"/>
    <col min="6148" max="6148" width="4.125" hidden="1" customWidth="1"/>
    <col min="6149" max="6149" width="1.25" hidden="1" customWidth="1"/>
    <col min="6150" max="6150" width="76.625" hidden="1" customWidth="1"/>
    <col min="6151" max="6151" width="1.125" hidden="1" customWidth="1"/>
    <col min="6152" max="6152" width="2.5" hidden="1" customWidth="1"/>
    <col min="6401" max="6401" width="1.375" hidden="1" customWidth="1"/>
    <col min="6402" max="6402" width="76.625" hidden="1" customWidth="1"/>
    <col min="6403" max="6403" width="1.25" hidden="1" customWidth="1"/>
    <col min="6404" max="6404" width="4.125" hidden="1" customWidth="1"/>
    <col min="6405" max="6405" width="1.25" hidden="1" customWidth="1"/>
    <col min="6406" max="6406" width="76.625" hidden="1" customWidth="1"/>
    <col min="6407" max="6407" width="1.125" hidden="1" customWidth="1"/>
    <col min="6408" max="6408" width="2.5" hidden="1" customWidth="1"/>
    <col min="6657" max="6657" width="1.375" hidden="1" customWidth="1"/>
    <col min="6658" max="6658" width="76.625" hidden="1" customWidth="1"/>
    <col min="6659" max="6659" width="1.25" hidden="1" customWidth="1"/>
    <col min="6660" max="6660" width="4.125" hidden="1" customWidth="1"/>
    <col min="6661" max="6661" width="1.25" hidden="1" customWidth="1"/>
    <col min="6662" max="6662" width="76.625" hidden="1" customWidth="1"/>
    <col min="6663" max="6663" width="1.125" hidden="1" customWidth="1"/>
    <col min="6664" max="6664" width="2.5" hidden="1" customWidth="1"/>
    <col min="6913" max="6913" width="1.375" hidden="1" customWidth="1"/>
    <col min="6914" max="6914" width="76.625" hidden="1" customWidth="1"/>
    <col min="6915" max="6915" width="1.25" hidden="1" customWidth="1"/>
    <col min="6916" max="6916" width="4.125" hidden="1" customWidth="1"/>
    <col min="6917" max="6917" width="1.25" hidden="1" customWidth="1"/>
    <col min="6918" max="6918" width="76.625" hidden="1" customWidth="1"/>
    <col min="6919" max="6919" width="1.125" hidden="1" customWidth="1"/>
    <col min="6920" max="6920" width="2.5" hidden="1" customWidth="1"/>
    <col min="7169" max="7169" width="1.375" hidden="1" customWidth="1"/>
    <col min="7170" max="7170" width="76.625" hidden="1" customWidth="1"/>
    <col min="7171" max="7171" width="1.25" hidden="1" customWidth="1"/>
    <col min="7172" max="7172" width="4.125" hidden="1" customWidth="1"/>
    <col min="7173" max="7173" width="1.25" hidden="1" customWidth="1"/>
    <col min="7174" max="7174" width="76.625" hidden="1" customWidth="1"/>
    <col min="7175" max="7175" width="1.125" hidden="1" customWidth="1"/>
    <col min="7176" max="7176" width="2.5" hidden="1" customWidth="1"/>
    <col min="7425" max="7425" width="1.375" hidden="1" customWidth="1"/>
    <col min="7426" max="7426" width="76.625" hidden="1" customWidth="1"/>
    <col min="7427" max="7427" width="1.25" hidden="1" customWidth="1"/>
    <col min="7428" max="7428" width="4.125" hidden="1" customWidth="1"/>
    <col min="7429" max="7429" width="1.25" hidden="1" customWidth="1"/>
    <col min="7430" max="7430" width="76.625" hidden="1" customWidth="1"/>
    <col min="7431" max="7431" width="1.125" hidden="1" customWidth="1"/>
    <col min="7432" max="7432" width="2.5" hidden="1" customWidth="1"/>
    <col min="7681" max="7681" width="1.375" hidden="1" customWidth="1"/>
    <col min="7682" max="7682" width="76.625" hidden="1" customWidth="1"/>
    <col min="7683" max="7683" width="1.25" hidden="1" customWidth="1"/>
    <col min="7684" max="7684" width="4.125" hidden="1" customWidth="1"/>
    <col min="7685" max="7685" width="1.25" hidden="1" customWidth="1"/>
    <col min="7686" max="7686" width="76.625" hidden="1" customWidth="1"/>
    <col min="7687" max="7687" width="1.125" hidden="1" customWidth="1"/>
    <col min="7688" max="7688" width="2.5" hidden="1" customWidth="1"/>
    <col min="7937" max="7937" width="1.375" hidden="1" customWidth="1"/>
    <col min="7938" max="7938" width="76.625" hidden="1" customWidth="1"/>
    <col min="7939" max="7939" width="1.25" hidden="1" customWidth="1"/>
    <col min="7940" max="7940" width="4.125" hidden="1" customWidth="1"/>
    <col min="7941" max="7941" width="1.25" hidden="1" customWidth="1"/>
    <col min="7942" max="7942" width="76.625" hidden="1" customWidth="1"/>
    <col min="7943" max="7943" width="1.125" hidden="1" customWidth="1"/>
    <col min="7944" max="7944" width="2.5" hidden="1" customWidth="1"/>
    <col min="8193" max="8193" width="1.375" hidden="1" customWidth="1"/>
    <col min="8194" max="8194" width="76.625" hidden="1" customWidth="1"/>
    <col min="8195" max="8195" width="1.25" hidden="1" customWidth="1"/>
    <col min="8196" max="8196" width="4.125" hidden="1" customWidth="1"/>
    <col min="8197" max="8197" width="1.25" hidden="1" customWidth="1"/>
    <col min="8198" max="8198" width="76.625" hidden="1" customWidth="1"/>
    <col min="8199" max="8199" width="1.125" hidden="1" customWidth="1"/>
    <col min="8200" max="8200" width="2.5" hidden="1" customWidth="1"/>
    <col min="8449" max="8449" width="1.375" hidden="1" customWidth="1"/>
    <col min="8450" max="8450" width="76.625" hidden="1" customWidth="1"/>
    <col min="8451" max="8451" width="1.25" hidden="1" customWidth="1"/>
    <col min="8452" max="8452" width="4.125" hidden="1" customWidth="1"/>
    <col min="8453" max="8453" width="1.25" hidden="1" customWidth="1"/>
    <col min="8454" max="8454" width="76.625" hidden="1" customWidth="1"/>
    <col min="8455" max="8455" width="1.125" hidden="1" customWidth="1"/>
    <col min="8456" max="8456" width="2.5" hidden="1" customWidth="1"/>
    <col min="8705" max="8705" width="1.375" hidden="1" customWidth="1"/>
    <col min="8706" max="8706" width="76.625" hidden="1" customWidth="1"/>
    <col min="8707" max="8707" width="1.25" hidden="1" customWidth="1"/>
    <col min="8708" max="8708" width="4.125" hidden="1" customWidth="1"/>
    <col min="8709" max="8709" width="1.25" hidden="1" customWidth="1"/>
    <col min="8710" max="8710" width="76.625" hidden="1" customWidth="1"/>
    <col min="8711" max="8711" width="1.125" hidden="1" customWidth="1"/>
    <col min="8712" max="8712" width="2.5" hidden="1" customWidth="1"/>
    <col min="8961" max="8961" width="1.375" hidden="1" customWidth="1"/>
    <col min="8962" max="8962" width="76.625" hidden="1" customWidth="1"/>
    <col min="8963" max="8963" width="1.25" hidden="1" customWidth="1"/>
    <col min="8964" max="8964" width="4.125" hidden="1" customWidth="1"/>
    <col min="8965" max="8965" width="1.25" hidden="1" customWidth="1"/>
    <col min="8966" max="8966" width="76.625" hidden="1" customWidth="1"/>
    <col min="8967" max="8967" width="1.125" hidden="1" customWidth="1"/>
    <col min="8968" max="8968" width="2.5" hidden="1" customWidth="1"/>
    <col min="9217" max="9217" width="1.375" hidden="1" customWidth="1"/>
    <col min="9218" max="9218" width="76.625" hidden="1" customWidth="1"/>
    <col min="9219" max="9219" width="1.25" hidden="1" customWidth="1"/>
    <col min="9220" max="9220" width="4.125" hidden="1" customWidth="1"/>
    <col min="9221" max="9221" width="1.25" hidden="1" customWidth="1"/>
    <col min="9222" max="9222" width="76.625" hidden="1" customWidth="1"/>
    <col min="9223" max="9223" width="1.125" hidden="1" customWidth="1"/>
    <col min="9224" max="9224" width="2.5" hidden="1" customWidth="1"/>
    <col min="9473" max="9473" width="1.375" hidden="1" customWidth="1"/>
    <col min="9474" max="9474" width="76.625" hidden="1" customWidth="1"/>
    <col min="9475" max="9475" width="1.25" hidden="1" customWidth="1"/>
    <col min="9476" max="9476" width="4.125" hidden="1" customWidth="1"/>
    <col min="9477" max="9477" width="1.25" hidden="1" customWidth="1"/>
    <col min="9478" max="9478" width="76.625" hidden="1" customWidth="1"/>
    <col min="9479" max="9479" width="1.125" hidden="1" customWidth="1"/>
    <col min="9480" max="9480" width="2.5" hidden="1" customWidth="1"/>
    <col min="9729" max="9729" width="1.375" hidden="1" customWidth="1"/>
    <col min="9730" max="9730" width="76.625" hidden="1" customWidth="1"/>
    <col min="9731" max="9731" width="1.25" hidden="1" customWidth="1"/>
    <col min="9732" max="9732" width="4.125" hidden="1" customWidth="1"/>
    <col min="9733" max="9733" width="1.25" hidden="1" customWidth="1"/>
    <col min="9734" max="9734" width="76.625" hidden="1" customWidth="1"/>
    <col min="9735" max="9735" width="1.125" hidden="1" customWidth="1"/>
    <col min="9736" max="9736" width="2.5" hidden="1" customWidth="1"/>
    <col min="9985" max="9985" width="1.375" hidden="1" customWidth="1"/>
    <col min="9986" max="9986" width="76.625" hidden="1" customWidth="1"/>
    <col min="9987" max="9987" width="1.25" hidden="1" customWidth="1"/>
    <col min="9988" max="9988" width="4.125" hidden="1" customWidth="1"/>
    <col min="9989" max="9989" width="1.25" hidden="1" customWidth="1"/>
    <col min="9990" max="9990" width="76.625" hidden="1" customWidth="1"/>
    <col min="9991" max="9991" width="1.125" hidden="1" customWidth="1"/>
    <col min="9992" max="9992" width="2.5" hidden="1" customWidth="1"/>
    <col min="10241" max="10241" width="1.375" hidden="1" customWidth="1"/>
    <col min="10242" max="10242" width="76.625" hidden="1" customWidth="1"/>
    <col min="10243" max="10243" width="1.25" hidden="1" customWidth="1"/>
    <col min="10244" max="10244" width="4.125" hidden="1" customWidth="1"/>
    <col min="10245" max="10245" width="1.25" hidden="1" customWidth="1"/>
    <col min="10246" max="10246" width="76.625" hidden="1" customWidth="1"/>
    <col min="10247" max="10247" width="1.125" hidden="1" customWidth="1"/>
    <col min="10248" max="10248" width="2.5" hidden="1" customWidth="1"/>
    <col min="10497" max="10497" width="1.375" hidden="1" customWidth="1"/>
    <col min="10498" max="10498" width="76.625" hidden="1" customWidth="1"/>
    <col min="10499" max="10499" width="1.25" hidden="1" customWidth="1"/>
    <col min="10500" max="10500" width="4.125" hidden="1" customWidth="1"/>
    <col min="10501" max="10501" width="1.25" hidden="1" customWidth="1"/>
    <col min="10502" max="10502" width="76.625" hidden="1" customWidth="1"/>
    <col min="10503" max="10503" width="1.125" hidden="1" customWidth="1"/>
    <col min="10504" max="10504" width="2.5" hidden="1" customWidth="1"/>
    <col min="10753" max="10753" width="1.375" hidden="1" customWidth="1"/>
    <col min="10754" max="10754" width="76.625" hidden="1" customWidth="1"/>
    <col min="10755" max="10755" width="1.25" hidden="1" customWidth="1"/>
    <col min="10756" max="10756" width="4.125" hidden="1" customWidth="1"/>
    <col min="10757" max="10757" width="1.25" hidden="1" customWidth="1"/>
    <col min="10758" max="10758" width="76.625" hidden="1" customWidth="1"/>
    <col min="10759" max="10759" width="1.125" hidden="1" customWidth="1"/>
    <col min="10760" max="10760" width="2.5" hidden="1" customWidth="1"/>
    <col min="11009" max="11009" width="1.375" hidden="1" customWidth="1"/>
    <col min="11010" max="11010" width="76.625" hidden="1" customWidth="1"/>
    <col min="11011" max="11011" width="1.25" hidden="1" customWidth="1"/>
    <col min="11012" max="11012" width="4.125" hidden="1" customWidth="1"/>
    <col min="11013" max="11013" width="1.25" hidden="1" customWidth="1"/>
    <col min="11014" max="11014" width="76.625" hidden="1" customWidth="1"/>
    <col min="11015" max="11015" width="1.125" hidden="1" customWidth="1"/>
    <col min="11016" max="11016" width="2.5" hidden="1" customWidth="1"/>
    <col min="11265" max="11265" width="1.375" hidden="1" customWidth="1"/>
    <col min="11266" max="11266" width="76.625" hidden="1" customWidth="1"/>
    <col min="11267" max="11267" width="1.25" hidden="1" customWidth="1"/>
    <col min="11268" max="11268" width="4.125" hidden="1" customWidth="1"/>
    <col min="11269" max="11269" width="1.25" hidden="1" customWidth="1"/>
    <col min="11270" max="11270" width="76.625" hidden="1" customWidth="1"/>
    <col min="11271" max="11271" width="1.125" hidden="1" customWidth="1"/>
    <col min="11272" max="11272" width="2.5" hidden="1" customWidth="1"/>
    <col min="11521" max="11521" width="1.375" hidden="1" customWidth="1"/>
    <col min="11522" max="11522" width="76.625" hidden="1" customWidth="1"/>
    <col min="11523" max="11523" width="1.25" hidden="1" customWidth="1"/>
    <col min="11524" max="11524" width="4.125" hidden="1" customWidth="1"/>
    <col min="11525" max="11525" width="1.25" hidden="1" customWidth="1"/>
    <col min="11526" max="11526" width="76.625" hidden="1" customWidth="1"/>
    <col min="11527" max="11527" width="1.125" hidden="1" customWidth="1"/>
    <col min="11528" max="11528" width="2.5" hidden="1" customWidth="1"/>
    <col min="11777" max="11777" width="1.375" hidden="1" customWidth="1"/>
    <col min="11778" max="11778" width="76.625" hidden="1" customWidth="1"/>
    <col min="11779" max="11779" width="1.25" hidden="1" customWidth="1"/>
    <col min="11780" max="11780" width="4.125" hidden="1" customWidth="1"/>
    <col min="11781" max="11781" width="1.25" hidden="1" customWidth="1"/>
    <col min="11782" max="11782" width="76.625" hidden="1" customWidth="1"/>
    <col min="11783" max="11783" width="1.125" hidden="1" customWidth="1"/>
    <col min="11784" max="11784" width="2.5" hidden="1" customWidth="1"/>
    <col min="12033" max="12033" width="1.375" hidden="1" customWidth="1"/>
    <col min="12034" max="12034" width="76.625" hidden="1" customWidth="1"/>
    <col min="12035" max="12035" width="1.25" hidden="1" customWidth="1"/>
    <col min="12036" max="12036" width="4.125" hidden="1" customWidth="1"/>
    <col min="12037" max="12037" width="1.25" hidden="1" customWidth="1"/>
    <col min="12038" max="12038" width="76.625" hidden="1" customWidth="1"/>
    <col min="12039" max="12039" width="1.125" hidden="1" customWidth="1"/>
    <col min="12040" max="12040" width="2.5" hidden="1" customWidth="1"/>
    <col min="12289" max="12289" width="1.375" hidden="1" customWidth="1"/>
    <col min="12290" max="12290" width="76.625" hidden="1" customWidth="1"/>
    <col min="12291" max="12291" width="1.25" hidden="1" customWidth="1"/>
    <col min="12292" max="12292" width="4.125" hidden="1" customWidth="1"/>
    <col min="12293" max="12293" width="1.25" hidden="1" customWidth="1"/>
    <col min="12294" max="12294" width="76.625" hidden="1" customWidth="1"/>
    <col min="12295" max="12295" width="1.125" hidden="1" customWidth="1"/>
    <col min="12296" max="12296" width="2.5" hidden="1" customWidth="1"/>
    <col min="12545" max="12545" width="1.375" hidden="1" customWidth="1"/>
    <col min="12546" max="12546" width="76.625" hidden="1" customWidth="1"/>
    <col min="12547" max="12547" width="1.25" hidden="1" customWidth="1"/>
    <col min="12548" max="12548" width="4.125" hidden="1" customWidth="1"/>
    <col min="12549" max="12549" width="1.25" hidden="1" customWidth="1"/>
    <col min="12550" max="12550" width="76.625" hidden="1" customWidth="1"/>
    <col min="12551" max="12551" width="1.125" hidden="1" customWidth="1"/>
    <col min="12552" max="12552" width="2.5" hidden="1" customWidth="1"/>
    <col min="12801" max="12801" width="1.375" hidden="1" customWidth="1"/>
    <col min="12802" max="12802" width="76.625" hidden="1" customWidth="1"/>
    <col min="12803" max="12803" width="1.25" hidden="1" customWidth="1"/>
    <col min="12804" max="12804" width="4.125" hidden="1" customWidth="1"/>
    <col min="12805" max="12805" width="1.25" hidden="1" customWidth="1"/>
    <col min="12806" max="12806" width="76.625" hidden="1" customWidth="1"/>
    <col min="12807" max="12807" width="1.125" hidden="1" customWidth="1"/>
    <col min="12808" max="12808" width="2.5" hidden="1" customWidth="1"/>
    <col min="13057" max="13057" width="1.375" hidden="1" customWidth="1"/>
    <col min="13058" max="13058" width="76.625" hidden="1" customWidth="1"/>
    <col min="13059" max="13059" width="1.25" hidden="1" customWidth="1"/>
    <col min="13060" max="13060" width="4.125" hidden="1" customWidth="1"/>
    <col min="13061" max="13061" width="1.25" hidden="1" customWidth="1"/>
    <col min="13062" max="13062" width="76.625" hidden="1" customWidth="1"/>
    <col min="13063" max="13063" width="1.125" hidden="1" customWidth="1"/>
    <col min="13064" max="13064" width="2.5" hidden="1" customWidth="1"/>
    <col min="13313" max="13313" width="1.375" hidden="1" customWidth="1"/>
    <col min="13314" max="13314" width="76.625" hidden="1" customWidth="1"/>
    <col min="13315" max="13315" width="1.25" hidden="1" customWidth="1"/>
    <col min="13316" max="13316" width="4.125" hidden="1" customWidth="1"/>
    <col min="13317" max="13317" width="1.25" hidden="1" customWidth="1"/>
    <col min="13318" max="13318" width="76.625" hidden="1" customWidth="1"/>
    <col min="13319" max="13319" width="1.125" hidden="1" customWidth="1"/>
    <col min="13320" max="13320" width="2.5" hidden="1" customWidth="1"/>
    <col min="13569" max="13569" width="1.375" hidden="1" customWidth="1"/>
    <col min="13570" max="13570" width="76.625" hidden="1" customWidth="1"/>
    <col min="13571" max="13571" width="1.25" hidden="1" customWidth="1"/>
    <col min="13572" max="13572" width="4.125" hidden="1" customWidth="1"/>
    <col min="13573" max="13573" width="1.25" hidden="1" customWidth="1"/>
    <col min="13574" max="13574" width="76.625" hidden="1" customWidth="1"/>
    <col min="13575" max="13575" width="1.125" hidden="1" customWidth="1"/>
    <col min="13576" max="13576" width="2.5" hidden="1" customWidth="1"/>
    <col min="13825" max="13825" width="1.375" hidden="1" customWidth="1"/>
    <col min="13826" max="13826" width="76.625" hidden="1" customWidth="1"/>
    <col min="13827" max="13827" width="1.25" hidden="1" customWidth="1"/>
    <col min="13828" max="13828" width="4.125" hidden="1" customWidth="1"/>
    <col min="13829" max="13829" width="1.25" hidden="1" customWidth="1"/>
    <col min="13830" max="13830" width="76.625" hidden="1" customWidth="1"/>
    <col min="13831" max="13831" width="1.125" hidden="1" customWidth="1"/>
    <col min="13832" max="13832" width="2.5" hidden="1" customWidth="1"/>
    <col min="14081" max="14081" width="1.375" hidden="1" customWidth="1"/>
    <col min="14082" max="14082" width="76.625" hidden="1" customWidth="1"/>
    <col min="14083" max="14083" width="1.25" hidden="1" customWidth="1"/>
    <col min="14084" max="14084" width="4.125" hidden="1" customWidth="1"/>
    <col min="14085" max="14085" width="1.25" hidden="1" customWidth="1"/>
    <col min="14086" max="14086" width="76.625" hidden="1" customWidth="1"/>
    <col min="14087" max="14087" width="1.125" hidden="1" customWidth="1"/>
    <col min="14088" max="14088" width="2.5" hidden="1" customWidth="1"/>
    <col min="14337" max="14337" width="1.375" hidden="1" customWidth="1"/>
    <col min="14338" max="14338" width="76.625" hidden="1" customWidth="1"/>
    <col min="14339" max="14339" width="1.25" hidden="1" customWidth="1"/>
    <col min="14340" max="14340" width="4.125" hidden="1" customWidth="1"/>
    <col min="14341" max="14341" width="1.25" hidden="1" customWidth="1"/>
    <col min="14342" max="14342" width="76.625" hidden="1" customWidth="1"/>
    <col min="14343" max="14343" width="1.125" hidden="1" customWidth="1"/>
    <col min="14344" max="14344" width="2.5" hidden="1" customWidth="1"/>
    <col min="14593" max="14593" width="1.375" hidden="1" customWidth="1"/>
    <col min="14594" max="14594" width="76.625" hidden="1" customWidth="1"/>
    <col min="14595" max="14595" width="1.25" hidden="1" customWidth="1"/>
    <col min="14596" max="14596" width="4.125" hidden="1" customWidth="1"/>
    <col min="14597" max="14597" width="1.25" hidden="1" customWidth="1"/>
    <col min="14598" max="14598" width="76.625" hidden="1" customWidth="1"/>
    <col min="14599" max="14599" width="1.125" hidden="1" customWidth="1"/>
    <col min="14600" max="14600" width="2.5" hidden="1" customWidth="1"/>
    <col min="14849" max="14849" width="1.375" hidden="1" customWidth="1"/>
    <col min="14850" max="14850" width="76.625" hidden="1" customWidth="1"/>
    <col min="14851" max="14851" width="1.25" hidden="1" customWidth="1"/>
    <col min="14852" max="14852" width="4.125" hidden="1" customWidth="1"/>
    <col min="14853" max="14853" width="1.25" hidden="1" customWidth="1"/>
    <col min="14854" max="14854" width="76.625" hidden="1" customWidth="1"/>
    <col min="14855" max="14855" width="1.125" hidden="1" customWidth="1"/>
    <col min="14856" max="14856" width="2.5" hidden="1" customWidth="1"/>
    <col min="15105" max="15105" width="1.375" hidden="1" customWidth="1"/>
    <col min="15106" max="15106" width="76.625" hidden="1" customWidth="1"/>
    <col min="15107" max="15107" width="1.25" hidden="1" customWidth="1"/>
    <col min="15108" max="15108" width="4.125" hidden="1" customWidth="1"/>
    <col min="15109" max="15109" width="1.25" hidden="1" customWidth="1"/>
    <col min="15110" max="15110" width="76.625" hidden="1" customWidth="1"/>
    <col min="15111" max="15111" width="1.125" hidden="1" customWidth="1"/>
    <col min="15112" max="15112" width="2.5" hidden="1" customWidth="1"/>
    <col min="15361" max="15361" width="1.375" hidden="1" customWidth="1"/>
    <col min="15362" max="15362" width="76.625" hidden="1" customWidth="1"/>
    <col min="15363" max="15363" width="1.25" hidden="1" customWidth="1"/>
    <col min="15364" max="15364" width="4.125" hidden="1" customWidth="1"/>
    <col min="15365" max="15365" width="1.25" hidden="1" customWidth="1"/>
    <col min="15366" max="15366" width="76.625" hidden="1" customWidth="1"/>
    <col min="15367" max="15367" width="1.125" hidden="1" customWidth="1"/>
    <col min="15368" max="15368" width="2.5" hidden="1" customWidth="1"/>
    <col min="15617" max="15617" width="1.375" hidden="1" customWidth="1"/>
    <col min="15618" max="15618" width="76.625" hidden="1" customWidth="1"/>
    <col min="15619" max="15619" width="1.25" hidden="1" customWidth="1"/>
    <col min="15620" max="15620" width="4.125" hidden="1" customWidth="1"/>
    <col min="15621" max="15621" width="1.25" hidden="1" customWidth="1"/>
    <col min="15622" max="15622" width="76.625" hidden="1" customWidth="1"/>
    <col min="15623" max="15623" width="1.125" hidden="1" customWidth="1"/>
    <col min="15624" max="15624" width="2.5" hidden="1" customWidth="1"/>
    <col min="15873" max="15873" width="1.375" hidden="1" customWidth="1"/>
    <col min="15874" max="15874" width="76.625" hidden="1" customWidth="1"/>
    <col min="15875" max="15875" width="1.25" hidden="1" customWidth="1"/>
    <col min="15876" max="15876" width="4.125" hidden="1" customWidth="1"/>
    <col min="15877" max="15877" width="1.25" hidden="1" customWidth="1"/>
    <col min="15878" max="15878" width="76.625" hidden="1" customWidth="1"/>
    <col min="15879" max="15879" width="1.125" hidden="1" customWidth="1"/>
    <col min="15880" max="15880" width="2.5" hidden="1" customWidth="1"/>
    <col min="16129" max="16129" width="1.375" hidden="1" customWidth="1"/>
    <col min="16130" max="16130" width="76.625" hidden="1" customWidth="1"/>
    <col min="16131" max="16131" width="1.25" hidden="1" customWidth="1"/>
    <col min="16132" max="16132" width="4.125" hidden="1" customWidth="1"/>
    <col min="16133" max="16133" width="1.25" hidden="1" customWidth="1"/>
    <col min="16134" max="16134" width="76.625" hidden="1" customWidth="1"/>
    <col min="16135" max="16135" width="1.125" hidden="1" customWidth="1"/>
    <col min="16136" max="16136" width="2.5" hidden="1" customWidth="1"/>
  </cols>
  <sheetData>
    <row r="1" spans="1:7" ht="30" customHeight="1">
      <c r="A1" s="2376"/>
      <c r="B1" s="2377" t="s">
        <v>1736</v>
      </c>
      <c r="C1" s="2376"/>
      <c r="E1" s="2378"/>
      <c r="F1" s="2379" t="s">
        <v>1737</v>
      </c>
      <c r="G1" s="2378"/>
    </row>
    <row r="2" spans="1:7" ht="75" customHeight="1">
      <c r="B2" s="2691" t="s">
        <v>1738</v>
      </c>
      <c r="F2" s="2380" t="s">
        <v>1739</v>
      </c>
    </row>
    <row r="3" spans="1:7" ht="18.75" customHeight="1">
      <c r="A3" s="2376"/>
      <c r="B3" s="2376" t="s">
        <v>1740</v>
      </c>
      <c r="C3" s="2376"/>
      <c r="E3" s="2378"/>
      <c r="F3" s="2378" t="s">
        <v>1741</v>
      </c>
      <c r="G3" s="2378"/>
    </row>
    <row r="4" spans="1:7" ht="279.95" customHeight="1">
      <c r="A4" s="2376"/>
      <c r="B4" s="2381"/>
      <c r="C4" s="2376"/>
      <c r="E4" s="2378"/>
      <c r="F4" s="2381"/>
      <c r="G4" s="2378"/>
    </row>
    <row r="5" spans="1:7" ht="8.25" customHeight="1">
      <c r="A5" s="2376"/>
      <c r="B5" s="2376"/>
      <c r="C5" s="2376"/>
      <c r="E5" s="2378"/>
      <c r="F5" s="2378"/>
      <c r="G5" s="2378"/>
    </row>
    <row r="6" spans="1:7"/>
  </sheetData>
  <sheetProtection password="82B4" sheet="1" objects="1" scenarios="1"/>
  <phoneticPr fontId="20"/>
  <pageMargins left="0.78700000000000003" right="0.78700000000000003" top="0.98399999999999999" bottom="0.98399999999999999" header="0.51200000000000001" footer="0.51200000000000001"/>
  <pageSetup paperSize="9" scale="87"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sheetPr codeName="Sheet6">
    <pageSetUpPr fitToPage="1"/>
  </sheetPr>
  <dimension ref="B1:AC88"/>
  <sheetViews>
    <sheetView showGridLines="0" zoomScaleNormal="100" workbookViewId="0">
      <selection activeCell="I15" sqref="I15"/>
    </sheetView>
  </sheetViews>
  <sheetFormatPr defaultColWidth="0" defaultRowHeight="13.5" customHeight="1" zeroHeight="1"/>
  <cols>
    <col min="1" max="1" width="1.25" customWidth="1"/>
    <col min="2" max="2" width="5.875" style="1647" customWidth="1"/>
    <col min="3" max="3" width="28.125" style="1647" customWidth="1"/>
    <col min="4" max="4" width="15" style="1647" customWidth="1"/>
    <col min="5" max="5" width="13.125" style="1647" customWidth="1"/>
    <col min="6" max="6" width="9.875" customWidth="1"/>
    <col min="7" max="7" width="3" customWidth="1"/>
    <col min="8" max="8" width="4.125" customWidth="1"/>
    <col min="9" max="9" width="29.375" bestFit="1" customWidth="1"/>
    <col min="10" max="10" width="10.75" bestFit="1" customWidth="1"/>
    <col min="11" max="11" width="12.5" bestFit="1" customWidth="1"/>
    <col min="12" max="12" width="4.375" customWidth="1"/>
    <col min="13" max="13" width="2.875" customWidth="1"/>
    <col min="14" max="14" width="5.625" hidden="1" customWidth="1"/>
    <col min="15" max="16" width="14.125" hidden="1" customWidth="1"/>
    <col min="17" max="17" width="2.125" hidden="1" customWidth="1"/>
    <col min="18" max="19" width="14.125" hidden="1" customWidth="1"/>
  </cols>
  <sheetData>
    <row r="1" spans="2:29" s="60" customFormat="1" ht="9.75" customHeight="1" thickBot="1"/>
    <row r="2" spans="2:29" s="1780" customFormat="1" ht="18.75">
      <c r="B2" s="1776" t="s">
        <v>929</v>
      </c>
      <c r="C2" s="1777"/>
      <c r="D2" s="1778"/>
      <c r="E2" s="1777"/>
      <c r="F2" s="1779"/>
      <c r="G2" s="60"/>
      <c r="M2" s="60"/>
      <c r="N2" s="60"/>
      <c r="O2" s="60"/>
      <c r="P2" s="60"/>
      <c r="Q2" s="60"/>
      <c r="R2" s="60"/>
      <c r="S2" s="60"/>
      <c r="T2" s="60"/>
      <c r="U2" s="60"/>
      <c r="V2" s="60"/>
      <c r="W2" s="60"/>
      <c r="X2" s="60"/>
      <c r="Y2" s="60"/>
      <c r="Z2" s="60"/>
      <c r="AA2" s="60"/>
      <c r="AB2" s="60"/>
      <c r="AC2" s="60"/>
    </row>
    <row r="3" spans="2:29" s="1780" customFormat="1" ht="21" customHeight="1">
      <c r="B3" s="1781" t="s">
        <v>930</v>
      </c>
      <c r="C3" s="1782"/>
      <c r="D3" s="1783"/>
      <c r="E3" s="1784"/>
      <c r="F3" s="1785"/>
      <c r="G3" s="60"/>
      <c r="H3" s="1786" t="s">
        <v>1176</v>
      </c>
      <c r="I3" s="1787"/>
      <c r="J3" s="1787"/>
      <c r="K3" s="1787"/>
      <c r="L3" s="1788"/>
      <c r="M3" s="60"/>
      <c r="O3" s="1789">
        <v>0</v>
      </c>
      <c r="P3" s="60" t="s">
        <v>931</v>
      </c>
      <c r="Q3" s="60"/>
      <c r="R3" s="60"/>
      <c r="S3" s="60"/>
      <c r="T3" s="60"/>
      <c r="U3" s="60"/>
      <c r="V3" s="60"/>
      <c r="W3" s="60"/>
      <c r="X3" s="60"/>
      <c r="Y3" s="60"/>
      <c r="Z3" s="60"/>
      <c r="AA3" s="60"/>
      <c r="AB3" s="60"/>
      <c r="AC3" s="60"/>
    </row>
    <row r="4" spans="2:29">
      <c r="B4" s="1790"/>
      <c r="C4" s="1791" t="s">
        <v>932</v>
      </c>
      <c r="D4" s="1791" t="s">
        <v>187</v>
      </c>
      <c r="E4" s="1792"/>
      <c r="F4" s="1793"/>
      <c r="H4" s="1794" t="s">
        <v>1177</v>
      </c>
      <c r="I4" s="1792"/>
      <c r="J4" s="1792"/>
      <c r="K4" s="1792"/>
      <c r="L4" s="1795"/>
    </row>
    <row r="5" spans="2:29">
      <c r="B5" s="1790"/>
      <c r="C5" s="1796" t="str">
        <f>IF($O$7=0,"根拠を記入してください",$O$7)</f>
        <v>根拠を記入してください</v>
      </c>
      <c r="D5" s="1797" t="str">
        <f>IF($P$7=0,O9,$P$7)</f>
        <v>N.A.</v>
      </c>
      <c r="E5" s="1792" t="s">
        <v>1178</v>
      </c>
      <c r="F5" s="1793"/>
      <c r="H5" s="1794" t="s">
        <v>1179</v>
      </c>
      <c r="I5" s="1792"/>
      <c r="J5" s="1792"/>
      <c r="K5" s="1792"/>
      <c r="L5" s="1795"/>
    </row>
    <row r="6" spans="2:29">
      <c r="B6" s="1790"/>
      <c r="C6" s="1792"/>
      <c r="D6" s="1792"/>
      <c r="E6" s="1792"/>
      <c r="F6" s="1793"/>
      <c r="H6" s="1794"/>
      <c r="I6" s="1798" t="str">
        <f>CO2データ!D105</f>
        <v>北海道電力株式会社</v>
      </c>
      <c r="J6" s="1799">
        <f>CO2データ!I105</f>
        <v>6.8800000000000003E-4</v>
      </c>
      <c r="K6" s="1794"/>
      <c r="L6" s="1800"/>
      <c r="O6" t="s">
        <v>933</v>
      </c>
      <c r="P6" t="s">
        <v>934</v>
      </c>
    </row>
    <row r="7" spans="2:29">
      <c r="B7" s="1790"/>
      <c r="C7" s="1792"/>
      <c r="D7" s="1792"/>
      <c r="E7" s="1792"/>
      <c r="F7" s="1793"/>
      <c r="H7" s="1794"/>
      <c r="I7" s="1798" t="str">
        <f>CO2データ!D106</f>
        <v>東北電力株式会社</v>
      </c>
      <c r="J7" s="1799">
        <f>CO2データ!I106</f>
        <v>5.9999999999999995E-4</v>
      </c>
      <c r="K7" s="1794"/>
      <c r="L7" s="1800"/>
      <c r="O7">
        <f>IF($O$3=1,C10,IF($O$3=2,C16,IF($O$3=3,C20,IF($O$3=4,C24,C28))))</f>
        <v>0</v>
      </c>
      <c r="P7">
        <f>IF($O$3=1,D10,IF($O$3=2,D16,IF($O$3=3,D20,IF($O$3=4,D24,D28))))</f>
        <v>0</v>
      </c>
    </row>
    <row r="8" spans="2:29">
      <c r="B8" s="1790" t="s">
        <v>935</v>
      </c>
      <c r="C8" s="1792"/>
      <c r="D8" s="1801"/>
      <c r="E8" s="1792"/>
      <c r="F8" s="1793"/>
      <c r="H8" s="1794"/>
      <c r="I8" s="1798" t="str">
        <f>CO2データ!D107</f>
        <v>東京電力株式会社</v>
      </c>
      <c r="J8" s="1799">
        <f>CO2データ!I107</f>
        <v>5.2499999999999997E-4</v>
      </c>
      <c r="K8" s="1794"/>
      <c r="L8" s="1800"/>
    </row>
    <row r="9" spans="2:29">
      <c r="B9" s="1790"/>
      <c r="C9" s="1791" t="s">
        <v>932</v>
      </c>
      <c r="D9" s="1802" t="s">
        <v>936</v>
      </c>
      <c r="E9" s="1801"/>
      <c r="F9" s="1793"/>
      <c r="H9" s="1794"/>
      <c r="I9" s="1798" t="str">
        <f>CO2データ!D108</f>
        <v>中部電力株式会社</v>
      </c>
      <c r="J9" s="1799">
        <f>CO2データ!I108</f>
        <v>5.1599999999999997E-4</v>
      </c>
      <c r="K9" s="1794"/>
      <c r="L9" s="1800"/>
      <c r="O9" t="s">
        <v>920</v>
      </c>
    </row>
    <row r="10" spans="2:29">
      <c r="B10" s="1790"/>
      <c r="C10" s="1803"/>
      <c r="D10" s="1804"/>
      <c r="E10" s="1792" t="s">
        <v>937</v>
      </c>
      <c r="F10" s="1793"/>
      <c r="H10" s="1794"/>
      <c r="I10" s="1798" t="str">
        <f>CO2データ!D109</f>
        <v>北陸電力株式会社</v>
      </c>
      <c r="J10" s="1799">
        <f>CO2データ!I109</f>
        <v>6.6299999999999996E-4</v>
      </c>
      <c r="K10" s="1794"/>
      <c r="L10" s="1800"/>
    </row>
    <row r="11" spans="2:29">
      <c r="B11" s="1790"/>
      <c r="C11" s="1792"/>
      <c r="D11" s="1792"/>
      <c r="E11" s="1792"/>
      <c r="F11" s="1793"/>
      <c r="H11" s="1794"/>
      <c r="I11" s="1798" t="str">
        <f>CO2データ!D110</f>
        <v>関西電力株式会社</v>
      </c>
      <c r="J11" s="1799">
        <f>CO2データ!I110</f>
        <v>5.1400000000000003E-4</v>
      </c>
      <c r="K11" s="1794"/>
      <c r="L11" s="1800"/>
    </row>
    <row r="12" spans="2:29">
      <c r="B12" s="1790" t="s">
        <v>938</v>
      </c>
      <c r="C12" s="1792"/>
      <c r="D12" s="1792"/>
      <c r="E12" s="1792"/>
      <c r="F12" s="1793"/>
      <c r="H12" s="1794"/>
      <c r="I12" s="1798" t="str">
        <f>CO2データ!D111</f>
        <v>中国電力株式会社</v>
      </c>
      <c r="J12" s="1799">
        <f>CO2データ!I111</f>
        <v>7.3800000000000005E-4</v>
      </c>
      <c r="K12" s="1794"/>
      <c r="L12" s="1800"/>
    </row>
    <row r="13" spans="2:29">
      <c r="B13" s="1805" t="s">
        <v>939</v>
      </c>
      <c r="C13" s="2964" t="s">
        <v>940</v>
      </c>
      <c r="D13" s="2964"/>
      <c r="E13" s="2964"/>
      <c r="F13" s="1793"/>
      <c r="H13" s="1794"/>
      <c r="I13" s="1798" t="str">
        <f>CO2データ!D112</f>
        <v>四国電力株式会社</v>
      </c>
      <c r="J13" s="1799">
        <f>CO2データ!I112</f>
        <v>6.9999999999999999E-4</v>
      </c>
      <c r="K13" s="1794"/>
      <c r="L13" s="1800"/>
    </row>
    <row r="14" spans="2:29">
      <c r="B14" s="1805"/>
      <c r="C14" s="2964"/>
      <c r="D14" s="2964"/>
      <c r="E14" s="2964"/>
      <c r="F14" s="1793"/>
      <c r="H14" s="1794"/>
      <c r="I14" s="1798" t="str">
        <f>CO2データ!D113</f>
        <v>九州電力株式会社</v>
      </c>
      <c r="J14" s="1799">
        <f>CO2データ!I113</f>
        <v>6.1200000000000002E-4</v>
      </c>
      <c r="K14" s="1794"/>
      <c r="L14" s="1800"/>
    </row>
    <row r="15" spans="2:29">
      <c r="B15" s="1790"/>
      <c r="C15" s="1791" t="s">
        <v>941</v>
      </c>
      <c r="D15" s="1802" t="s">
        <v>936</v>
      </c>
      <c r="E15" s="1801"/>
      <c r="F15" s="1793"/>
      <c r="H15" s="1794"/>
      <c r="I15" s="1798" t="str">
        <f>CO2データ!D114</f>
        <v>沖縄電力株式会社</v>
      </c>
      <c r="J15" s="1799">
        <f>CO2データ!I114</f>
        <v>9.0300000000000005E-4</v>
      </c>
      <c r="K15" s="1794"/>
      <c r="L15" s="1800"/>
    </row>
    <row r="16" spans="2:29">
      <c r="B16" s="1790"/>
      <c r="C16" s="1804"/>
      <c r="D16" s="1806" t="e">
        <f>VLOOKUP(C16,C50:D88,2)</f>
        <v>#N/A</v>
      </c>
      <c r="E16" s="1792" t="s">
        <v>943</v>
      </c>
      <c r="F16" s="1793"/>
      <c r="H16" s="1794"/>
      <c r="I16" s="1798" t="str">
        <f>CO2データ!D115</f>
        <v>イーレックス株式会社</v>
      </c>
      <c r="J16" s="1799">
        <f>CO2データ!I115</f>
        <v>6.0300000000000002E-4</v>
      </c>
      <c r="K16" s="1794"/>
      <c r="L16" s="1800"/>
    </row>
    <row r="17" spans="2:12" ht="15" customHeight="1">
      <c r="B17" s="1790"/>
      <c r="C17" s="46"/>
      <c r="D17" s="46"/>
      <c r="E17" s="46"/>
      <c r="F17" s="1793"/>
      <c r="H17" s="1794"/>
      <c r="I17" s="1798" t="str">
        <f>CO2データ!D116</f>
        <v>出光グリーンパワー株式会社</v>
      </c>
      <c r="J17" s="1799">
        <f>CO2データ!I116</f>
        <v>8.6000000000000003E-5</v>
      </c>
      <c r="K17" s="1794"/>
      <c r="L17" s="1800"/>
    </row>
    <row r="18" spans="2:12" ht="15" customHeight="1">
      <c r="B18" s="1805" t="s">
        <v>944</v>
      </c>
      <c r="C18" s="1792" t="s">
        <v>786</v>
      </c>
      <c r="D18" s="1801"/>
      <c r="E18" s="1792"/>
      <c r="F18" s="1793"/>
      <c r="H18" s="1794"/>
      <c r="I18" s="1798" t="str">
        <f>CO2データ!D117</f>
        <v>伊藤忠エネクス株式会社</v>
      </c>
      <c r="J18" s="1799">
        <f>CO2データ!I117</f>
        <v>6.7599999999999995E-4</v>
      </c>
      <c r="K18" s="1794"/>
      <c r="L18" s="1800"/>
    </row>
    <row r="19" spans="2:12" ht="15" customHeight="1">
      <c r="B19" s="1790"/>
      <c r="C19" s="1791" t="s">
        <v>932</v>
      </c>
      <c r="D19" s="1802" t="s">
        <v>1180</v>
      </c>
      <c r="E19" s="1801"/>
      <c r="F19" s="1793"/>
      <c r="H19" s="1794"/>
      <c r="I19" s="1798" t="str">
        <f>CO2データ!D118</f>
        <v>エネサーブ株式会社</v>
      </c>
      <c r="J19" s="1799">
        <f>CO2データ!I118</f>
        <v>6.1600000000000001E-4</v>
      </c>
      <c r="K19" s="1794"/>
      <c r="L19" s="1800"/>
    </row>
    <row r="20" spans="2:12" ht="15" customHeight="1">
      <c r="B20" s="1790"/>
      <c r="C20" s="1803"/>
      <c r="D20" s="1804"/>
      <c r="E20" s="1792" t="s">
        <v>1181</v>
      </c>
      <c r="F20" s="1793"/>
      <c r="H20" s="1794"/>
      <c r="I20" s="1798" t="str">
        <f>CO2データ!D119</f>
        <v>荏原環境プラント株式会社</v>
      </c>
      <c r="J20" s="1799">
        <f>CO2データ!I119</f>
        <v>4.5600000000000003E-4</v>
      </c>
      <c r="K20" s="1794"/>
      <c r="L20" s="1800"/>
    </row>
    <row r="21" spans="2:12" ht="15" customHeight="1">
      <c r="B21" s="1790"/>
      <c r="C21" s="46"/>
      <c r="D21" s="46"/>
      <c r="E21" s="46"/>
      <c r="F21" s="1793"/>
      <c r="H21" s="1794"/>
      <c r="I21" s="1798" t="str">
        <f>CO2データ!D120</f>
        <v>王子製紙株式会社</v>
      </c>
      <c r="J21" s="1799">
        <f>CO2データ!I120</f>
        <v>4.75E-4</v>
      </c>
      <c r="K21" s="1794"/>
      <c r="L21" s="1800"/>
    </row>
    <row r="22" spans="2:12" ht="15" customHeight="1">
      <c r="B22" s="1805" t="s">
        <v>1182</v>
      </c>
      <c r="C22" s="1792" t="s">
        <v>1183</v>
      </c>
      <c r="D22" s="1792"/>
      <c r="E22" s="1792"/>
      <c r="F22" s="1793"/>
      <c r="H22" s="1794"/>
      <c r="I22" s="1798" t="str">
        <f>CO2データ!D121</f>
        <v>オリックス株式会社</v>
      </c>
      <c r="J22" s="1799">
        <f>CO2データ!I121</f>
        <v>7.6199999999999998E-4</v>
      </c>
      <c r="K22" s="1794"/>
      <c r="L22" s="1800"/>
    </row>
    <row r="23" spans="2:12" ht="15" customHeight="1">
      <c r="B23" s="1805"/>
      <c r="C23" s="1791" t="s">
        <v>945</v>
      </c>
      <c r="D23" s="1802" t="s">
        <v>936</v>
      </c>
      <c r="E23" s="1792"/>
      <c r="F23" s="1793"/>
      <c r="H23" s="1794"/>
      <c r="I23" s="1798" t="str">
        <f>CO2データ!D122</f>
        <v>株式会社イーセル</v>
      </c>
      <c r="J23" s="1799">
        <f>CO2データ!I122</f>
        <v>0</v>
      </c>
      <c r="K23" s="1794"/>
      <c r="L23" s="1800"/>
    </row>
    <row r="24" spans="2:12" ht="15" customHeight="1">
      <c r="B24" s="1790"/>
      <c r="C24" s="2085" t="s">
        <v>1183</v>
      </c>
      <c r="D24" s="1806" t="str">
        <f>IF($O$3=4,J46,"")</f>
        <v/>
      </c>
      <c r="E24" s="1792" t="s">
        <v>1181</v>
      </c>
      <c r="F24" s="1793"/>
      <c r="H24" s="1794"/>
      <c r="I24" s="1798" t="str">
        <f>CO2データ!D123</f>
        <v>株式会社エネット</v>
      </c>
      <c r="J24" s="1799">
        <f>CO2データ!I123</f>
        <v>4.2900000000000002E-4</v>
      </c>
      <c r="K24" s="1794"/>
      <c r="L24" s="1800"/>
    </row>
    <row r="25" spans="2:12" ht="15" customHeight="1">
      <c r="B25" s="1790"/>
      <c r="C25" s="1792"/>
      <c r="D25" s="1792"/>
      <c r="E25" s="1792"/>
      <c r="F25" s="1793"/>
      <c r="H25" s="1794"/>
      <c r="I25" s="1798" t="str">
        <f>CO2データ!D124</f>
        <v>株式会社Ｆ－Ｐｏｗｅｒ</v>
      </c>
      <c r="J25" s="1799">
        <f>CO2データ!I124</f>
        <v>5.2499999999999997E-4</v>
      </c>
      <c r="K25" s="1794"/>
      <c r="L25" s="1800"/>
    </row>
    <row r="26" spans="2:12" ht="15" customHeight="1">
      <c r="B26" s="1790" t="s">
        <v>1184</v>
      </c>
      <c r="C26" s="1792"/>
      <c r="D26" s="1801"/>
      <c r="E26" s="1792"/>
      <c r="F26" s="1793"/>
      <c r="H26" s="1794"/>
      <c r="I26" s="1798" t="str">
        <f>CO2データ!D125</f>
        <v>株式会社Ｇ－Ｐｏｗｅｒ</v>
      </c>
      <c r="J26" s="1799">
        <f>CO2データ!I125</f>
        <v>4.4099999999999999E-4</v>
      </c>
      <c r="K26" s="1794"/>
      <c r="L26" s="1800"/>
    </row>
    <row r="27" spans="2:12" ht="15" customHeight="1">
      <c r="B27" s="1790"/>
      <c r="C27" s="1791" t="s">
        <v>932</v>
      </c>
      <c r="D27" s="1802" t="s">
        <v>936</v>
      </c>
      <c r="E27" s="1801"/>
      <c r="F27" s="1793"/>
      <c r="H27" s="1794"/>
      <c r="I27" s="1798" t="str">
        <f>CO2データ!D126</f>
        <v>株式会社日本セレモニー</v>
      </c>
      <c r="J27" s="1799">
        <f>CO2データ!I126</f>
        <v>7.9699999999999997E-4</v>
      </c>
      <c r="K27" s="1794"/>
      <c r="L27" s="1800"/>
    </row>
    <row r="28" spans="2:12" ht="15" customHeight="1">
      <c r="B28" s="1790"/>
      <c r="C28" s="1803"/>
      <c r="D28" s="1804"/>
      <c r="E28" s="1792" t="s">
        <v>937</v>
      </c>
      <c r="F28" s="1793"/>
      <c r="H28" s="1794"/>
      <c r="I28" s="1798" t="str">
        <f>CO2データ!D127</f>
        <v>サミットエナジー株式会社</v>
      </c>
      <c r="J28" s="1799">
        <f>CO2データ!I127</f>
        <v>4.3800000000000002E-4</v>
      </c>
      <c r="K28" s="1794"/>
      <c r="L28" s="1800"/>
    </row>
    <row r="29" spans="2:12" ht="15" customHeight="1">
      <c r="B29" s="1790"/>
      <c r="C29" s="2086"/>
      <c r="D29" s="2086"/>
      <c r="E29" s="1792"/>
      <c r="F29" s="1793"/>
      <c r="H29" s="1794"/>
      <c r="I29" s="1798" t="str">
        <f>CO2データ!D128</f>
        <v>ＪＸ日鉱日石エネルギー株式会社</v>
      </c>
      <c r="J29" s="1799">
        <f>CO2データ!I128</f>
        <v>3.6699999999999998E-4</v>
      </c>
      <c r="K29" s="1794"/>
      <c r="L29" s="1800"/>
    </row>
    <row r="30" spans="2:12" ht="15" customHeight="1">
      <c r="B30" s="1790"/>
      <c r="C30" s="2086"/>
      <c r="D30" s="2086"/>
      <c r="E30" s="1792"/>
      <c r="F30" s="1793"/>
      <c r="H30" s="1794"/>
      <c r="I30" s="1798" t="str">
        <f>CO2データ!D129</f>
        <v>ＪＥＮホールディングス株式会社</v>
      </c>
      <c r="J30" s="1799">
        <f>CO2データ!I129</f>
        <v>4.9399999999999997E-4</v>
      </c>
      <c r="K30" s="1794"/>
      <c r="L30" s="1800"/>
    </row>
    <row r="31" spans="2:12" ht="15" customHeight="1">
      <c r="B31" s="1790"/>
      <c r="C31" s="2086"/>
      <c r="D31" s="2086"/>
      <c r="E31" s="1792"/>
      <c r="F31" s="1793"/>
      <c r="H31" s="1794"/>
      <c r="I31" s="1798" t="str">
        <f>CO2データ!D130</f>
        <v>志賀高原リゾート開発株式会社</v>
      </c>
      <c r="J31" s="1799">
        <f>CO2データ!I130</f>
        <v>3.1199999999999999E-4</v>
      </c>
      <c r="K31" s="1794"/>
      <c r="L31" s="1800"/>
    </row>
    <row r="32" spans="2:12" ht="15" customHeight="1">
      <c r="B32" s="1790"/>
      <c r="C32" s="2086"/>
      <c r="D32" s="2086"/>
      <c r="E32" s="1792"/>
      <c r="F32" s="1793"/>
      <c r="H32" s="1794"/>
      <c r="I32" s="1798" t="str">
        <f>CO2データ!D131</f>
        <v>昭和シェル石油株式会社</v>
      </c>
      <c r="J32" s="1799">
        <f>CO2データ!I131</f>
        <v>3.6699999999999998E-4</v>
      </c>
      <c r="K32" s="1794"/>
      <c r="L32" s="1800"/>
    </row>
    <row r="33" spans="2:12" ht="15" customHeight="1">
      <c r="B33" s="1790"/>
      <c r="C33" s="2086"/>
      <c r="D33" s="2086"/>
      <c r="E33" s="1792"/>
      <c r="F33" s="1793"/>
      <c r="H33" s="1794"/>
      <c r="I33" s="1798" t="str">
        <f>CO2データ!D132</f>
        <v>新日鉄住金エンジニアリング株式会社</v>
      </c>
      <c r="J33" s="1799">
        <f>CO2データ!I132</f>
        <v>6.5499999999999998E-4</v>
      </c>
      <c r="K33" s="1794"/>
      <c r="L33" s="1800"/>
    </row>
    <row r="34" spans="2:12" ht="15" customHeight="1">
      <c r="B34" s="1790"/>
      <c r="C34" s="2086"/>
      <c r="D34" s="2086"/>
      <c r="E34" s="1792"/>
      <c r="F34" s="1793"/>
      <c r="H34" s="1794"/>
      <c r="I34" s="1798" t="str">
        <f>CO2データ!D133</f>
        <v>泉北天然ガス発電株式会社</v>
      </c>
      <c r="J34" s="1799">
        <f>CO2データ!I133</f>
        <v>3.88E-4</v>
      </c>
      <c r="K34" s="1794"/>
      <c r="L34" s="1800"/>
    </row>
    <row r="35" spans="2:12" ht="15" customHeight="1">
      <c r="B35" s="1790"/>
      <c r="C35" s="2086"/>
      <c r="D35" s="2086"/>
      <c r="E35" s="1792"/>
      <c r="F35" s="1793"/>
      <c r="H35" s="1794"/>
      <c r="I35" s="1798" t="str">
        <f>CO2データ!D134</f>
        <v>ダイヤモンドパワー株式会社</v>
      </c>
      <c r="J35" s="1799">
        <f>CO2データ!I134</f>
        <v>4.3100000000000001E-4</v>
      </c>
      <c r="K35" s="1794"/>
      <c r="L35" s="1800"/>
    </row>
    <row r="36" spans="2:12" ht="15" customHeight="1">
      <c r="B36" s="1790"/>
      <c r="C36" s="2086"/>
      <c r="D36" s="2086"/>
      <c r="E36" s="1792"/>
      <c r="F36" s="1793"/>
      <c r="H36" s="1794"/>
      <c r="I36" s="1798" t="str">
        <f>CO2データ!D135</f>
        <v>テス・エンジニアリング株式会社</v>
      </c>
      <c r="J36" s="1799">
        <f>CO2データ!I135</f>
        <v>4.9399999999999997E-4</v>
      </c>
      <c r="K36" s="1794"/>
      <c r="L36" s="1800"/>
    </row>
    <row r="37" spans="2:12" ht="15" customHeight="1">
      <c r="B37" s="1790"/>
      <c r="C37" s="2086"/>
      <c r="D37" s="2086"/>
      <c r="E37" s="1792"/>
      <c r="F37" s="1793"/>
      <c r="H37" s="1794"/>
      <c r="I37" s="1798" t="str">
        <f>CO2データ!D136</f>
        <v>東京エコサービス株式会社</v>
      </c>
      <c r="J37" s="1799">
        <f>CO2データ!I136</f>
        <v>9.2E-5</v>
      </c>
      <c r="K37" s="1794"/>
      <c r="L37" s="1800"/>
    </row>
    <row r="38" spans="2:12" ht="15" customHeight="1">
      <c r="B38" s="1790"/>
      <c r="C38" s="2086"/>
      <c r="D38" s="2086"/>
      <c r="E38" s="1792"/>
      <c r="F38" s="1793"/>
      <c r="H38" s="1794"/>
      <c r="I38" s="1798" t="str">
        <f>CO2データ!D137</f>
        <v>日本テクノ株式会社</v>
      </c>
      <c r="J38" s="1799">
        <f>CO2データ!I137</f>
        <v>5.0799999999999999E-4</v>
      </c>
      <c r="K38" s="1794"/>
      <c r="L38" s="1800"/>
    </row>
    <row r="39" spans="2:12" ht="15" customHeight="1">
      <c r="B39" s="1790"/>
      <c r="C39" s="2086"/>
      <c r="D39" s="2086"/>
      <c r="E39" s="1792"/>
      <c r="F39" s="1793"/>
      <c r="H39" s="1794"/>
      <c r="I39" s="1798" t="str">
        <f>CO2データ!D138</f>
        <v>日本ロジテック協同組合</v>
      </c>
      <c r="J39" s="1799">
        <f>CO2データ!I138</f>
        <v>4.86E-4</v>
      </c>
      <c r="K39" s="1794"/>
      <c r="L39" s="1800"/>
    </row>
    <row r="40" spans="2:12" ht="15" customHeight="1">
      <c r="B40" s="1790"/>
      <c r="C40" s="2086"/>
      <c r="D40" s="2086"/>
      <c r="E40" s="1792"/>
      <c r="F40" s="1793"/>
      <c r="H40" s="1794"/>
      <c r="I40" s="1798" t="str">
        <f>CO2データ!D139</f>
        <v>パナソニック株式会社</v>
      </c>
      <c r="J40" s="1799">
        <f>CO2データ!I139</f>
        <v>4.9799999999999996E-4</v>
      </c>
      <c r="K40" s="1794"/>
      <c r="L40" s="1800"/>
    </row>
    <row r="41" spans="2:12" ht="15" customHeight="1">
      <c r="B41" s="1790"/>
      <c r="C41" s="2086"/>
      <c r="D41" s="2086"/>
      <c r="E41" s="1792"/>
      <c r="F41" s="1793"/>
      <c r="H41" s="1794"/>
      <c r="I41" s="1798" t="str">
        <f>CO2データ!D140</f>
        <v>プレミアムグリーンパワー株式会社</v>
      </c>
      <c r="J41" s="1799">
        <f>CO2データ!I140</f>
        <v>1.8E-5</v>
      </c>
      <c r="K41" s="1794"/>
      <c r="L41" s="1800"/>
    </row>
    <row r="42" spans="2:12" ht="15" customHeight="1">
      <c r="B42" s="1790"/>
      <c r="C42" s="2086"/>
      <c r="D42" s="2086"/>
      <c r="E42" s="1792"/>
      <c r="F42" s="1793"/>
      <c r="H42" s="1794"/>
      <c r="I42" s="1798" t="str">
        <f>CO2データ!D141</f>
        <v>丸紅株式会社</v>
      </c>
      <c r="J42" s="1799">
        <f>CO2データ!I141</f>
        <v>3.7800000000000003E-4</v>
      </c>
      <c r="K42" s="1794"/>
      <c r="L42" s="1800"/>
    </row>
    <row r="43" spans="2:12" ht="15" customHeight="1">
      <c r="B43" s="1790"/>
      <c r="C43" s="2086"/>
      <c r="D43" s="2086"/>
      <c r="E43" s="1792"/>
      <c r="F43" s="1793"/>
      <c r="H43" s="1794"/>
      <c r="I43" s="1798" t="str">
        <f>CO2データ!D142</f>
        <v>ミツウロコグリーンエネルギー株式会社</v>
      </c>
      <c r="J43" s="1799">
        <f>CO2データ!I142</f>
        <v>3.6600000000000001E-4</v>
      </c>
      <c r="K43" s="1794"/>
      <c r="L43" s="1800"/>
    </row>
    <row r="44" spans="2:12">
      <c r="B44" s="1807"/>
      <c r="C44" s="1792"/>
      <c r="D44" s="1792"/>
      <c r="E44" s="1792"/>
      <c r="F44" s="1793"/>
      <c r="H44" s="1794"/>
      <c r="I44" s="1798" t="str">
        <f>CO2データ!D143</f>
        <v>リエスパワー株式会社</v>
      </c>
      <c r="J44" s="1799">
        <f>CO2データ!I143</f>
        <v>4.2000000000000002E-4</v>
      </c>
      <c r="K44" s="1794" t="s">
        <v>1185</v>
      </c>
      <c r="L44" s="1800"/>
    </row>
    <row r="45" spans="2:12">
      <c r="B45" s="1807"/>
      <c r="C45" s="1792"/>
      <c r="D45" s="1792"/>
      <c r="E45" s="1792"/>
      <c r="F45" s="1793"/>
      <c r="H45" s="1794" t="s">
        <v>1037</v>
      </c>
      <c r="I45" s="1792"/>
      <c r="J45" s="1792"/>
      <c r="K45" s="1792"/>
      <c r="L45" s="1800"/>
    </row>
    <row r="46" spans="2:12">
      <c r="B46" s="1807"/>
      <c r="C46" s="1792"/>
      <c r="D46" s="1792"/>
      <c r="E46" s="1792"/>
      <c r="F46" s="1793"/>
      <c r="H46" s="1794"/>
      <c r="I46" s="1808">
        <f>CO2データ!D145</f>
        <v>0</v>
      </c>
      <c r="J46" s="1799">
        <f>CO2データ!I145</f>
        <v>5.5000000000000003E-4</v>
      </c>
      <c r="K46" s="1794" t="s">
        <v>943</v>
      </c>
      <c r="L46" s="1800"/>
    </row>
    <row r="47" spans="2:12" ht="14.25" thickBot="1">
      <c r="B47" s="1809"/>
      <c r="C47" s="1810"/>
      <c r="D47" s="1810"/>
      <c r="E47" s="1810"/>
      <c r="F47" s="1811"/>
      <c r="H47" s="1812"/>
      <c r="I47" s="1813"/>
      <c r="J47" s="1813"/>
      <c r="K47" s="1813"/>
      <c r="L47" s="1814"/>
    </row>
    <row r="48" spans="2:12">
      <c r="H48" s="1647"/>
      <c r="I48" s="1647"/>
      <c r="J48" s="1647"/>
      <c r="K48" s="1647"/>
    </row>
    <row r="49" spans="2:10" hidden="1">
      <c r="B49" s="1647" t="s">
        <v>946</v>
      </c>
      <c r="D49" s="1647" t="str">
        <f>CO2データ!I104</f>
        <v>実排出係数及び代替値</v>
      </c>
      <c r="F49" s="1647" t="str">
        <f>CO2データ!K104</f>
        <v>調整後排出係数</v>
      </c>
      <c r="G49" s="1647"/>
      <c r="H49" s="1647"/>
    </row>
    <row r="50" spans="2:10" hidden="1">
      <c r="C50" s="1359" t="s">
        <v>1098</v>
      </c>
      <c r="D50" s="1647">
        <f>CO2データ!I129</f>
        <v>4.9399999999999997E-4</v>
      </c>
      <c r="F50" s="1647">
        <f>CO2データ!K129</f>
        <v>4.8999999999999998E-4</v>
      </c>
      <c r="I50" s="1815" t="s">
        <v>839</v>
      </c>
      <c r="J50" t="str">
        <f>IF(C5=C16,VLOOKUP(C5,C50:F88,4),"N.A.")</f>
        <v>N.A.</v>
      </c>
    </row>
    <row r="51" spans="2:10" hidden="1">
      <c r="C51" s="1359" t="s">
        <v>1097</v>
      </c>
      <c r="D51" s="1647">
        <f>CO2データ!I128</f>
        <v>3.6699999999999998E-4</v>
      </c>
      <c r="F51" s="1647">
        <f>CO2データ!K128</f>
        <v>3.6400000000000001E-4</v>
      </c>
      <c r="I51" s="1815" t="s">
        <v>948</v>
      </c>
      <c r="J51" t="e">
        <f>D16-J50</f>
        <v>#N/A</v>
      </c>
    </row>
    <row r="52" spans="2:10" hidden="1">
      <c r="C52" s="1359" t="s">
        <v>947</v>
      </c>
      <c r="D52" s="1647">
        <f>CO2データ!I115</f>
        <v>6.0300000000000002E-4</v>
      </c>
      <c r="F52" s="1647">
        <f>CO2データ!K115</f>
        <v>4.28E-4</v>
      </c>
    </row>
    <row r="53" spans="2:10" hidden="1">
      <c r="C53" s="1359" t="s">
        <v>949</v>
      </c>
      <c r="D53" s="1647">
        <f>CO2データ!I118</f>
        <v>6.1600000000000001E-4</v>
      </c>
      <c r="F53" s="1647">
        <f>CO2データ!K118</f>
        <v>4.8200000000000001E-4</v>
      </c>
    </row>
    <row r="54" spans="2:10" hidden="1">
      <c r="C54" s="1359" t="s">
        <v>1093</v>
      </c>
      <c r="D54" s="1647">
        <f>CO2データ!I121</f>
        <v>7.6199999999999998E-4</v>
      </c>
      <c r="F54" s="1647">
        <f>CO2データ!K121</f>
        <v>7.5699999999999997E-4</v>
      </c>
    </row>
    <row r="55" spans="2:10" hidden="1">
      <c r="C55" s="1359" t="s">
        <v>950</v>
      </c>
      <c r="D55" s="1647">
        <f>CO2データ!I127</f>
        <v>4.3800000000000002E-4</v>
      </c>
      <c r="F55" s="1647">
        <f>CO2データ!K127</f>
        <v>2.5900000000000001E-4</v>
      </c>
    </row>
    <row r="56" spans="2:10" hidden="1">
      <c r="C56" s="1359" t="s">
        <v>951</v>
      </c>
      <c r="D56" s="1647">
        <f>CO2データ!I134</f>
        <v>4.3100000000000001E-4</v>
      </c>
      <c r="F56" s="1647">
        <f>CO2データ!K134</f>
        <v>4.2700000000000002E-4</v>
      </c>
    </row>
    <row r="57" spans="2:10" hidden="1">
      <c r="C57" s="1359" t="s">
        <v>1102</v>
      </c>
      <c r="D57" s="1647">
        <f>CO2データ!I135</f>
        <v>4.9399999999999997E-4</v>
      </c>
      <c r="F57" s="1647">
        <f>CO2データ!K135</f>
        <v>4.8999999999999998E-4</v>
      </c>
    </row>
    <row r="58" spans="2:10" hidden="1">
      <c r="C58" s="1359" t="s">
        <v>952</v>
      </c>
      <c r="D58" s="1647">
        <f>CO2データ!I139</f>
        <v>4.9799999999999996E-4</v>
      </c>
      <c r="F58" s="1647">
        <f>CO2データ!K139</f>
        <v>4.9200000000000003E-4</v>
      </c>
    </row>
    <row r="59" spans="2:10" hidden="1">
      <c r="C59" s="1359" t="s">
        <v>1106</v>
      </c>
      <c r="D59" s="1647">
        <f>CO2データ!I140</f>
        <v>1.8E-5</v>
      </c>
      <c r="F59" s="1647">
        <f>CO2データ!K140</f>
        <v>2.1999999999999999E-5</v>
      </c>
    </row>
    <row r="60" spans="2:10" hidden="1">
      <c r="C60" s="1359" t="s">
        <v>1107</v>
      </c>
      <c r="D60" s="1647">
        <f>CO2データ!I142</f>
        <v>3.6600000000000001E-4</v>
      </c>
      <c r="F60" s="1647">
        <f>CO2データ!K142</f>
        <v>4.4499999999999997E-4</v>
      </c>
    </row>
    <row r="61" spans="2:10" hidden="1">
      <c r="C61" s="1359" t="s">
        <v>1108</v>
      </c>
      <c r="D61" s="1647">
        <f>CO2データ!I143</f>
        <v>4.2000000000000002E-4</v>
      </c>
      <c r="F61" s="1647">
        <f>CO2データ!K143</f>
        <v>0</v>
      </c>
    </row>
    <row r="62" spans="2:10" hidden="1">
      <c r="C62" s="1359" t="s">
        <v>1091</v>
      </c>
      <c r="D62" s="1647">
        <f>CO2データ!I117</f>
        <v>6.7599999999999995E-4</v>
      </c>
      <c r="F62" s="1647">
        <f>CO2データ!K117</f>
        <v>2.9300000000000002E-4</v>
      </c>
    </row>
    <row r="63" spans="2:10" hidden="1">
      <c r="C63" s="1359" t="s">
        <v>1092</v>
      </c>
      <c r="D63" s="1647">
        <f>CO2データ!I119</f>
        <v>4.5600000000000003E-4</v>
      </c>
      <c r="F63" s="1647">
        <f>CO2データ!K119</f>
        <v>4.5600000000000003E-4</v>
      </c>
    </row>
    <row r="64" spans="2:10" hidden="1">
      <c r="C64" s="1359" t="s">
        <v>953</v>
      </c>
      <c r="D64" s="1647">
        <f>CO2データ!I120</f>
        <v>4.75E-4</v>
      </c>
      <c r="F64" s="1647">
        <f>CO2データ!K120</f>
        <v>4.7100000000000001E-4</v>
      </c>
    </row>
    <row r="65" spans="3:6" hidden="1">
      <c r="C65" s="1359" t="s">
        <v>954</v>
      </c>
      <c r="D65" s="1647">
        <f>CO2データ!I114</f>
        <v>9.0300000000000005E-4</v>
      </c>
      <c r="F65" s="1647">
        <f>CO2データ!K114</f>
        <v>6.9200000000000002E-4</v>
      </c>
    </row>
    <row r="66" spans="3:6" hidden="1">
      <c r="C66" s="1359" t="s">
        <v>955</v>
      </c>
      <c r="D66" s="1647">
        <f>CO2データ!I124</f>
        <v>5.2499999999999997E-4</v>
      </c>
      <c r="F66" s="1647">
        <f>CO2データ!K124</f>
        <v>4.4499999999999997E-4</v>
      </c>
    </row>
    <row r="67" spans="3:6" hidden="1">
      <c r="C67" s="1359" t="s">
        <v>1095</v>
      </c>
      <c r="D67" s="1647">
        <f>CO2データ!I125</f>
        <v>4.4099999999999999E-4</v>
      </c>
      <c r="F67" s="1647">
        <f>CO2データ!K125</f>
        <v>0</v>
      </c>
    </row>
    <row r="68" spans="3:6" hidden="1">
      <c r="C68" s="1359" t="s">
        <v>1094</v>
      </c>
      <c r="D68" s="1647">
        <f>CO2データ!I122</f>
        <v>0</v>
      </c>
      <c r="F68" s="1647">
        <f>CO2データ!K122</f>
        <v>0</v>
      </c>
    </row>
    <row r="69" spans="3:6" hidden="1">
      <c r="C69" s="1359" t="s">
        <v>956</v>
      </c>
      <c r="D69" s="1647">
        <f>CO2データ!I123</f>
        <v>4.2900000000000002E-4</v>
      </c>
      <c r="F69" s="1647">
        <f>CO2データ!K123</f>
        <v>4.2700000000000002E-4</v>
      </c>
    </row>
    <row r="70" spans="3:6" hidden="1">
      <c r="C70" s="1359" t="s">
        <v>1096</v>
      </c>
      <c r="D70" s="1647">
        <f>CO2データ!I126</f>
        <v>7.9699999999999997E-4</v>
      </c>
      <c r="F70" s="1647">
        <f>CO2データ!K126</f>
        <v>7.8899999999999999E-4</v>
      </c>
    </row>
    <row r="71" spans="3:6" hidden="1">
      <c r="C71" s="1359" t="s">
        <v>957</v>
      </c>
      <c r="D71" s="1647">
        <f>CO2データ!I110</f>
        <v>5.1400000000000003E-4</v>
      </c>
      <c r="F71" s="1647">
        <f>CO2データ!K110</f>
        <v>4.75E-4</v>
      </c>
    </row>
    <row r="72" spans="3:6" hidden="1">
      <c r="C72" s="1359" t="s">
        <v>958</v>
      </c>
      <c r="D72" s="1647">
        <f>CO2データ!I141</f>
        <v>3.7800000000000003E-4</v>
      </c>
      <c r="F72" s="1647">
        <f>CO2データ!K141</f>
        <v>3.2400000000000001E-4</v>
      </c>
    </row>
    <row r="73" spans="3:6" hidden="1">
      <c r="C73" s="1359" t="s">
        <v>959</v>
      </c>
      <c r="D73" s="1647">
        <f>CO2データ!I113</f>
        <v>6.1200000000000002E-4</v>
      </c>
      <c r="F73" s="1647">
        <f>CO2データ!K113</f>
        <v>5.9900000000000003E-4</v>
      </c>
    </row>
    <row r="74" spans="3:6" hidden="1">
      <c r="C74" s="1359" t="s">
        <v>960</v>
      </c>
      <c r="D74" s="1647">
        <f>CO2データ!I112</f>
        <v>6.9999999999999999E-4</v>
      </c>
      <c r="F74" s="1647">
        <f>CO2データ!K112</f>
        <v>6.5600000000000001E-4</v>
      </c>
    </row>
    <row r="75" spans="3:6" hidden="1">
      <c r="C75" s="1359" t="s">
        <v>1099</v>
      </c>
      <c r="D75" s="1647">
        <f>CO2データ!I130</f>
        <v>3.1199999999999999E-4</v>
      </c>
      <c r="F75" s="1647">
        <f>CO2データ!K130</f>
        <v>3.0899999999999998E-4</v>
      </c>
    </row>
    <row r="76" spans="3:6" hidden="1">
      <c r="C76" s="1359" t="s">
        <v>1090</v>
      </c>
      <c r="D76" s="1647">
        <f>CO2データ!I116</f>
        <v>8.6000000000000003E-5</v>
      </c>
      <c r="F76" s="1647">
        <f>CO2データ!K116</f>
        <v>1.06E-4</v>
      </c>
    </row>
    <row r="77" spans="3:6" hidden="1">
      <c r="C77" s="1359" t="s">
        <v>961</v>
      </c>
      <c r="D77" s="1647">
        <f>CO2データ!I131</f>
        <v>3.6699999999999998E-4</v>
      </c>
      <c r="F77" s="1647">
        <f>CO2データ!K131</f>
        <v>3.6400000000000001E-4</v>
      </c>
    </row>
    <row r="78" spans="3:6" hidden="1">
      <c r="C78" s="1359" t="s">
        <v>1100</v>
      </c>
      <c r="D78" s="1647">
        <f>CO2データ!I132</f>
        <v>6.5499999999999998E-4</v>
      </c>
      <c r="F78" s="1647">
        <f>CO2データ!K132</f>
        <v>6.5399999999999996E-4</v>
      </c>
    </row>
    <row r="79" spans="3:6" hidden="1">
      <c r="C79" s="1359" t="s">
        <v>1101</v>
      </c>
      <c r="D79" s="1647">
        <f>CO2データ!I133</f>
        <v>3.88E-4</v>
      </c>
      <c r="F79" s="1647">
        <f>CO2データ!K133</f>
        <v>3.8499999999999998E-4</v>
      </c>
    </row>
    <row r="80" spans="3:6" hidden="1">
      <c r="C80" s="1359" t="s">
        <v>962</v>
      </c>
      <c r="D80" s="1647">
        <f>CO2データ!I111</f>
        <v>7.3800000000000005E-4</v>
      </c>
      <c r="F80" s="1647">
        <f>CO2データ!K111</f>
        <v>6.7199999999999996E-4</v>
      </c>
    </row>
    <row r="81" spans="3:6" hidden="1">
      <c r="C81" s="1359" t="s">
        <v>963</v>
      </c>
      <c r="D81" s="1647">
        <f>CO2データ!I108</f>
        <v>5.1599999999999997E-4</v>
      </c>
      <c r="F81" s="1647">
        <f>CO2データ!K108</f>
        <v>3.7300000000000001E-4</v>
      </c>
    </row>
    <row r="82" spans="3:6" hidden="1">
      <c r="C82" s="1359" t="s">
        <v>1103</v>
      </c>
      <c r="D82" s="1647">
        <f>CO2データ!I136</f>
        <v>9.2E-5</v>
      </c>
      <c r="F82" s="1647">
        <f>CO2データ!K136</f>
        <v>9.1000000000000003E-5</v>
      </c>
    </row>
    <row r="83" spans="3:6" hidden="1">
      <c r="C83" s="1359" t="s">
        <v>942</v>
      </c>
      <c r="D83" s="1647">
        <f>CO2データ!I107</f>
        <v>5.2499999999999997E-4</v>
      </c>
      <c r="F83" s="1647">
        <f>CO2データ!K107</f>
        <v>4.06E-4</v>
      </c>
    </row>
    <row r="84" spans="3:6" hidden="1">
      <c r="C84" s="1359" t="s">
        <v>964</v>
      </c>
      <c r="D84" s="1647">
        <f>CO2データ!I106</f>
        <v>5.9999999999999995E-4</v>
      </c>
      <c r="F84" s="1647">
        <f>CO2データ!K106</f>
        <v>5.5999999999999995E-4</v>
      </c>
    </row>
    <row r="85" spans="3:6" hidden="1">
      <c r="C85" s="1359" t="s">
        <v>1104</v>
      </c>
      <c r="D85" s="1647">
        <f>CO2データ!I137</f>
        <v>5.0799999999999999E-4</v>
      </c>
      <c r="F85" s="1647">
        <f>CO2データ!K137</f>
        <v>5.0900000000000001E-4</v>
      </c>
    </row>
    <row r="86" spans="3:6" hidden="1">
      <c r="C86" s="1359" t="s">
        <v>1105</v>
      </c>
      <c r="D86" s="1647">
        <f>CO2データ!I138</f>
        <v>4.86E-4</v>
      </c>
      <c r="F86" s="1647">
        <f>CO2データ!K138</f>
        <v>2.5599999999999999E-4</v>
      </c>
    </row>
    <row r="87" spans="3:6" hidden="1">
      <c r="C87" s="1359" t="s">
        <v>965</v>
      </c>
      <c r="D87" s="1647">
        <f>CO2データ!I105</f>
        <v>6.8800000000000003E-4</v>
      </c>
      <c r="F87" s="1647">
        <f>CO2データ!K105</f>
        <v>6.8000000000000005E-4</v>
      </c>
    </row>
    <row r="88" spans="3:6" hidden="1">
      <c r="C88" s="1359" t="s">
        <v>966</v>
      </c>
      <c r="D88" s="1647">
        <f>CO2データ!I109</f>
        <v>6.6299999999999996E-4</v>
      </c>
      <c r="F88" s="1647">
        <f>CO2データ!K109</f>
        <v>4.9399999999999997E-4</v>
      </c>
    </row>
  </sheetData>
  <sheetProtection password="82B4" sheet="1" objects="1" scenarios="1"/>
  <mergeCells count="1">
    <mergeCell ref="C13:E14"/>
  </mergeCells>
  <phoneticPr fontId="20"/>
  <conditionalFormatting sqref="C16">
    <cfRule type="expression" dxfId="27" priority="1" stopIfTrue="1">
      <formula>$O$3=2</formula>
    </cfRule>
  </conditionalFormatting>
  <conditionalFormatting sqref="C10:D10">
    <cfRule type="expression" dxfId="26" priority="2" stopIfTrue="1">
      <formula>$O$3=1</formula>
    </cfRule>
  </conditionalFormatting>
  <conditionalFormatting sqref="C20:D20">
    <cfRule type="expression" dxfId="25" priority="3" stopIfTrue="1">
      <formula>$O$3=3</formula>
    </cfRule>
  </conditionalFormatting>
  <conditionalFormatting sqref="C28:D43">
    <cfRule type="expression" dxfId="24" priority="4" stopIfTrue="1">
      <formula>$O$3=5</formula>
    </cfRule>
  </conditionalFormatting>
  <dataValidations count="1">
    <dataValidation type="list" allowBlank="1" showInputMessage="1" showErrorMessage="1" sqref="C16">
      <formula1>$I$6:$I$44</formula1>
    </dataValidation>
  </dataValidations>
  <pageMargins left="0.75" right="0.75" top="1" bottom="1" header="0.51200000000000001" footer="0.51200000000000001"/>
  <pageSetup paperSize="9" scale="64" orientation="portrait" verticalDpi="360" r:id="rId1"/>
  <headerFooter alignWithMargins="0">
    <oddHeader>&amp;L&amp;F&amp;R&amp;A</oddHeader>
    <oddFooter>&amp;C&amp;P/&amp;N</oddFooter>
  </headerFooter>
  <legacyDrawing r:id="rId2"/>
</worksheet>
</file>

<file path=xl/worksheets/sheet16.xml><?xml version="1.0" encoding="utf-8"?>
<worksheet xmlns="http://schemas.openxmlformats.org/spreadsheetml/2006/main" xmlns:r="http://schemas.openxmlformats.org/officeDocument/2006/relationships">
  <sheetPr codeName="Sheet15">
    <pageSetUpPr fitToPage="1"/>
  </sheetPr>
  <dimension ref="A1:V102"/>
  <sheetViews>
    <sheetView showGridLines="0" zoomScaleNormal="100" zoomScaleSheetLayoutView="100" workbookViewId="0">
      <selection activeCell="N20" sqref="N20"/>
    </sheetView>
  </sheetViews>
  <sheetFormatPr defaultColWidth="0" defaultRowHeight="13.5" zeroHeight="1"/>
  <cols>
    <col min="1" max="1" width="3.75" customWidth="1"/>
    <col min="2" max="3" width="3.5" customWidth="1"/>
    <col min="4" max="4" width="11.25" customWidth="1"/>
    <col min="5" max="5" width="12.375" customWidth="1"/>
    <col min="6" max="6" width="2.375" customWidth="1"/>
    <col min="7" max="7" width="12.25" customWidth="1"/>
    <col min="8" max="9" width="9" customWidth="1"/>
    <col min="10" max="10" width="10.75" customWidth="1"/>
    <col min="11" max="11" width="12" customWidth="1"/>
    <col min="12" max="15" width="9" customWidth="1"/>
    <col min="16" max="22" width="0" hidden="1" customWidth="1"/>
    <col min="23" max="16384" width="9" hidden="1"/>
  </cols>
  <sheetData>
    <row r="1" spans="2:14">
      <c r="B1" s="60"/>
      <c r="C1" s="60"/>
      <c r="D1" s="60"/>
      <c r="E1" s="60"/>
      <c r="F1" s="60"/>
      <c r="G1" s="60"/>
      <c r="H1" s="60"/>
      <c r="I1" s="60"/>
      <c r="J1" s="60"/>
      <c r="K1" s="60"/>
      <c r="L1" s="1816" t="s">
        <v>742</v>
      </c>
      <c r="M1" s="2965" t="str">
        <f>メイン!H11</f>
        <v>新ビル</v>
      </c>
      <c r="N1" s="2965"/>
    </row>
    <row r="2" spans="2:14">
      <c r="B2" s="1817" t="s">
        <v>967</v>
      </c>
      <c r="C2" s="1818"/>
      <c r="D2" s="1818"/>
      <c r="E2" s="1818"/>
      <c r="F2" s="1818"/>
      <c r="G2" s="1818"/>
      <c r="H2" s="1818"/>
      <c r="I2" s="1818"/>
      <c r="J2" s="1818"/>
      <c r="K2" s="60"/>
      <c r="L2" s="60"/>
      <c r="M2" s="60"/>
      <c r="N2" s="230"/>
    </row>
    <row r="3" spans="2:14" ht="14.25" thickBot="1">
      <c r="B3" s="1819"/>
      <c r="C3" s="1820"/>
      <c r="D3" s="1820"/>
      <c r="E3" s="1820"/>
      <c r="F3" s="1820"/>
      <c r="G3" s="1820"/>
      <c r="H3" s="1820"/>
      <c r="I3" s="1820"/>
      <c r="J3" s="60"/>
      <c r="K3" s="60"/>
      <c r="L3" s="60"/>
      <c r="M3" s="60"/>
      <c r="N3" s="230"/>
    </row>
    <row r="4" spans="2:14" ht="16.5" thickBot="1">
      <c r="B4" s="1821"/>
      <c r="C4" s="1821"/>
      <c r="D4" s="60"/>
      <c r="E4" s="60"/>
      <c r="F4" s="60"/>
      <c r="G4" s="60"/>
      <c r="H4" s="60"/>
      <c r="I4" s="60"/>
      <c r="J4" s="1822"/>
      <c r="K4" s="22" t="s">
        <v>762</v>
      </c>
      <c r="L4" s="60"/>
      <c r="M4" s="60"/>
      <c r="N4" s="60"/>
    </row>
    <row r="5" spans="2:14" ht="15.75">
      <c r="B5" s="1821"/>
      <c r="C5" s="1823" t="s">
        <v>1038</v>
      </c>
      <c r="D5" s="60"/>
      <c r="E5" s="60"/>
      <c r="F5" s="60"/>
      <c r="G5" s="60"/>
      <c r="H5" s="60"/>
      <c r="I5" s="60"/>
      <c r="J5" s="60"/>
      <c r="K5" s="60"/>
      <c r="L5" s="60"/>
      <c r="M5" s="60"/>
      <c r="N5" s="60"/>
    </row>
    <row r="6" spans="2:14" ht="16.5" thickBot="1">
      <c r="B6" s="1821"/>
      <c r="C6" s="1821"/>
      <c r="D6" s="1828" t="s">
        <v>1619</v>
      </c>
      <c r="E6" s="1825"/>
      <c r="F6" s="60"/>
      <c r="G6" s="60"/>
      <c r="H6" s="60"/>
      <c r="L6" s="60"/>
      <c r="M6" s="60"/>
      <c r="N6" s="60"/>
    </row>
    <row r="7" spans="2:14" ht="16.5" thickBot="1">
      <c r="B7" s="1821"/>
      <c r="C7" s="1821"/>
      <c r="D7" s="1824"/>
      <c r="E7" s="1844" t="s">
        <v>1620</v>
      </c>
      <c r="F7" s="60"/>
      <c r="J7" s="1826"/>
      <c r="K7" s="1827" t="s">
        <v>1621</v>
      </c>
      <c r="L7" s="60"/>
      <c r="M7" s="60"/>
      <c r="N7" s="60"/>
    </row>
    <row r="8" spans="2:14" ht="16.5" thickBot="1">
      <c r="B8" s="1821"/>
      <c r="C8" s="1821"/>
      <c r="E8" s="2258" t="s">
        <v>1622</v>
      </c>
      <c r="J8" s="1826">
        <v>0</v>
      </c>
      <c r="K8" s="1827" t="s">
        <v>1621</v>
      </c>
      <c r="L8" s="60"/>
      <c r="M8" s="60"/>
      <c r="N8" s="60"/>
    </row>
    <row r="9" spans="2:14" ht="16.5" thickBot="1">
      <c r="B9" s="1821"/>
      <c r="C9" s="1821"/>
      <c r="D9" s="1828"/>
      <c r="E9" s="2259" t="s">
        <v>1623</v>
      </c>
      <c r="F9" s="60"/>
      <c r="G9" s="60"/>
      <c r="H9" s="60"/>
      <c r="I9" s="60"/>
      <c r="J9" s="1821"/>
      <c r="K9" s="1821"/>
      <c r="L9" s="60"/>
      <c r="M9" s="60"/>
      <c r="N9" s="60"/>
    </row>
    <row r="10" spans="2:14" ht="15.75">
      <c r="B10" s="1821"/>
      <c r="C10" s="1821"/>
      <c r="D10" s="1828"/>
      <c r="F10" s="60"/>
      <c r="H10" s="2260" t="s">
        <v>1119</v>
      </c>
      <c r="I10" s="2261" t="s">
        <v>201</v>
      </c>
      <c r="J10" s="2262" t="s">
        <v>1624</v>
      </c>
      <c r="K10" s="1833" t="s">
        <v>1625</v>
      </c>
      <c r="L10" s="60"/>
      <c r="M10" s="60"/>
      <c r="N10" s="60"/>
    </row>
    <row r="11" spans="2:14" ht="16.5" thickBot="1">
      <c r="B11" s="1821"/>
      <c r="C11" s="1821"/>
      <c r="D11" s="60"/>
      <c r="F11" s="60"/>
      <c r="H11" s="2263"/>
      <c r="I11" s="2264"/>
      <c r="J11" s="2265"/>
      <c r="L11" s="60"/>
      <c r="M11" s="60"/>
      <c r="N11" s="60"/>
    </row>
    <row r="12" spans="2:14" ht="12" customHeight="1" thickBot="1">
      <c r="B12" s="1821"/>
      <c r="C12" s="1821"/>
      <c r="D12" s="60"/>
      <c r="E12" s="1821"/>
      <c r="F12" s="1821"/>
      <c r="G12" s="1821"/>
      <c r="H12" s="1821"/>
      <c r="I12" s="1821"/>
      <c r="J12" s="1821"/>
      <c r="K12" s="1821"/>
      <c r="L12" s="60"/>
      <c r="M12" s="60"/>
      <c r="N12" s="60"/>
    </row>
    <row r="13" spans="2:14" ht="16.5" thickBot="1">
      <c r="B13" s="1821"/>
      <c r="C13" s="1821"/>
      <c r="D13" s="1828" t="s">
        <v>1626</v>
      </c>
      <c r="E13" s="60"/>
      <c r="F13" s="60"/>
      <c r="G13" s="1829" t="s">
        <v>969</v>
      </c>
      <c r="H13" s="1830" t="s">
        <v>1627</v>
      </c>
      <c r="I13" s="1831"/>
      <c r="J13" s="1832" t="s">
        <v>970</v>
      </c>
      <c r="K13" s="60"/>
      <c r="L13" s="1833" t="s">
        <v>1628</v>
      </c>
      <c r="M13" s="60"/>
      <c r="N13" s="60"/>
    </row>
    <row r="14" spans="2:14" ht="16.5" thickTop="1">
      <c r="B14" s="1821"/>
      <c r="C14" s="1821"/>
      <c r="D14" s="60"/>
      <c r="E14" s="60"/>
      <c r="F14" s="60"/>
      <c r="G14" s="2266" t="s">
        <v>472</v>
      </c>
      <c r="H14" s="2267">
        <f>メイン!H65</f>
        <v>4000</v>
      </c>
      <c r="I14" s="1834">
        <f>IF(H14=0,0,+H14/$L$14)</f>
        <v>0.26666666666666666</v>
      </c>
      <c r="J14" s="1835"/>
      <c r="K14" s="1827" t="s">
        <v>1621</v>
      </c>
      <c r="L14" s="2268">
        <f>メイン!H68</f>
        <v>15000</v>
      </c>
      <c r="M14" s="2269" t="s">
        <v>1598</v>
      </c>
      <c r="N14" s="60"/>
    </row>
    <row r="15" spans="2:14" ht="15.75">
      <c r="B15" s="1821"/>
      <c r="C15" s="1821"/>
      <c r="D15" s="60"/>
      <c r="E15" s="60"/>
      <c r="F15" s="60"/>
      <c r="G15" s="1836" t="s">
        <v>860</v>
      </c>
      <c r="H15" s="2270"/>
      <c r="I15" s="1837">
        <f>IF(H15=0,0,+H15/$L$14)</f>
        <v>0</v>
      </c>
      <c r="J15" s="1838"/>
      <c r="K15" s="1827" t="s">
        <v>1621</v>
      </c>
      <c r="L15" s="60"/>
      <c r="M15" s="1824"/>
      <c r="N15" s="1839"/>
    </row>
    <row r="16" spans="2:14" ht="15.75">
      <c r="B16" s="1821"/>
      <c r="C16" s="1821"/>
      <c r="D16" s="60"/>
      <c r="E16" s="60"/>
      <c r="F16" s="60"/>
      <c r="G16" s="2271" t="s">
        <v>971</v>
      </c>
      <c r="H16" s="2272"/>
      <c r="I16" s="1837">
        <f>IF(H16=0,0,+H16/$L$14)</f>
        <v>0</v>
      </c>
      <c r="J16" s="2273"/>
      <c r="K16" s="1827" t="s">
        <v>1621</v>
      </c>
      <c r="L16" s="60"/>
      <c r="M16" s="1824"/>
      <c r="N16" s="1839"/>
    </row>
    <row r="17" spans="2:22" ht="15.75">
      <c r="B17" s="1821"/>
      <c r="C17" s="1821"/>
      <c r="D17" s="60"/>
      <c r="E17" s="60"/>
      <c r="F17" s="60"/>
      <c r="G17" s="2271"/>
      <c r="H17" s="2272"/>
      <c r="I17" s="1837">
        <f>IF(H17=0,0,+H17/$L$14)</f>
        <v>0</v>
      </c>
      <c r="J17" s="2273"/>
      <c r="K17" s="1827" t="s">
        <v>1621</v>
      </c>
      <c r="L17" s="60"/>
      <c r="M17" s="1824"/>
      <c r="N17" s="1839"/>
    </row>
    <row r="18" spans="2:22" ht="16.5" thickBot="1">
      <c r="B18" s="1821"/>
      <c r="C18" s="1821"/>
      <c r="D18" s="60"/>
      <c r="E18" s="60"/>
      <c r="F18" s="60"/>
      <c r="G18" s="1840"/>
      <c r="H18" s="2274"/>
      <c r="I18" s="1841">
        <f>IF(H18=0,0,+H18/$L$14)</f>
        <v>0</v>
      </c>
      <c r="J18" s="1842"/>
      <c r="K18" s="1827" t="s">
        <v>1621</v>
      </c>
      <c r="L18" s="60"/>
      <c r="M18" s="1824"/>
      <c r="N18" s="1839"/>
    </row>
    <row r="19" spans="2:22" ht="6.75" customHeight="1" thickBot="1">
      <c r="B19" s="1821"/>
      <c r="C19" s="1821"/>
      <c r="D19" s="1821"/>
      <c r="E19" s="1821"/>
      <c r="F19" s="1821"/>
      <c r="G19" s="1821"/>
      <c r="H19" s="1821"/>
      <c r="I19" s="1821"/>
      <c r="J19" s="1821"/>
      <c r="K19" s="1821"/>
      <c r="L19" s="1821"/>
      <c r="M19" s="1824"/>
      <c r="N19" s="1839"/>
    </row>
    <row r="20" spans="2:22" ht="16.5" thickBot="1">
      <c r="B20" s="1821"/>
      <c r="C20" s="60"/>
      <c r="D20" s="1828" t="s">
        <v>972</v>
      </c>
      <c r="E20" s="60"/>
      <c r="F20" s="60"/>
      <c r="G20" s="60"/>
      <c r="H20" s="1821"/>
      <c r="I20" s="60"/>
      <c r="J20" s="1843">
        <f>+J7-SUM(J14:J18)</f>
        <v>0</v>
      </c>
      <c r="K20" s="1827" t="s">
        <v>1621</v>
      </c>
      <c r="L20" s="60"/>
      <c r="M20" s="1824"/>
      <c r="N20" s="1839"/>
    </row>
    <row r="21" spans="2:22" ht="9" customHeight="1" thickBot="1">
      <c r="B21" s="1821"/>
      <c r="C21" s="60"/>
      <c r="D21" s="1828"/>
      <c r="E21" s="60"/>
      <c r="F21" s="60"/>
      <c r="G21" s="60"/>
      <c r="H21" s="1821"/>
      <c r="I21" s="1821"/>
      <c r="J21" s="1821"/>
      <c r="K21" s="1821"/>
      <c r="L21" s="60"/>
      <c r="M21" s="1824"/>
      <c r="N21" s="1839"/>
    </row>
    <row r="22" spans="2:22" ht="16.5" thickBot="1">
      <c r="B22" s="1821"/>
      <c r="C22" s="1828" t="s">
        <v>973</v>
      </c>
      <c r="D22" s="60"/>
      <c r="E22" s="60"/>
      <c r="F22" s="1828"/>
      <c r="G22" s="60"/>
      <c r="H22" s="1821"/>
      <c r="I22" s="60"/>
      <c r="J22" s="1844" t="s">
        <v>974</v>
      </c>
      <c r="K22" s="60"/>
      <c r="L22" s="1845" t="s">
        <v>982</v>
      </c>
      <c r="M22" s="1824"/>
      <c r="N22" s="1839"/>
    </row>
    <row r="23" spans="2:22">
      <c r="B23" s="60"/>
      <c r="C23" s="60"/>
      <c r="D23" s="1844" t="s">
        <v>976</v>
      </c>
      <c r="E23" s="1846"/>
      <c r="F23" s="60"/>
      <c r="G23" s="1844" t="s">
        <v>977</v>
      </c>
      <c r="H23" s="60"/>
      <c r="I23" s="60"/>
      <c r="J23" s="60"/>
      <c r="K23" s="1844" t="s">
        <v>978</v>
      </c>
      <c r="L23" s="60"/>
      <c r="M23" s="60"/>
      <c r="N23" s="60"/>
    </row>
    <row r="24" spans="2:22" ht="14.25" thickBot="1">
      <c r="B24" s="60"/>
      <c r="C24" s="60"/>
      <c r="D24" s="1847" t="s">
        <v>178</v>
      </c>
      <c r="E24" s="1847" t="s">
        <v>979</v>
      </c>
      <c r="F24" s="1848"/>
      <c r="G24" s="1849" t="s">
        <v>178</v>
      </c>
      <c r="H24" s="1849" t="s">
        <v>980</v>
      </c>
      <c r="I24" s="60"/>
      <c r="J24" s="60"/>
      <c r="K24" s="1849" t="s">
        <v>178</v>
      </c>
      <c r="L24" s="1850" t="s">
        <v>1629</v>
      </c>
      <c r="M24" s="1850" t="s">
        <v>1630</v>
      </c>
      <c r="N24" s="60"/>
      <c r="T24" t="s">
        <v>981</v>
      </c>
      <c r="U24" t="s">
        <v>982</v>
      </c>
      <c r="V24" t="s">
        <v>983</v>
      </c>
    </row>
    <row r="25" spans="2:22" ht="14.25" hidden="1" thickBot="1">
      <c r="B25" s="60"/>
      <c r="C25" s="60"/>
      <c r="D25" s="1851"/>
      <c r="E25" s="1851"/>
      <c r="F25" s="60"/>
      <c r="G25" s="1852"/>
      <c r="H25" s="1853"/>
      <c r="I25" s="60"/>
      <c r="J25" s="60"/>
      <c r="K25" s="1854" t="str">
        <f>VLOOKUP(L22,U24:V30,2)</f>
        <v>e</v>
      </c>
      <c r="L25" s="60"/>
      <c r="M25" s="60"/>
      <c r="N25" s="60"/>
      <c r="T25" t="s">
        <v>984</v>
      </c>
      <c r="U25" t="s">
        <v>975</v>
      </c>
      <c r="V25" t="s">
        <v>985</v>
      </c>
    </row>
    <row r="26" spans="2:22" ht="14.25">
      <c r="B26" s="60"/>
      <c r="C26" s="60"/>
      <c r="D26" s="1855" t="s">
        <v>157</v>
      </c>
      <c r="E26" s="1856">
        <f>メイン!W76</f>
        <v>11000</v>
      </c>
      <c r="F26" s="60"/>
      <c r="G26" s="1857" t="s">
        <v>157</v>
      </c>
      <c r="H26" s="2275">
        <f>IF(E26=0,"",E26/$E$44)</f>
        <v>1</v>
      </c>
      <c r="I26" s="60"/>
      <c r="J26" s="60"/>
      <c r="K26" s="1857" t="s">
        <v>157</v>
      </c>
      <c r="L26" s="1858">
        <f t="shared" ref="L26:L42" si="0">HLOOKUP(K$25,$G$56:$M$73,P57)</f>
        <v>1900</v>
      </c>
      <c r="M26" s="1858">
        <f t="shared" ref="M26:M42" si="1">HLOOKUP(K$25,$G$78:$M$95,P79)</f>
        <v>3250</v>
      </c>
      <c r="N26" s="60"/>
      <c r="T26" t="s">
        <v>975</v>
      </c>
      <c r="U26" t="s">
        <v>986</v>
      </c>
      <c r="V26" t="s">
        <v>987</v>
      </c>
    </row>
    <row r="27" spans="2:22" ht="14.25" hidden="1">
      <c r="B27" s="60"/>
      <c r="C27" s="60"/>
      <c r="D27" s="1859" t="s">
        <v>988</v>
      </c>
      <c r="E27" s="1860"/>
      <c r="F27" s="60"/>
      <c r="G27" s="1861" t="s">
        <v>988</v>
      </c>
      <c r="H27" s="2276"/>
      <c r="I27" s="60"/>
      <c r="J27" s="60"/>
      <c r="K27" s="1861" t="s">
        <v>988</v>
      </c>
      <c r="L27" s="1858">
        <f t="shared" si="0"/>
        <v>0</v>
      </c>
      <c r="M27" s="1858">
        <f t="shared" si="1"/>
        <v>0</v>
      </c>
      <c r="N27" s="60"/>
      <c r="T27" t="s">
        <v>989</v>
      </c>
      <c r="U27" t="s">
        <v>990</v>
      </c>
      <c r="V27" t="s">
        <v>991</v>
      </c>
    </row>
    <row r="28" spans="2:22" ht="14.25">
      <c r="B28" s="60"/>
      <c r="C28" s="60"/>
      <c r="D28" s="1862" t="s">
        <v>853</v>
      </c>
      <c r="E28" s="1863">
        <f>メイン!W77</f>
        <v>0</v>
      </c>
      <c r="F28" s="60"/>
      <c r="G28" s="1857" t="s">
        <v>853</v>
      </c>
      <c r="H28" s="2276" t="str">
        <f t="shared" ref="H28:H42" si="2">IF(E28=0,"",E28/$E$44)</f>
        <v/>
      </c>
      <c r="I28" s="60"/>
      <c r="J28" s="60"/>
      <c r="K28" s="1857" t="s">
        <v>853</v>
      </c>
      <c r="L28" s="1858">
        <f t="shared" si="0"/>
        <v>1100</v>
      </c>
      <c r="M28" s="1858">
        <f t="shared" si="1"/>
        <v>1600</v>
      </c>
      <c r="N28" s="60"/>
      <c r="T28" t="s">
        <v>982</v>
      </c>
      <c r="U28" t="s">
        <v>989</v>
      </c>
      <c r="V28" t="s">
        <v>992</v>
      </c>
    </row>
    <row r="29" spans="2:22" ht="14.25">
      <c r="B29" s="60"/>
      <c r="C29" s="60"/>
      <c r="D29" s="1855" t="s">
        <v>854</v>
      </c>
      <c r="E29" s="1856">
        <f>メイン!W78</f>
        <v>0</v>
      </c>
      <c r="F29" s="60"/>
      <c r="G29" s="1857" t="s">
        <v>854</v>
      </c>
      <c r="H29" s="2276" t="str">
        <f t="shared" si="2"/>
        <v/>
      </c>
      <c r="I29" s="60"/>
      <c r="J29" s="60"/>
      <c r="K29" s="1857" t="s">
        <v>854</v>
      </c>
      <c r="L29" s="1858">
        <f t="shared" si="0"/>
        <v>520</v>
      </c>
      <c r="M29" s="1858">
        <f t="shared" si="1"/>
        <v>1400</v>
      </c>
      <c r="N29" s="60"/>
      <c r="T29" t="s">
        <v>990</v>
      </c>
      <c r="U29" t="s">
        <v>984</v>
      </c>
      <c r="V29" t="s">
        <v>993</v>
      </c>
    </row>
    <row r="30" spans="2:22" ht="14.25">
      <c r="B30" s="60"/>
      <c r="C30" s="60"/>
      <c r="D30" s="1859" t="s">
        <v>994</v>
      </c>
      <c r="E30" s="1860">
        <f>メイン!W79+メイン!W80</f>
        <v>0</v>
      </c>
      <c r="F30" s="60"/>
      <c r="G30" s="1857" t="s">
        <v>994</v>
      </c>
      <c r="H30" s="2276" t="str">
        <f t="shared" si="2"/>
        <v/>
      </c>
      <c r="I30" s="60"/>
      <c r="J30" s="60"/>
      <c r="K30" s="1857" t="s">
        <v>994</v>
      </c>
      <c r="L30" s="1858">
        <f t="shared" si="0"/>
        <v>270</v>
      </c>
      <c r="M30" s="1858">
        <f t="shared" si="1"/>
        <v>460</v>
      </c>
      <c r="N30" s="60"/>
      <c r="T30" t="s">
        <v>986</v>
      </c>
      <c r="U30" t="s">
        <v>981</v>
      </c>
      <c r="V30" t="s">
        <v>995</v>
      </c>
    </row>
    <row r="31" spans="2:22" ht="14.25">
      <c r="B31" s="60"/>
      <c r="C31" s="60"/>
      <c r="D31" s="1859" t="s">
        <v>1019</v>
      </c>
      <c r="E31" s="1860">
        <f>メイン!W81</f>
        <v>0</v>
      </c>
      <c r="F31" s="60"/>
      <c r="G31" s="1857" t="s">
        <v>1019</v>
      </c>
      <c r="H31" s="2276" t="str">
        <f t="shared" si="2"/>
        <v/>
      </c>
      <c r="I31" s="60"/>
      <c r="J31" s="60"/>
      <c r="K31" s="1857" t="s">
        <v>1019</v>
      </c>
      <c r="L31" s="1858">
        <f t="shared" si="0"/>
        <v>330</v>
      </c>
      <c r="M31" s="1858">
        <f t="shared" si="1"/>
        <v>630</v>
      </c>
      <c r="N31" s="60"/>
    </row>
    <row r="32" spans="2:22" ht="14.25">
      <c r="B32" s="60"/>
      <c r="C32" s="60"/>
      <c r="D32" s="1862" t="s">
        <v>855</v>
      </c>
      <c r="E32" s="1863">
        <f>メイン!W82</f>
        <v>0</v>
      </c>
      <c r="F32" s="60"/>
      <c r="G32" s="1857" t="s">
        <v>855</v>
      </c>
      <c r="H32" s="2276" t="str">
        <f t="shared" si="2"/>
        <v/>
      </c>
      <c r="I32" s="60"/>
      <c r="J32" s="60"/>
      <c r="K32" s="1857" t="s">
        <v>855</v>
      </c>
      <c r="L32" s="1858">
        <f>HLOOKUP(K$25,$G$56:$M$73,P63)</f>
        <v>1000</v>
      </c>
      <c r="M32" s="1858">
        <f t="shared" si="1"/>
        <v>2300</v>
      </c>
      <c r="N32" s="60"/>
    </row>
    <row r="33" spans="2:14" ht="14.25" hidden="1">
      <c r="B33" s="60"/>
      <c r="C33" s="60"/>
      <c r="D33" s="1864" t="s">
        <v>1020</v>
      </c>
      <c r="E33" s="1865"/>
      <c r="F33" s="60"/>
      <c r="G33" s="1861" t="s">
        <v>1020</v>
      </c>
      <c r="H33" s="2276" t="str">
        <f t="shared" si="2"/>
        <v/>
      </c>
      <c r="I33" s="60"/>
      <c r="J33" s="60"/>
      <c r="K33" s="1861" t="s">
        <v>1020</v>
      </c>
      <c r="L33" s="1858">
        <f t="shared" si="0"/>
        <v>0</v>
      </c>
      <c r="M33" s="1858">
        <f t="shared" si="1"/>
        <v>0</v>
      </c>
      <c r="N33" s="60"/>
    </row>
    <row r="34" spans="2:14" ht="14.25">
      <c r="B34" s="60"/>
      <c r="C34" s="60"/>
      <c r="D34" s="1855" t="s">
        <v>1631</v>
      </c>
      <c r="E34" s="1856">
        <f>メイン!W83</f>
        <v>0</v>
      </c>
      <c r="F34" s="60"/>
      <c r="G34" s="1857" t="s">
        <v>1632</v>
      </c>
      <c r="H34" s="2276" t="str">
        <f t="shared" si="2"/>
        <v/>
      </c>
      <c r="I34" s="60"/>
      <c r="J34" s="60"/>
      <c r="K34" s="1857" t="s">
        <v>1632</v>
      </c>
      <c r="L34" s="1858">
        <f t="shared" si="0"/>
        <v>2900</v>
      </c>
      <c r="M34" s="1858">
        <f t="shared" si="1"/>
        <v>4600</v>
      </c>
      <c r="N34" s="60"/>
    </row>
    <row r="35" spans="2:14" ht="14.25">
      <c r="B35" s="60"/>
      <c r="C35" s="60"/>
      <c r="D35" s="1862" t="s">
        <v>460</v>
      </c>
      <c r="E35" s="1863">
        <f>メイン!W84</f>
        <v>0</v>
      </c>
      <c r="F35" s="60"/>
      <c r="G35" s="1857" t="s">
        <v>1633</v>
      </c>
      <c r="H35" s="2276" t="str">
        <f t="shared" si="2"/>
        <v/>
      </c>
      <c r="I35" s="60"/>
      <c r="J35" s="60"/>
      <c r="K35" s="1857" t="s">
        <v>1633</v>
      </c>
      <c r="L35" s="1858">
        <f t="shared" si="0"/>
        <v>2400</v>
      </c>
      <c r="M35" s="1858">
        <f t="shared" si="1"/>
        <v>3750</v>
      </c>
      <c r="N35" s="60"/>
    </row>
    <row r="36" spans="2:14" ht="14.25">
      <c r="B36" s="60"/>
      <c r="C36" s="60"/>
      <c r="D36" s="1864" t="s">
        <v>462</v>
      </c>
      <c r="E36" s="1865">
        <f>メイン!W85</f>
        <v>0</v>
      </c>
      <c r="F36" s="60"/>
      <c r="G36" s="1866" t="s">
        <v>1634</v>
      </c>
      <c r="H36" s="2276" t="str">
        <f t="shared" si="2"/>
        <v/>
      </c>
      <c r="I36" s="60"/>
      <c r="J36" s="60"/>
      <c r="K36" s="1866" t="s">
        <v>1634</v>
      </c>
      <c r="L36" s="1858">
        <f>HLOOKUP(K$25,$G$56:$M$73,P67)</f>
        <v>2900</v>
      </c>
      <c r="M36" s="1858">
        <f t="shared" si="1"/>
        <v>4600</v>
      </c>
      <c r="N36" s="60"/>
    </row>
    <row r="37" spans="2:14" ht="14.25">
      <c r="B37" s="60"/>
      <c r="C37" s="60"/>
      <c r="D37" s="1859" t="s">
        <v>857</v>
      </c>
      <c r="E37" s="1860">
        <f>メイン!W86</f>
        <v>0</v>
      </c>
      <c r="F37" s="60"/>
      <c r="G37" s="1857" t="s">
        <v>857</v>
      </c>
      <c r="H37" s="2276" t="str">
        <f t="shared" si="2"/>
        <v/>
      </c>
      <c r="I37" s="60"/>
      <c r="J37" s="60"/>
      <c r="K37" s="1857" t="s">
        <v>857</v>
      </c>
      <c r="L37" s="1858">
        <f t="shared" si="0"/>
        <v>1400</v>
      </c>
      <c r="M37" s="1858">
        <f t="shared" si="1"/>
        <v>2900</v>
      </c>
      <c r="N37" s="60"/>
    </row>
    <row r="38" spans="2:14" ht="14.25">
      <c r="B38" s="60"/>
      <c r="C38" s="60"/>
      <c r="D38" s="1859" t="s">
        <v>858</v>
      </c>
      <c r="E38" s="1860">
        <f>メイン!W87</f>
        <v>0</v>
      </c>
      <c r="F38" s="60"/>
      <c r="G38" s="1857" t="s">
        <v>858</v>
      </c>
      <c r="H38" s="2276" t="str">
        <f t="shared" si="2"/>
        <v/>
      </c>
      <c r="I38" s="60"/>
      <c r="J38" s="60"/>
      <c r="K38" s="1857" t="s">
        <v>858</v>
      </c>
      <c r="L38" s="1858">
        <f t="shared" si="0"/>
        <v>1300</v>
      </c>
      <c r="M38" s="1858">
        <f t="shared" si="1"/>
        <v>2200</v>
      </c>
      <c r="N38" s="60"/>
    </row>
    <row r="39" spans="2:14" ht="14.25">
      <c r="B39" s="60"/>
      <c r="C39" s="60"/>
      <c r="D39" s="1862" t="s">
        <v>859</v>
      </c>
      <c r="E39" s="1863">
        <f>メイン!W88</f>
        <v>0</v>
      </c>
      <c r="F39" s="60"/>
      <c r="G39" s="1857" t="s">
        <v>859</v>
      </c>
      <c r="H39" s="2276" t="str">
        <f t="shared" si="2"/>
        <v/>
      </c>
      <c r="I39" s="60"/>
      <c r="J39" s="60"/>
      <c r="K39" s="1857" t="s">
        <v>859</v>
      </c>
      <c r="L39" s="1858">
        <f t="shared" si="0"/>
        <v>1450</v>
      </c>
      <c r="M39" s="1858">
        <f t="shared" si="1"/>
        <v>2900</v>
      </c>
      <c r="N39" s="60"/>
    </row>
    <row r="40" spans="2:14" ht="14.25">
      <c r="B40" s="60"/>
      <c r="C40" s="60"/>
      <c r="D40" s="1864" t="s">
        <v>164</v>
      </c>
      <c r="E40" s="1865">
        <f>メイン!W90</f>
        <v>0</v>
      </c>
      <c r="F40" s="60"/>
      <c r="G40" s="1857" t="s">
        <v>164</v>
      </c>
      <c r="H40" s="2276" t="str">
        <f t="shared" si="2"/>
        <v/>
      </c>
      <c r="I40" s="60"/>
      <c r="J40" s="60"/>
      <c r="K40" s="1857" t="s">
        <v>164</v>
      </c>
      <c r="L40" s="1858">
        <f t="shared" si="0"/>
        <v>2450</v>
      </c>
      <c r="M40" s="1858">
        <f t="shared" si="1"/>
        <v>3800</v>
      </c>
      <c r="N40" s="60"/>
    </row>
    <row r="41" spans="2:14" ht="14.25" hidden="1">
      <c r="B41" s="60"/>
      <c r="C41" s="60"/>
      <c r="D41" s="1864" t="s">
        <v>861</v>
      </c>
      <c r="E41" s="1865"/>
      <c r="F41" s="60"/>
      <c r="G41" s="1861" t="s">
        <v>861</v>
      </c>
      <c r="H41" s="2276" t="str">
        <f t="shared" si="2"/>
        <v/>
      </c>
      <c r="I41" s="60"/>
      <c r="J41" s="60"/>
      <c r="K41" s="1861" t="s">
        <v>861</v>
      </c>
      <c r="L41" s="1858">
        <f t="shared" si="0"/>
        <v>0</v>
      </c>
      <c r="M41" s="1858">
        <f t="shared" si="1"/>
        <v>0</v>
      </c>
      <c r="N41" s="60"/>
    </row>
    <row r="42" spans="2:14" ht="15" thickBot="1">
      <c r="B42" s="60"/>
      <c r="C42" s="60"/>
      <c r="D42" s="1864" t="s">
        <v>767</v>
      </c>
      <c r="E42" s="1865">
        <f>メイン!W91</f>
        <v>0</v>
      </c>
      <c r="F42" s="60"/>
      <c r="G42" s="1857" t="s">
        <v>1635</v>
      </c>
      <c r="H42" s="2277" t="str">
        <f t="shared" si="2"/>
        <v/>
      </c>
      <c r="I42" s="60"/>
      <c r="J42" s="60"/>
      <c r="K42" s="1857" t="s">
        <v>1635</v>
      </c>
      <c r="L42" s="1858">
        <f t="shared" si="0"/>
        <v>2750</v>
      </c>
      <c r="M42" s="1858">
        <f t="shared" si="1"/>
        <v>3800</v>
      </c>
      <c r="N42" s="60"/>
    </row>
    <row r="43" spans="2:14" hidden="1">
      <c r="B43" s="60"/>
      <c r="C43" s="60"/>
      <c r="D43" s="1867"/>
      <c r="E43" s="1865"/>
      <c r="F43" s="60"/>
      <c r="G43" s="1868"/>
      <c r="H43" s="1869"/>
      <c r="I43" s="60"/>
      <c r="J43" s="60"/>
      <c r="K43" s="1868"/>
      <c r="L43" s="1858"/>
      <c r="M43" s="1858"/>
      <c r="N43" s="60"/>
    </row>
    <row r="44" spans="2:14">
      <c r="B44" s="60"/>
      <c r="C44" s="60"/>
      <c r="D44" s="1867" t="s">
        <v>474</v>
      </c>
      <c r="E44" s="1870">
        <f>SUM(E25:E43)</f>
        <v>11000</v>
      </c>
      <c r="F44" s="60"/>
      <c r="G44" s="1871" t="s">
        <v>474</v>
      </c>
      <c r="H44" s="1872">
        <f>SUM(H26:H42)</f>
        <v>1</v>
      </c>
      <c r="I44" s="60"/>
      <c r="J44" s="60"/>
      <c r="K44" s="1868" t="s">
        <v>474</v>
      </c>
      <c r="L44" s="1870">
        <f>SUMPRODUCT(H26:H42,L26:L42)</f>
        <v>1900</v>
      </c>
      <c r="M44" s="1870">
        <f>SUMPRODUCT(H26:H42,M26:M42)</f>
        <v>3250</v>
      </c>
      <c r="N44" s="60"/>
    </row>
    <row r="45" spans="2:14">
      <c r="B45" s="60"/>
      <c r="C45" s="60"/>
      <c r="D45" s="1827" t="s">
        <v>1636</v>
      </c>
      <c r="E45" s="60"/>
      <c r="F45" s="60"/>
      <c r="G45" s="60"/>
      <c r="H45" s="60"/>
      <c r="I45" s="60"/>
      <c r="J45" s="60"/>
      <c r="K45" s="60"/>
      <c r="L45" s="60"/>
      <c r="M45" s="60"/>
      <c r="N45" s="60"/>
    </row>
    <row r="46" spans="2:14">
      <c r="B46" s="60"/>
      <c r="C46" s="60"/>
      <c r="D46" s="60"/>
      <c r="E46" s="60"/>
      <c r="F46" s="60"/>
      <c r="G46" s="1850"/>
      <c r="H46" s="60"/>
      <c r="I46" s="60"/>
      <c r="J46" s="60"/>
      <c r="K46" s="60"/>
      <c r="L46" s="60"/>
      <c r="M46" s="60"/>
      <c r="N46" s="60"/>
    </row>
    <row r="47" spans="2:14">
      <c r="B47" s="60"/>
      <c r="C47" s="1873" t="s">
        <v>1021</v>
      </c>
      <c r="D47" s="60"/>
      <c r="E47" s="60"/>
      <c r="F47" s="60"/>
      <c r="G47" s="60"/>
      <c r="H47" s="60"/>
      <c r="I47" s="60"/>
      <c r="J47" s="60"/>
      <c r="K47" s="60"/>
      <c r="L47" s="60"/>
      <c r="M47" s="60"/>
      <c r="N47" s="60"/>
    </row>
    <row r="48" spans="2:14">
      <c r="B48" s="60"/>
      <c r="C48" s="60"/>
      <c r="D48" s="1844" t="s">
        <v>1039</v>
      </c>
      <c r="E48" s="60"/>
      <c r="F48" s="60"/>
      <c r="G48" s="60"/>
      <c r="H48" s="60"/>
      <c r="I48" s="1874">
        <f>E44</f>
        <v>11000</v>
      </c>
      <c r="J48" s="1827" t="s">
        <v>1598</v>
      </c>
      <c r="K48" s="1827"/>
      <c r="L48" s="1827"/>
      <c r="M48" s="1827"/>
      <c r="N48" s="60"/>
    </row>
    <row r="49" spans="2:16">
      <c r="B49" s="60"/>
      <c r="C49" s="60"/>
      <c r="D49" s="1828" t="s">
        <v>1022</v>
      </c>
      <c r="E49" s="60"/>
      <c r="F49" s="60"/>
      <c r="G49" s="60"/>
      <c r="H49" s="60"/>
      <c r="I49" s="1874">
        <f>J20/I48*1000</f>
        <v>0</v>
      </c>
      <c r="J49" s="1827" t="s">
        <v>1637</v>
      </c>
      <c r="K49" s="1827"/>
      <c r="L49" s="1827"/>
      <c r="M49" s="1827"/>
      <c r="N49" s="60"/>
    </row>
    <row r="50" spans="2:16" ht="14.25" thickBot="1">
      <c r="B50" s="60"/>
      <c r="C50" s="60"/>
      <c r="D50" s="1828" t="s">
        <v>1023</v>
      </c>
      <c r="E50" s="60"/>
      <c r="F50" s="60"/>
      <c r="G50" s="1850"/>
      <c r="H50" s="1875" t="s">
        <v>1024</v>
      </c>
      <c r="I50" s="1874">
        <f>L44</f>
        <v>1900</v>
      </c>
      <c r="J50" s="1827" t="s">
        <v>1637</v>
      </c>
      <c r="K50" s="1876" t="s">
        <v>1025</v>
      </c>
      <c r="L50" s="1874">
        <f>M44</f>
        <v>3250</v>
      </c>
      <c r="M50" s="1827" t="s">
        <v>1637</v>
      </c>
      <c r="N50" s="60"/>
    </row>
    <row r="51" spans="2:16" ht="14.25" thickBot="1">
      <c r="B51" s="60"/>
      <c r="C51" s="60"/>
      <c r="D51" s="1828" t="s">
        <v>1026</v>
      </c>
      <c r="E51" s="60"/>
      <c r="F51" s="60"/>
      <c r="G51" s="60"/>
      <c r="H51" s="60"/>
      <c r="I51" s="1877">
        <f>IF(I14&gt;=0.8,1,IF(I48=0,0,IF(I49&gt;L50,-1,IF(I49&lt;I50,1,0))))</f>
        <v>1</v>
      </c>
      <c r="J51" s="1844" t="str">
        <f>IF(I51=1,"レベル上げる",IF(I51=-1,"レベル下げる","上下なし"))</f>
        <v>レベル上げる</v>
      </c>
      <c r="K51" s="1878" t="s">
        <v>1027</v>
      </c>
      <c r="L51" s="60"/>
      <c r="M51" s="60"/>
      <c r="N51" s="60"/>
    </row>
    <row r="52" spans="2:16" ht="9.75" customHeight="1">
      <c r="B52" s="60"/>
      <c r="C52" s="60"/>
      <c r="D52" s="60"/>
      <c r="E52" s="60"/>
      <c r="F52" s="60"/>
      <c r="G52" s="1850"/>
      <c r="H52" s="60"/>
      <c r="I52" s="60"/>
      <c r="J52" s="60"/>
      <c r="K52" s="60"/>
      <c r="L52" s="60"/>
      <c r="M52" s="60"/>
      <c r="N52" s="60"/>
    </row>
    <row r="53" spans="2:16">
      <c r="B53" s="60"/>
      <c r="C53" s="60"/>
      <c r="D53" s="60"/>
      <c r="E53" s="1879" t="s">
        <v>1028</v>
      </c>
      <c r="F53" s="60"/>
      <c r="G53" s="60"/>
      <c r="H53" s="60"/>
      <c r="I53" s="60"/>
      <c r="J53" s="60"/>
      <c r="K53" s="60"/>
      <c r="L53" s="60"/>
      <c r="M53" s="60"/>
      <c r="N53" s="60"/>
    </row>
    <row r="54" spans="2:16">
      <c r="B54" s="60"/>
      <c r="C54" s="60"/>
      <c r="D54" s="1850"/>
      <c r="E54" s="1849" t="s">
        <v>1029</v>
      </c>
      <c r="F54" s="60"/>
      <c r="G54" s="60"/>
      <c r="H54" s="60"/>
      <c r="I54" s="60"/>
      <c r="J54" s="60"/>
      <c r="K54" s="60"/>
      <c r="L54" s="60"/>
      <c r="M54" s="60"/>
      <c r="N54" s="60"/>
    </row>
    <row r="55" spans="2:16">
      <c r="B55" s="60"/>
      <c r="C55" s="60"/>
      <c r="D55" s="60"/>
      <c r="E55" s="1868" t="s">
        <v>178</v>
      </c>
      <c r="F55" s="60"/>
      <c r="G55" s="1880" t="s">
        <v>981</v>
      </c>
      <c r="H55" s="1880" t="s">
        <v>984</v>
      </c>
      <c r="I55" s="1880" t="s">
        <v>975</v>
      </c>
      <c r="J55" s="1880" t="s">
        <v>989</v>
      </c>
      <c r="K55" s="1880" t="s">
        <v>982</v>
      </c>
      <c r="L55" s="1880" t="s">
        <v>990</v>
      </c>
      <c r="M55" s="1880" t="s">
        <v>986</v>
      </c>
      <c r="N55" s="60"/>
    </row>
    <row r="56" spans="2:16" hidden="1">
      <c r="B56" s="60"/>
      <c r="C56" s="60"/>
      <c r="D56" s="60"/>
      <c r="E56" s="1881"/>
      <c r="F56" s="60"/>
      <c r="G56" s="1880" t="s">
        <v>1638</v>
      </c>
      <c r="H56" s="1880" t="s">
        <v>1639</v>
      </c>
      <c r="I56" s="1880" t="s">
        <v>1640</v>
      </c>
      <c r="J56" s="1880" t="s">
        <v>1641</v>
      </c>
      <c r="K56" s="1880" t="s">
        <v>1642</v>
      </c>
      <c r="L56" s="1880" t="s">
        <v>1643</v>
      </c>
      <c r="M56" s="1880" t="s">
        <v>1644</v>
      </c>
      <c r="N56" s="60"/>
    </row>
    <row r="57" spans="2:16">
      <c r="B57" s="60"/>
      <c r="C57" s="60"/>
      <c r="D57" s="60"/>
      <c r="E57" s="1868" t="s">
        <v>157</v>
      </c>
      <c r="F57" s="60"/>
      <c r="G57" s="1858">
        <v>1900</v>
      </c>
      <c r="H57" s="1858">
        <v>1900</v>
      </c>
      <c r="I57" s="1858">
        <v>1900</v>
      </c>
      <c r="J57" s="1858">
        <v>1900</v>
      </c>
      <c r="K57" s="1858">
        <v>1900</v>
      </c>
      <c r="L57" s="1858">
        <v>1900</v>
      </c>
      <c r="M57" s="1858">
        <v>1900</v>
      </c>
      <c r="N57" s="60"/>
      <c r="P57">
        <v>2</v>
      </c>
    </row>
    <row r="58" spans="2:16" hidden="1">
      <c r="B58" s="60"/>
      <c r="C58" s="60"/>
      <c r="D58" s="60"/>
      <c r="E58" s="1881" t="s">
        <v>988</v>
      </c>
      <c r="F58" s="60"/>
      <c r="G58" s="1858"/>
      <c r="H58" s="1858"/>
      <c r="I58" s="1858"/>
      <c r="J58" s="1858"/>
      <c r="K58" s="1858"/>
      <c r="L58" s="1858"/>
      <c r="M58" s="1858"/>
      <c r="N58" s="60"/>
      <c r="P58">
        <v>3</v>
      </c>
    </row>
    <row r="59" spans="2:16">
      <c r="B59" s="60"/>
      <c r="C59" s="60"/>
      <c r="D59" s="60"/>
      <c r="E59" s="1868" t="s">
        <v>853</v>
      </c>
      <c r="F59" s="60"/>
      <c r="G59" s="1858">
        <v>1100</v>
      </c>
      <c r="H59" s="1858">
        <v>1100</v>
      </c>
      <c r="I59" s="1858">
        <v>1100</v>
      </c>
      <c r="J59" s="1858">
        <v>1100</v>
      </c>
      <c r="K59" s="1858">
        <v>1100</v>
      </c>
      <c r="L59" s="1858">
        <v>1100</v>
      </c>
      <c r="M59" s="1858">
        <v>1100</v>
      </c>
      <c r="N59" s="60"/>
      <c r="P59">
        <v>4</v>
      </c>
    </row>
    <row r="60" spans="2:16">
      <c r="B60" s="60"/>
      <c r="C60" s="60"/>
      <c r="D60" s="60"/>
      <c r="E60" s="1868" t="s">
        <v>854</v>
      </c>
      <c r="F60" s="60"/>
      <c r="G60" s="1858">
        <v>520</v>
      </c>
      <c r="H60" s="1858">
        <v>520</v>
      </c>
      <c r="I60" s="1858">
        <v>520</v>
      </c>
      <c r="J60" s="1858">
        <v>520</v>
      </c>
      <c r="K60" s="1858">
        <v>520</v>
      </c>
      <c r="L60" s="1858">
        <v>520</v>
      </c>
      <c r="M60" s="1858">
        <v>520</v>
      </c>
      <c r="N60" s="60"/>
      <c r="P60">
        <v>5</v>
      </c>
    </row>
    <row r="61" spans="2:16">
      <c r="B61" s="60"/>
      <c r="C61" s="60"/>
      <c r="D61" s="60"/>
      <c r="E61" s="1868" t="s">
        <v>994</v>
      </c>
      <c r="F61" s="60"/>
      <c r="G61" s="1882">
        <v>510</v>
      </c>
      <c r="H61" s="1858">
        <v>270</v>
      </c>
      <c r="I61" s="1858">
        <v>270</v>
      </c>
      <c r="J61" s="1858">
        <v>270</v>
      </c>
      <c r="K61" s="1858">
        <v>270</v>
      </c>
      <c r="L61" s="1858">
        <v>270</v>
      </c>
      <c r="M61" s="1858">
        <v>270</v>
      </c>
      <c r="N61" s="60"/>
      <c r="P61">
        <v>6</v>
      </c>
    </row>
    <row r="62" spans="2:16">
      <c r="B62" s="60"/>
      <c r="C62" s="60"/>
      <c r="D62" s="60"/>
      <c r="E62" s="1868" t="s">
        <v>1019</v>
      </c>
      <c r="F62" s="60"/>
      <c r="G62" s="1858">
        <v>330</v>
      </c>
      <c r="H62" s="1858">
        <v>330</v>
      </c>
      <c r="I62" s="1858">
        <v>330</v>
      </c>
      <c r="J62" s="1858">
        <v>330</v>
      </c>
      <c r="K62" s="1858">
        <v>330</v>
      </c>
      <c r="L62" s="1858">
        <v>330</v>
      </c>
      <c r="M62" s="1858">
        <v>330</v>
      </c>
      <c r="N62" s="60"/>
      <c r="P62">
        <v>7</v>
      </c>
    </row>
    <row r="63" spans="2:16">
      <c r="B63" s="60"/>
      <c r="C63" s="60"/>
      <c r="D63" s="60"/>
      <c r="E63" s="1868" t="s">
        <v>855</v>
      </c>
      <c r="F63" s="60"/>
      <c r="G63" s="1858">
        <v>1000</v>
      </c>
      <c r="H63" s="1858">
        <v>1000</v>
      </c>
      <c r="I63" s="1858">
        <v>1000</v>
      </c>
      <c r="J63" s="1858">
        <v>1000</v>
      </c>
      <c r="K63" s="1858">
        <v>1000</v>
      </c>
      <c r="L63" s="1858">
        <v>1000</v>
      </c>
      <c r="M63" s="1858">
        <v>1000</v>
      </c>
      <c r="N63" s="60"/>
      <c r="P63">
        <v>8</v>
      </c>
    </row>
    <row r="64" spans="2:16" hidden="1">
      <c r="B64" s="60"/>
      <c r="C64" s="60"/>
      <c r="D64" s="60"/>
      <c r="E64" s="1881" t="s">
        <v>1020</v>
      </c>
      <c r="F64" s="60"/>
      <c r="G64" s="1858"/>
      <c r="H64" s="1858"/>
      <c r="I64" s="1858"/>
      <c r="J64" s="1858"/>
      <c r="K64" s="1858"/>
      <c r="L64" s="1858"/>
      <c r="M64" s="1858"/>
      <c r="N64" s="60"/>
      <c r="P64">
        <v>9</v>
      </c>
    </row>
    <row r="65" spans="2:16">
      <c r="B65" s="60"/>
      <c r="C65" s="60"/>
      <c r="D65" s="60"/>
      <c r="E65" s="1868" t="s">
        <v>1645</v>
      </c>
      <c r="F65" s="60"/>
      <c r="G65" s="1858">
        <v>2900</v>
      </c>
      <c r="H65" s="1858">
        <v>2900</v>
      </c>
      <c r="I65" s="1858">
        <v>2900</v>
      </c>
      <c r="J65" s="1858">
        <v>2900</v>
      </c>
      <c r="K65" s="1858">
        <v>2900</v>
      </c>
      <c r="L65" s="1858">
        <v>2900</v>
      </c>
      <c r="M65" s="1858">
        <v>2900</v>
      </c>
      <c r="N65" s="60"/>
      <c r="P65">
        <v>10</v>
      </c>
    </row>
    <row r="66" spans="2:16">
      <c r="B66" s="60"/>
      <c r="C66" s="60"/>
      <c r="D66" s="60"/>
      <c r="E66" s="1868" t="s">
        <v>1646</v>
      </c>
      <c r="F66" s="60"/>
      <c r="G66" s="1858">
        <v>2400</v>
      </c>
      <c r="H66" s="1858">
        <v>2400</v>
      </c>
      <c r="I66" s="1858">
        <v>2400</v>
      </c>
      <c r="J66" s="1858">
        <v>2400</v>
      </c>
      <c r="K66" s="1858">
        <v>2400</v>
      </c>
      <c r="L66" s="1858">
        <v>2400</v>
      </c>
      <c r="M66" s="1858">
        <v>2400</v>
      </c>
      <c r="N66" s="60"/>
      <c r="P66">
        <v>11</v>
      </c>
    </row>
    <row r="67" spans="2:16">
      <c r="B67" s="60"/>
      <c r="C67" s="60"/>
      <c r="D67" s="60"/>
      <c r="E67" s="556" t="s">
        <v>1647</v>
      </c>
      <c r="F67" s="60"/>
      <c r="G67" s="1858">
        <v>2900</v>
      </c>
      <c r="H67" s="1858">
        <v>2900</v>
      </c>
      <c r="I67" s="1858">
        <v>2900</v>
      </c>
      <c r="J67" s="1858">
        <v>2900</v>
      </c>
      <c r="K67" s="1858">
        <v>2900</v>
      </c>
      <c r="L67" s="1858">
        <v>2900</v>
      </c>
      <c r="M67" s="1858">
        <v>2900</v>
      </c>
      <c r="N67" s="60"/>
      <c r="P67">
        <v>12</v>
      </c>
    </row>
    <row r="68" spans="2:16">
      <c r="B68" s="60"/>
      <c r="C68" s="60"/>
      <c r="D68" s="60"/>
      <c r="E68" s="1868" t="s">
        <v>857</v>
      </c>
      <c r="F68" s="60"/>
      <c r="G68" s="1858">
        <v>1400</v>
      </c>
      <c r="H68" s="1858">
        <v>1400</v>
      </c>
      <c r="I68" s="1858">
        <v>1400</v>
      </c>
      <c r="J68" s="1858">
        <v>1400</v>
      </c>
      <c r="K68" s="1858">
        <v>1400</v>
      </c>
      <c r="L68" s="1858">
        <v>1400</v>
      </c>
      <c r="M68" s="1858">
        <v>1400</v>
      </c>
      <c r="N68" s="60"/>
      <c r="P68">
        <v>13</v>
      </c>
    </row>
    <row r="69" spans="2:16">
      <c r="B69" s="60"/>
      <c r="C69" s="60"/>
      <c r="D69" s="60"/>
      <c r="E69" s="1868" t="s">
        <v>858</v>
      </c>
      <c r="F69" s="60"/>
      <c r="G69" s="1858">
        <v>1300</v>
      </c>
      <c r="H69" s="1858">
        <v>1300</v>
      </c>
      <c r="I69" s="1858">
        <v>1300</v>
      </c>
      <c r="J69" s="1858">
        <v>1300</v>
      </c>
      <c r="K69" s="1858">
        <v>1300</v>
      </c>
      <c r="L69" s="1858">
        <v>1300</v>
      </c>
      <c r="M69" s="1858">
        <v>1300</v>
      </c>
      <c r="N69" s="60"/>
      <c r="P69">
        <v>14</v>
      </c>
    </row>
    <row r="70" spans="2:16">
      <c r="B70" s="60"/>
      <c r="C70" s="60"/>
      <c r="D70" s="60"/>
      <c r="E70" s="1868" t="s">
        <v>859</v>
      </c>
      <c r="F70" s="60"/>
      <c r="G70" s="1858">
        <v>1450</v>
      </c>
      <c r="H70" s="1858">
        <v>1450</v>
      </c>
      <c r="I70" s="1858">
        <v>1450</v>
      </c>
      <c r="J70" s="1858">
        <v>1450</v>
      </c>
      <c r="K70" s="1858">
        <v>1450</v>
      </c>
      <c r="L70" s="1858">
        <v>1450</v>
      </c>
      <c r="M70" s="1858">
        <v>1450</v>
      </c>
      <c r="N70" s="60"/>
      <c r="P70">
        <v>15</v>
      </c>
    </row>
    <row r="71" spans="2:16">
      <c r="B71" s="60"/>
      <c r="C71" s="60"/>
      <c r="D71" s="60"/>
      <c r="E71" s="1868" t="s">
        <v>164</v>
      </c>
      <c r="F71" s="60"/>
      <c r="G71" s="1858">
        <v>2450</v>
      </c>
      <c r="H71" s="1858">
        <v>2450</v>
      </c>
      <c r="I71" s="1858">
        <v>2450</v>
      </c>
      <c r="J71" s="1858">
        <v>2450</v>
      </c>
      <c r="K71" s="1858">
        <v>2450</v>
      </c>
      <c r="L71" s="1858">
        <v>2450</v>
      </c>
      <c r="M71" s="1858">
        <v>2450</v>
      </c>
      <c r="N71" s="60"/>
      <c r="P71">
        <v>16</v>
      </c>
    </row>
    <row r="72" spans="2:16" hidden="1">
      <c r="B72" s="60"/>
      <c r="C72" s="60"/>
      <c r="D72" s="60"/>
      <c r="E72" s="1881" t="s">
        <v>861</v>
      </c>
      <c r="F72" s="60"/>
      <c r="G72" s="1858"/>
      <c r="H72" s="1858"/>
      <c r="I72" s="1858"/>
      <c r="J72" s="1858"/>
      <c r="K72" s="1858"/>
      <c r="L72" s="1858"/>
      <c r="M72" s="1858"/>
      <c r="N72" s="60"/>
      <c r="P72">
        <v>17</v>
      </c>
    </row>
    <row r="73" spans="2:16">
      <c r="B73" s="60"/>
      <c r="C73" s="60"/>
      <c r="D73" s="60"/>
      <c r="E73" s="1868" t="s">
        <v>1648</v>
      </c>
      <c r="F73" s="60"/>
      <c r="G73" s="1858">
        <v>2750</v>
      </c>
      <c r="H73" s="1858">
        <v>2750</v>
      </c>
      <c r="I73" s="1858">
        <v>2750</v>
      </c>
      <c r="J73" s="1858">
        <v>2750</v>
      </c>
      <c r="K73" s="1858">
        <v>2750</v>
      </c>
      <c r="L73" s="1858">
        <v>2750</v>
      </c>
      <c r="M73" s="1858">
        <v>2750</v>
      </c>
      <c r="N73" s="60"/>
      <c r="P73">
        <v>18</v>
      </c>
    </row>
    <row r="74" spans="2:16" hidden="1">
      <c r="B74" s="60"/>
      <c r="C74" s="60"/>
      <c r="D74" s="60"/>
      <c r="E74" s="1868"/>
      <c r="F74" s="60"/>
      <c r="G74" s="1868"/>
      <c r="H74" s="1868"/>
      <c r="I74" s="1868"/>
      <c r="J74" s="1868"/>
      <c r="K74" s="1868"/>
      <c r="L74" s="1868"/>
      <c r="M74" s="1868"/>
      <c r="N74" s="60"/>
    </row>
    <row r="75" spans="2:16" ht="7.5" customHeight="1">
      <c r="B75" s="60"/>
      <c r="C75" s="60"/>
      <c r="D75" s="60"/>
      <c r="E75" s="60"/>
      <c r="F75" s="60"/>
      <c r="G75" s="60"/>
      <c r="H75" s="60"/>
      <c r="I75" s="60"/>
      <c r="J75" s="60"/>
      <c r="K75" s="60"/>
      <c r="L75" s="60"/>
      <c r="M75" s="60"/>
      <c r="N75" s="60"/>
    </row>
    <row r="76" spans="2:16">
      <c r="B76" s="60"/>
      <c r="C76" s="60"/>
      <c r="D76" s="60"/>
      <c r="E76" s="1850" t="s">
        <v>1630</v>
      </c>
      <c r="F76" s="60"/>
      <c r="G76" s="60"/>
      <c r="H76" s="60"/>
      <c r="I76" s="60"/>
      <c r="J76" s="60"/>
      <c r="K76" s="60"/>
      <c r="L76" s="60"/>
      <c r="M76" s="60"/>
      <c r="N76" s="60"/>
    </row>
    <row r="77" spans="2:16">
      <c r="B77" s="60"/>
      <c r="C77" s="60"/>
      <c r="D77" s="60"/>
      <c r="E77" s="1868" t="s">
        <v>178</v>
      </c>
      <c r="F77" s="60"/>
      <c r="G77" s="1880" t="s">
        <v>981</v>
      </c>
      <c r="H77" s="1880" t="s">
        <v>984</v>
      </c>
      <c r="I77" s="1880" t="s">
        <v>975</v>
      </c>
      <c r="J77" s="1880" t="s">
        <v>989</v>
      </c>
      <c r="K77" s="1880" t="s">
        <v>982</v>
      </c>
      <c r="L77" s="1880" t="s">
        <v>990</v>
      </c>
      <c r="M77" s="1880" t="s">
        <v>986</v>
      </c>
      <c r="N77" s="60"/>
    </row>
    <row r="78" spans="2:16" hidden="1">
      <c r="B78" s="60"/>
      <c r="C78" s="60"/>
      <c r="D78" s="60"/>
      <c r="E78" s="1881"/>
      <c r="F78" s="60"/>
      <c r="G78" s="1880" t="s">
        <v>1638</v>
      </c>
      <c r="H78" s="1880" t="s">
        <v>1639</v>
      </c>
      <c r="I78" s="1880" t="s">
        <v>1640</v>
      </c>
      <c r="J78" s="1880" t="s">
        <v>1641</v>
      </c>
      <c r="K78" s="1880" t="s">
        <v>1642</v>
      </c>
      <c r="L78" s="1880" t="s">
        <v>1643</v>
      </c>
      <c r="M78" s="1880" t="s">
        <v>1644</v>
      </c>
      <c r="N78" s="60"/>
    </row>
    <row r="79" spans="2:16">
      <c r="B79" s="60"/>
      <c r="C79" s="60"/>
      <c r="D79" s="60"/>
      <c r="E79" s="1868" t="s">
        <v>157</v>
      </c>
      <c r="F79" s="60"/>
      <c r="G79" s="1858">
        <v>3250</v>
      </c>
      <c r="H79" s="1858">
        <v>3250</v>
      </c>
      <c r="I79" s="1858">
        <v>3250</v>
      </c>
      <c r="J79" s="1858">
        <v>3250</v>
      </c>
      <c r="K79" s="1858">
        <v>3250</v>
      </c>
      <c r="L79" s="1858">
        <v>3250</v>
      </c>
      <c r="M79" s="1858">
        <v>3250</v>
      </c>
      <c r="N79" s="60"/>
      <c r="P79">
        <v>2</v>
      </c>
    </row>
    <row r="80" spans="2:16" hidden="1">
      <c r="B80" s="60"/>
      <c r="C80" s="60"/>
      <c r="D80" s="60"/>
      <c r="E80" s="1881" t="s">
        <v>988</v>
      </c>
      <c r="F80" s="60"/>
      <c r="G80" s="1858"/>
      <c r="H80" s="1858"/>
      <c r="I80" s="1858"/>
      <c r="J80" s="1858"/>
      <c r="K80" s="1858"/>
      <c r="L80" s="1858"/>
      <c r="M80" s="1858"/>
      <c r="N80" s="60"/>
      <c r="P80">
        <v>3</v>
      </c>
    </row>
    <row r="81" spans="2:16">
      <c r="B81" s="60"/>
      <c r="C81" s="60"/>
      <c r="D81" s="60"/>
      <c r="E81" s="1868" t="s">
        <v>853</v>
      </c>
      <c r="F81" s="60"/>
      <c r="G81" s="1858">
        <v>1600</v>
      </c>
      <c r="H81" s="1858">
        <v>1600</v>
      </c>
      <c r="I81" s="1858">
        <v>1600</v>
      </c>
      <c r="J81" s="1858">
        <v>1600</v>
      </c>
      <c r="K81" s="1858">
        <v>1600</v>
      </c>
      <c r="L81" s="1858">
        <v>1600</v>
      </c>
      <c r="M81" s="1858">
        <v>1600</v>
      </c>
      <c r="N81" s="60"/>
      <c r="P81">
        <v>4</v>
      </c>
    </row>
    <row r="82" spans="2:16">
      <c r="B82" s="60"/>
      <c r="C82" s="60"/>
      <c r="D82" s="60"/>
      <c r="E82" s="1868" t="s">
        <v>854</v>
      </c>
      <c r="F82" s="60"/>
      <c r="G82" s="1858">
        <v>1400</v>
      </c>
      <c r="H82" s="1858">
        <v>1400</v>
      </c>
      <c r="I82" s="1858">
        <v>1400</v>
      </c>
      <c r="J82" s="1858">
        <v>1400</v>
      </c>
      <c r="K82" s="1858">
        <v>1400</v>
      </c>
      <c r="L82" s="1858">
        <v>1400</v>
      </c>
      <c r="M82" s="1858">
        <v>1400</v>
      </c>
      <c r="N82" s="60"/>
      <c r="P82">
        <v>5</v>
      </c>
    </row>
    <row r="83" spans="2:16">
      <c r="B83" s="60"/>
      <c r="C83" s="60"/>
      <c r="D83" s="60"/>
      <c r="E83" s="1868" t="s">
        <v>994</v>
      </c>
      <c r="F83" s="60"/>
      <c r="G83" s="1858">
        <v>800</v>
      </c>
      <c r="H83" s="1858">
        <v>460</v>
      </c>
      <c r="I83" s="1858">
        <v>460</v>
      </c>
      <c r="J83" s="1858">
        <v>460</v>
      </c>
      <c r="K83" s="1858">
        <v>460</v>
      </c>
      <c r="L83" s="1858">
        <v>460</v>
      </c>
      <c r="M83" s="1858">
        <v>460</v>
      </c>
      <c r="N83" s="60"/>
      <c r="P83">
        <v>6</v>
      </c>
    </row>
    <row r="84" spans="2:16">
      <c r="B84" s="60"/>
      <c r="C84" s="60"/>
      <c r="D84" s="60"/>
      <c r="E84" s="1868" t="s">
        <v>1019</v>
      </c>
      <c r="F84" s="60"/>
      <c r="G84" s="1858">
        <v>630</v>
      </c>
      <c r="H84" s="1858">
        <v>630</v>
      </c>
      <c r="I84" s="1858">
        <v>630</v>
      </c>
      <c r="J84" s="1858">
        <v>630</v>
      </c>
      <c r="K84" s="1858">
        <v>630</v>
      </c>
      <c r="L84" s="1858">
        <v>630</v>
      </c>
      <c r="M84" s="1858">
        <v>630</v>
      </c>
      <c r="N84" s="60"/>
      <c r="P84">
        <v>7</v>
      </c>
    </row>
    <row r="85" spans="2:16">
      <c r="B85" s="60"/>
      <c r="C85" s="60"/>
      <c r="D85" s="60"/>
      <c r="E85" s="1868" t="s">
        <v>855</v>
      </c>
      <c r="F85" s="60"/>
      <c r="G85" s="1858">
        <v>2300</v>
      </c>
      <c r="H85" s="1858">
        <v>2300</v>
      </c>
      <c r="I85" s="1858">
        <v>2300</v>
      </c>
      <c r="J85" s="1858">
        <v>2300</v>
      </c>
      <c r="K85" s="1858">
        <v>2300</v>
      </c>
      <c r="L85" s="1858">
        <v>2300</v>
      </c>
      <c r="M85" s="1858">
        <v>2300</v>
      </c>
      <c r="N85" s="60"/>
      <c r="P85">
        <v>8</v>
      </c>
    </row>
    <row r="86" spans="2:16" hidden="1">
      <c r="B86" s="60"/>
      <c r="C86" s="60"/>
      <c r="D86" s="60"/>
      <c r="E86" s="1881" t="s">
        <v>1020</v>
      </c>
      <c r="F86" s="60"/>
      <c r="G86" s="1858"/>
      <c r="H86" s="1858"/>
      <c r="I86" s="1858"/>
      <c r="J86" s="1858"/>
      <c r="K86" s="1858"/>
      <c r="L86" s="1858"/>
      <c r="M86" s="1858"/>
      <c r="N86" s="60"/>
      <c r="P86">
        <v>9</v>
      </c>
    </row>
    <row r="87" spans="2:16">
      <c r="B87" s="60"/>
      <c r="C87" s="60"/>
      <c r="D87" s="60"/>
      <c r="E87" s="1868" t="s">
        <v>1645</v>
      </c>
      <c r="F87" s="60"/>
      <c r="G87" s="1858">
        <v>4600</v>
      </c>
      <c r="H87" s="1858">
        <v>4600</v>
      </c>
      <c r="I87" s="1858">
        <v>4600</v>
      </c>
      <c r="J87" s="1858">
        <v>4600</v>
      </c>
      <c r="K87" s="1858">
        <v>4600</v>
      </c>
      <c r="L87" s="1858">
        <v>4600</v>
      </c>
      <c r="M87" s="1858">
        <v>4600</v>
      </c>
      <c r="N87" s="60"/>
      <c r="P87">
        <v>10</v>
      </c>
    </row>
    <row r="88" spans="2:16">
      <c r="B88" s="60"/>
      <c r="C88" s="60"/>
      <c r="D88" s="60"/>
      <c r="E88" s="1868" t="s">
        <v>1646</v>
      </c>
      <c r="F88" s="60"/>
      <c r="G88" s="1858">
        <v>3750</v>
      </c>
      <c r="H88" s="1858">
        <v>3750</v>
      </c>
      <c r="I88" s="1858">
        <v>3750</v>
      </c>
      <c r="J88" s="1858">
        <v>3750</v>
      </c>
      <c r="K88" s="1858">
        <v>3750</v>
      </c>
      <c r="L88" s="1858">
        <v>3750</v>
      </c>
      <c r="M88" s="1858">
        <v>3750</v>
      </c>
      <c r="N88" s="60"/>
      <c r="P88">
        <v>11</v>
      </c>
    </row>
    <row r="89" spans="2:16">
      <c r="B89" s="60"/>
      <c r="C89" s="60"/>
      <c r="D89" s="60"/>
      <c r="E89" s="556" t="s">
        <v>1647</v>
      </c>
      <c r="F89" s="60"/>
      <c r="G89" s="1858">
        <v>4600</v>
      </c>
      <c r="H89" s="1858">
        <v>4600</v>
      </c>
      <c r="I89" s="1858">
        <v>4600</v>
      </c>
      <c r="J89" s="1858">
        <v>4600</v>
      </c>
      <c r="K89" s="1858">
        <v>4600</v>
      </c>
      <c r="L89" s="1858">
        <v>4600</v>
      </c>
      <c r="M89" s="1858">
        <v>4600</v>
      </c>
      <c r="N89" s="60"/>
      <c r="P89">
        <v>12</v>
      </c>
    </row>
    <row r="90" spans="2:16">
      <c r="B90" s="60"/>
      <c r="C90" s="60"/>
      <c r="D90" s="60"/>
      <c r="E90" s="1868" t="s">
        <v>857</v>
      </c>
      <c r="F90" s="60"/>
      <c r="G90" s="1858">
        <v>2900</v>
      </c>
      <c r="H90" s="1858">
        <v>2900</v>
      </c>
      <c r="I90" s="1858">
        <v>2900</v>
      </c>
      <c r="J90" s="1858">
        <v>2900</v>
      </c>
      <c r="K90" s="1858">
        <v>2900</v>
      </c>
      <c r="L90" s="1858">
        <v>2900</v>
      </c>
      <c r="M90" s="1858">
        <v>2900</v>
      </c>
      <c r="N90" s="60"/>
      <c r="P90">
        <v>13</v>
      </c>
    </row>
    <row r="91" spans="2:16">
      <c r="B91" s="60"/>
      <c r="C91" s="60"/>
      <c r="D91" s="60"/>
      <c r="E91" s="1868" t="s">
        <v>858</v>
      </c>
      <c r="F91" s="60"/>
      <c r="G91" s="1858">
        <v>2200</v>
      </c>
      <c r="H91" s="1858">
        <v>2200</v>
      </c>
      <c r="I91" s="1858">
        <v>2200</v>
      </c>
      <c r="J91" s="1858">
        <v>2200</v>
      </c>
      <c r="K91" s="1858">
        <v>2200</v>
      </c>
      <c r="L91" s="1858">
        <v>2200</v>
      </c>
      <c r="M91" s="1858">
        <v>2200</v>
      </c>
      <c r="N91" s="60"/>
      <c r="P91">
        <v>14</v>
      </c>
    </row>
    <row r="92" spans="2:16">
      <c r="B92" s="60"/>
      <c r="C92" s="60"/>
      <c r="D92" s="60"/>
      <c r="E92" s="1868" t="s">
        <v>859</v>
      </c>
      <c r="F92" s="60"/>
      <c r="G92" s="1858">
        <v>2900</v>
      </c>
      <c r="H92" s="1858">
        <v>2900</v>
      </c>
      <c r="I92" s="1858">
        <v>2900</v>
      </c>
      <c r="J92" s="1858">
        <v>2900</v>
      </c>
      <c r="K92" s="1858">
        <v>2900</v>
      </c>
      <c r="L92" s="1858">
        <v>2900</v>
      </c>
      <c r="M92" s="1858">
        <v>2900</v>
      </c>
      <c r="N92" s="60"/>
      <c r="P92">
        <v>15</v>
      </c>
    </row>
    <row r="93" spans="2:16">
      <c r="B93" s="60"/>
      <c r="C93" s="60"/>
      <c r="D93" s="60"/>
      <c r="E93" s="1868" t="s">
        <v>164</v>
      </c>
      <c r="F93" s="60"/>
      <c r="G93" s="1858">
        <v>3800</v>
      </c>
      <c r="H93" s="1858">
        <v>3800</v>
      </c>
      <c r="I93" s="1858">
        <v>3800</v>
      </c>
      <c r="J93" s="1858">
        <v>3800</v>
      </c>
      <c r="K93" s="1858">
        <v>3800</v>
      </c>
      <c r="L93" s="1858">
        <v>3800</v>
      </c>
      <c r="M93" s="1858">
        <v>3800</v>
      </c>
      <c r="N93" s="60"/>
      <c r="P93">
        <v>16</v>
      </c>
    </row>
    <row r="94" spans="2:16" hidden="1">
      <c r="B94" s="60"/>
      <c r="C94" s="60"/>
      <c r="D94" s="60"/>
      <c r="E94" s="1881" t="s">
        <v>861</v>
      </c>
      <c r="F94" s="60"/>
      <c r="G94" s="1858"/>
      <c r="H94" s="1858"/>
      <c r="I94" s="1858"/>
      <c r="J94" s="1858"/>
      <c r="K94" s="1858"/>
      <c r="L94" s="1858"/>
      <c r="M94" s="1858"/>
      <c r="N94" s="60"/>
      <c r="P94">
        <v>17</v>
      </c>
    </row>
    <row r="95" spans="2:16">
      <c r="B95" s="60"/>
      <c r="C95" s="60"/>
      <c r="D95" s="60"/>
      <c r="E95" s="1868" t="s">
        <v>1648</v>
      </c>
      <c r="F95" s="60"/>
      <c r="G95" s="1858">
        <v>3800</v>
      </c>
      <c r="H95" s="1858">
        <v>3800</v>
      </c>
      <c r="I95" s="1858">
        <v>3800</v>
      </c>
      <c r="J95" s="1858">
        <v>3800</v>
      </c>
      <c r="K95" s="1858">
        <v>3800</v>
      </c>
      <c r="L95" s="1858">
        <v>3800</v>
      </c>
      <c r="M95" s="1858">
        <v>3800</v>
      </c>
      <c r="N95" s="60"/>
      <c r="P95">
        <v>18</v>
      </c>
    </row>
    <row r="96" spans="2:16"/>
    <row r="97"/>
    <row r="98"/>
    <row r="99"/>
    <row r="100"/>
    <row r="101"/>
    <row r="102"/>
  </sheetData>
  <sheetProtection password="82B4" sheet="1" objects="1" scenarios="1"/>
  <mergeCells count="1">
    <mergeCell ref="M1:N1"/>
  </mergeCells>
  <phoneticPr fontId="20"/>
  <conditionalFormatting sqref="H44">
    <cfRule type="cellIs" dxfId="23" priority="2" stopIfTrue="1" operator="notEqual">
      <formula>1</formula>
    </cfRule>
  </conditionalFormatting>
  <conditionalFormatting sqref="I15:I18">
    <cfRule type="cellIs" dxfId="22" priority="3" stopIfTrue="1" operator="greaterThanOrEqual">
      <formula>0.2</formula>
    </cfRule>
  </conditionalFormatting>
  <conditionalFormatting sqref="I14">
    <cfRule type="cellIs" dxfId="21" priority="1" operator="greaterThanOrEqual">
      <formula>0.8</formula>
    </cfRule>
  </conditionalFormatting>
  <dataValidations count="1">
    <dataValidation type="list" allowBlank="1" showInputMessage="1" showErrorMessage="1" sqref="L22">
      <formula1>$T$24:$T$30</formula1>
    </dataValidation>
  </dataValidations>
  <pageMargins left="0.70866141732283472" right="0.70866141732283472" top="0.74803149606299213" bottom="0.74803149606299213" header="0.31496062992125984" footer="0.31496062992125984"/>
  <pageSetup paperSize="9" scale="70" fitToHeight="0" orientation="portrait" verticalDpi="0" r:id="rId1"/>
  <headerFooter>
    <oddHeader>&amp;L&amp;F&amp;R&amp;A</oddHeader>
    <oddFooter>&amp;C&amp;P/&amp;N</oddFooter>
  </headerFooter>
  <legacyDrawing r:id="rId2"/>
</worksheet>
</file>

<file path=xl/worksheets/sheet17.xml><?xml version="1.0" encoding="utf-8"?>
<worksheet xmlns="http://schemas.openxmlformats.org/spreadsheetml/2006/main" xmlns:r="http://schemas.openxmlformats.org/officeDocument/2006/relationships">
  <sheetPr codeName="Sheet9">
    <pageSetUpPr fitToPage="1"/>
  </sheetPr>
  <dimension ref="A1:L72"/>
  <sheetViews>
    <sheetView showGridLines="0" zoomScaleNormal="100" workbookViewId="0">
      <selection activeCell="E12" sqref="E12"/>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2" width="0" hidden="1" customWidth="1"/>
    <col min="13" max="16384" width="9" hidden="1"/>
  </cols>
  <sheetData>
    <row r="1" spans="2:6" ht="6" customHeight="1"/>
    <row r="2" spans="2:6" ht="18.75">
      <c r="B2" s="1199" t="s">
        <v>62</v>
      </c>
      <c r="C2" s="747"/>
      <c r="D2" s="747"/>
      <c r="E2" s="518" t="s">
        <v>742</v>
      </c>
      <c r="F2" s="519" t="str">
        <f>メイン!H11</f>
        <v>新ビル</v>
      </c>
    </row>
    <row r="3" spans="2:6" ht="16.5" customHeight="1">
      <c r="F3" s="1200" t="str">
        <f>メイン!C5</f>
        <v>「CASBEE大阪みらい 改修」2015年版　CASBEE-BD_RN_2015(v.1.0)</v>
      </c>
    </row>
    <row r="4" spans="2:6">
      <c r="B4" s="2972" t="s">
        <v>63</v>
      </c>
      <c r="C4" s="2973"/>
      <c r="D4" s="1201" t="s">
        <v>64</v>
      </c>
      <c r="E4" s="1202" t="s">
        <v>65</v>
      </c>
      <c r="F4" s="1202" t="s">
        <v>783</v>
      </c>
    </row>
    <row r="5" spans="2:6" ht="35.25" customHeight="1">
      <c r="B5" s="2974" t="s">
        <v>66</v>
      </c>
      <c r="C5" s="1202" t="s">
        <v>784</v>
      </c>
      <c r="D5" s="1201" t="str">
        <f>メイン!H21</f>
        <v>事務所,集合住宅,工場,</v>
      </c>
      <c r="E5" s="1201" t="str">
        <f>D5</f>
        <v>事務所,集合住宅,工場,</v>
      </c>
      <c r="F5" s="1202"/>
    </row>
    <row r="6" spans="2:6">
      <c r="B6" s="2975"/>
      <c r="C6" s="1202" t="s">
        <v>67</v>
      </c>
      <c r="D6" s="1204">
        <f>メイン!H19</f>
        <v>15320</v>
      </c>
      <c r="E6" s="1204">
        <f>D6</f>
        <v>15320</v>
      </c>
      <c r="F6" s="1205"/>
    </row>
    <row r="7" spans="2:6">
      <c r="B7" s="2976"/>
      <c r="C7" s="1202" t="s">
        <v>68</v>
      </c>
      <c r="D7" s="1202" t="str">
        <f>メイン!H23</f>
        <v>S造</v>
      </c>
      <c r="E7" s="1202" t="str">
        <f>D7</f>
        <v>S造</v>
      </c>
      <c r="F7" s="1205"/>
    </row>
    <row r="8" spans="2:6" ht="31.5" customHeight="1">
      <c r="B8" s="1201" t="s">
        <v>69</v>
      </c>
      <c r="C8" s="1207" t="s">
        <v>70</v>
      </c>
      <c r="D8" s="1208" t="str">
        <f>CO2計算_後!O35</f>
        <v>事務所部分60年,他</v>
      </c>
      <c r="E8" s="1208" t="str">
        <f>CO2計算_後!L35</f>
        <v>事務所部分60年,他</v>
      </c>
      <c r="F8" s="1209"/>
    </row>
    <row r="9" spans="2:6" ht="19.5" customHeight="1">
      <c r="B9" s="1210"/>
      <c r="C9" s="1207" t="s">
        <v>71</v>
      </c>
      <c r="D9" s="1211">
        <f>CO2計算_後!O133</f>
        <v>15.490086161879896</v>
      </c>
      <c r="E9" s="1211">
        <f>CO2計算_後!L133</f>
        <v>13.071952219321147</v>
      </c>
      <c r="F9" s="1212" t="s">
        <v>72</v>
      </c>
    </row>
    <row r="10" spans="2:6" ht="29.25" customHeight="1">
      <c r="B10" s="2969" t="s">
        <v>74</v>
      </c>
      <c r="C10" s="1201" t="s">
        <v>75</v>
      </c>
      <c r="D10" s="1213" t="s">
        <v>1658</v>
      </c>
      <c r="E10" s="1214" t="s">
        <v>76</v>
      </c>
      <c r="F10" s="1205"/>
    </row>
    <row r="11" spans="2:6" ht="25.5">
      <c r="B11" s="2969"/>
      <c r="C11" s="1201" t="s">
        <v>77</v>
      </c>
      <c r="D11" s="1213" t="s">
        <v>1659</v>
      </c>
      <c r="E11" s="1215" t="s">
        <v>78</v>
      </c>
      <c r="F11" s="1205"/>
    </row>
    <row r="12" spans="2:6">
      <c r="B12" s="2969"/>
      <c r="C12" s="1203" t="s">
        <v>125</v>
      </c>
      <c r="D12" s="1216" t="s">
        <v>79</v>
      </c>
      <c r="E12" s="1217" t="s">
        <v>78</v>
      </c>
      <c r="F12" s="1218"/>
    </row>
    <row r="13" spans="2:6">
      <c r="B13" s="2970"/>
      <c r="C13" s="1220" t="s">
        <v>80</v>
      </c>
      <c r="D13" s="1221"/>
      <c r="E13" s="1222"/>
      <c r="F13" s="1223"/>
    </row>
    <row r="14" spans="2:6" ht="19.5" customHeight="1">
      <c r="B14" s="2969"/>
      <c r="C14" s="1224" t="s">
        <v>81</v>
      </c>
      <c r="D14" s="1225">
        <f>CO2計算_後!O93</f>
        <v>0.50628981723237598</v>
      </c>
      <c r="E14" s="1226">
        <f>CO2計算_後!L93</f>
        <v>0.35440287206266319</v>
      </c>
      <c r="F14" s="1227" t="s">
        <v>82</v>
      </c>
    </row>
    <row r="15" spans="2:6" ht="14.25">
      <c r="B15" s="2969"/>
      <c r="C15" s="1228" t="s">
        <v>83</v>
      </c>
      <c r="D15" s="1229">
        <f>CO2計算_後!O94</f>
        <v>0</v>
      </c>
      <c r="E15" s="1230">
        <f>CO2計算_後!L94</f>
        <v>0</v>
      </c>
      <c r="F15" s="1231" t="s">
        <v>82</v>
      </c>
    </row>
    <row r="16" spans="2:6">
      <c r="B16" s="2969"/>
      <c r="C16" s="1228" t="s">
        <v>84</v>
      </c>
      <c r="D16" s="1229">
        <f>CO2計算_後!O95</f>
        <v>0.12162924281984336</v>
      </c>
      <c r="E16" s="1230">
        <f>CO2計算_後!L95</f>
        <v>8.514046997389034E-2</v>
      </c>
      <c r="F16" s="1232" t="s">
        <v>85</v>
      </c>
    </row>
    <row r="17" spans="2:6" hidden="1">
      <c r="B17" s="2969"/>
      <c r="C17" s="1228" t="s">
        <v>86</v>
      </c>
      <c r="D17" s="1229">
        <f>CO2計算_後!O96</f>
        <v>0</v>
      </c>
      <c r="E17" s="1230">
        <f>CO2計算_後!L96</f>
        <v>0</v>
      </c>
      <c r="F17" s="1232" t="s">
        <v>85</v>
      </c>
    </row>
    <row r="18" spans="2:6">
      <c r="B18" s="2969"/>
      <c r="C18" s="1228" t="s">
        <v>87</v>
      </c>
      <c r="D18" s="1229">
        <f>CO2計算_後!O97</f>
        <v>5.8751958224543092E-2</v>
      </c>
      <c r="E18" s="1230">
        <f>CO2計算_後!L97</f>
        <v>4.1126370757180161E-2</v>
      </c>
      <c r="F18" s="1232" t="s">
        <v>85</v>
      </c>
    </row>
    <row r="19" spans="2:6">
      <c r="B19" s="2969"/>
      <c r="C19" s="1228" t="s">
        <v>88</v>
      </c>
      <c r="D19" s="1229">
        <f>CO2計算_後!O98</f>
        <v>4.154046997389034E-3</v>
      </c>
      <c r="E19" s="1230">
        <f>CO2計算_後!L98</f>
        <v>2.9078328981723242E-3</v>
      </c>
      <c r="F19" s="1232" t="s">
        <v>85</v>
      </c>
    </row>
    <row r="20" spans="2:6">
      <c r="B20" s="2969"/>
      <c r="C20" s="1233" t="s">
        <v>89</v>
      </c>
      <c r="D20" s="1233" t="s">
        <v>90</v>
      </c>
      <c r="E20" s="1234" t="s">
        <v>93</v>
      </c>
      <c r="F20" s="1235" t="s">
        <v>94</v>
      </c>
    </row>
    <row r="21" spans="2:6">
      <c r="B21" s="2970"/>
      <c r="C21" s="1220" t="s">
        <v>95</v>
      </c>
      <c r="D21" s="1221"/>
      <c r="E21" s="1222"/>
      <c r="F21" s="1236"/>
    </row>
    <row r="22" spans="2:6" ht="15">
      <c r="B22" s="2969"/>
      <c r="C22" s="1224" t="s">
        <v>81</v>
      </c>
      <c r="D22" s="1225">
        <v>266.70999999999998</v>
      </c>
      <c r="E22" s="1226" t="s">
        <v>93</v>
      </c>
      <c r="F22" s="1231" t="s">
        <v>96</v>
      </c>
    </row>
    <row r="23" spans="2:6" ht="15">
      <c r="B23" s="2969"/>
      <c r="C23" s="1228" t="s">
        <v>83</v>
      </c>
      <c r="D23" s="1229">
        <v>216.57</v>
      </c>
      <c r="E23" s="1230" t="s">
        <v>93</v>
      </c>
      <c r="F23" s="1232" t="s">
        <v>96</v>
      </c>
    </row>
    <row r="24" spans="2:6">
      <c r="B24" s="2969"/>
      <c r="C24" s="1228" t="s">
        <v>84</v>
      </c>
      <c r="D24" s="1229">
        <v>1.28</v>
      </c>
      <c r="E24" s="1230" t="s">
        <v>93</v>
      </c>
      <c r="F24" s="1232" t="s">
        <v>101</v>
      </c>
    </row>
    <row r="25" spans="2:6" hidden="1">
      <c r="B25" s="2969"/>
      <c r="C25" s="1228" t="s">
        <v>86</v>
      </c>
      <c r="D25" s="1229"/>
      <c r="E25" s="1230" t="s">
        <v>93</v>
      </c>
      <c r="F25" s="1232" t="s">
        <v>98</v>
      </c>
    </row>
    <row r="26" spans="2:6">
      <c r="B26" s="2969"/>
      <c r="C26" s="1228" t="s">
        <v>87</v>
      </c>
      <c r="D26" s="1229">
        <v>0.51</v>
      </c>
      <c r="E26" s="1230" t="s">
        <v>93</v>
      </c>
      <c r="F26" s="1232" t="s">
        <v>101</v>
      </c>
    </row>
    <row r="27" spans="2:6">
      <c r="B27" s="2969"/>
      <c r="C27" s="1228" t="s">
        <v>99</v>
      </c>
      <c r="D27" s="1229">
        <v>4.75</v>
      </c>
      <c r="E27" s="1230" t="s">
        <v>93</v>
      </c>
      <c r="F27" s="1232" t="s">
        <v>1717</v>
      </c>
    </row>
    <row r="28" spans="2:6">
      <c r="B28" s="2969"/>
      <c r="C28" s="1233" t="s">
        <v>89</v>
      </c>
      <c r="D28" s="1233" t="s">
        <v>90</v>
      </c>
      <c r="E28" s="1234" t="s">
        <v>100</v>
      </c>
      <c r="F28" s="1232" t="s">
        <v>101</v>
      </c>
    </row>
    <row r="29" spans="2:6" ht="14.25" thickBot="1">
      <c r="B29" s="2970"/>
      <c r="C29" s="1220" t="s">
        <v>102</v>
      </c>
      <c r="D29" s="1221"/>
      <c r="E29" s="1237"/>
      <c r="F29" s="1238"/>
    </row>
    <row r="30" spans="2:6" ht="24" customHeight="1">
      <c r="B30" s="2969"/>
      <c r="C30" s="1224" t="s">
        <v>103</v>
      </c>
      <c r="D30" s="1239">
        <v>0</v>
      </c>
      <c r="E30" s="1240">
        <v>0</v>
      </c>
      <c r="F30" s="1241"/>
    </row>
    <row r="31" spans="2:6" ht="25.5" customHeight="1" thickBot="1">
      <c r="B31" s="2969"/>
      <c r="C31" s="1224" t="s">
        <v>104</v>
      </c>
      <c r="D31" s="1239">
        <v>0</v>
      </c>
      <c r="E31" s="1242">
        <v>0.3</v>
      </c>
      <c r="F31" s="1243"/>
    </row>
    <row r="32" spans="2:6" ht="24" customHeight="1">
      <c r="B32" s="2969"/>
      <c r="C32" s="1228" t="s">
        <v>105</v>
      </c>
      <c r="D32" s="1239">
        <v>0</v>
      </c>
      <c r="E32" s="1244">
        <v>0</v>
      </c>
      <c r="F32" s="1231"/>
    </row>
    <row r="33" spans="2:6" ht="24" customHeight="1">
      <c r="B33" s="2969"/>
      <c r="C33" s="1245" t="s">
        <v>106</v>
      </c>
      <c r="D33" s="1246">
        <v>0</v>
      </c>
      <c r="E33" s="1247">
        <v>0</v>
      </c>
      <c r="F33" s="1248"/>
    </row>
    <row r="34" spans="2:6" ht="19.5" customHeight="1">
      <c r="B34" s="1203"/>
      <c r="C34" s="1249" t="s">
        <v>71</v>
      </c>
      <c r="D34" s="1250">
        <f>CO2計算_後!O134</f>
        <v>13.907772845953003</v>
      </c>
      <c r="E34" s="1251">
        <f>CO2計算_後!L134</f>
        <v>13.907772845953003</v>
      </c>
      <c r="F34" s="1212" t="s">
        <v>72</v>
      </c>
    </row>
    <row r="35" spans="2:6">
      <c r="B35" s="1219" t="s">
        <v>386</v>
      </c>
      <c r="C35" s="1252" t="s">
        <v>107</v>
      </c>
      <c r="D35" s="1253"/>
      <c r="E35" s="1253"/>
      <c r="F35" s="1223"/>
    </row>
    <row r="36" spans="2:6">
      <c r="B36" s="1210" t="s">
        <v>108</v>
      </c>
      <c r="C36" s="1254" t="s">
        <v>524</v>
      </c>
      <c r="D36" s="1255">
        <f>CO2データ!I269</f>
        <v>25</v>
      </c>
      <c r="E36" s="1255">
        <f>D36</f>
        <v>25</v>
      </c>
      <c r="F36" s="1256"/>
    </row>
    <row r="37" spans="2:6" ht="13.5" hidden="1" customHeight="1">
      <c r="B37" s="1210"/>
      <c r="C37" s="1257" t="s">
        <v>109</v>
      </c>
      <c r="D37" s="1258">
        <f>CO2データ!I270</f>
        <v>0</v>
      </c>
      <c r="E37" s="1258"/>
      <c r="F37" s="1259"/>
    </row>
    <row r="38" spans="2:6">
      <c r="B38" s="1210"/>
      <c r="C38" s="1228" t="s">
        <v>523</v>
      </c>
      <c r="D38" s="1258">
        <f>CO2データ!I271</f>
        <v>18</v>
      </c>
      <c r="E38" s="1258">
        <f>D38</f>
        <v>18</v>
      </c>
      <c r="F38" s="1259"/>
    </row>
    <row r="39" spans="2:6">
      <c r="B39" s="1210"/>
      <c r="C39" s="1257" t="s">
        <v>110</v>
      </c>
      <c r="D39" s="1255">
        <f>CO2データ!I272</f>
        <v>15</v>
      </c>
      <c r="E39" s="1255">
        <f>D39</f>
        <v>15</v>
      </c>
      <c r="F39" s="1256"/>
    </row>
    <row r="40" spans="2:6">
      <c r="B40" s="1219"/>
      <c r="C40" s="1252" t="s">
        <v>111</v>
      </c>
      <c r="D40" s="1253"/>
      <c r="E40" s="1253"/>
      <c r="F40" s="1223"/>
    </row>
    <row r="41" spans="2:6">
      <c r="B41" s="1210"/>
      <c r="C41" s="1257" t="s">
        <v>524</v>
      </c>
      <c r="D41" s="1260">
        <f>CO2データ!I275</f>
        <v>0.01</v>
      </c>
      <c r="E41" s="1260">
        <f>D41</f>
        <v>0.01</v>
      </c>
      <c r="F41" s="1261"/>
    </row>
    <row r="42" spans="2:6">
      <c r="B42" s="1210"/>
      <c r="C42" s="1228" t="s">
        <v>523</v>
      </c>
      <c r="D42" s="1262">
        <f>CO2データ!I276</f>
        <v>0.01</v>
      </c>
      <c r="E42" s="1262">
        <f>D42</f>
        <v>0.01</v>
      </c>
      <c r="F42" s="1263"/>
    </row>
    <row r="43" spans="2:6">
      <c r="B43" s="1210"/>
      <c r="C43" s="1264" t="s">
        <v>110</v>
      </c>
      <c r="D43" s="1265">
        <f>CO2データ!I277</f>
        <v>0.02</v>
      </c>
      <c r="E43" s="1265">
        <f>D43</f>
        <v>0.02</v>
      </c>
      <c r="F43" s="1266"/>
    </row>
    <row r="44" spans="2:6" ht="27.75" customHeight="1">
      <c r="B44" s="1267"/>
      <c r="C44" s="1207" t="s">
        <v>112</v>
      </c>
      <c r="D44" s="1213" t="s">
        <v>113</v>
      </c>
      <c r="E44" s="1201" t="s">
        <v>114</v>
      </c>
      <c r="F44" s="1205"/>
    </row>
    <row r="45" spans="2:6" ht="15" customHeight="1">
      <c r="B45" s="1203"/>
      <c r="C45" s="1252" t="s">
        <v>71</v>
      </c>
      <c r="D45" s="1221"/>
      <c r="E45" s="1738"/>
      <c r="F45" s="1271"/>
    </row>
    <row r="46" spans="2:6" ht="24" customHeight="1">
      <c r="B46" s="1210"/>
      <c r="C46" s="1201" t="s">
        <v>788</v>
      </c>
      <c r="D46" s="1211" t="e">
        <f>IF(F58=H58,CO2計算_対象外!O116,CO2計算_後!O116)</f>
        <v>#VALUE!</v>
      </c>
      <c r="E46" s="1211" t="e">
        <f>IF(F58=H58,CO2計算_対象外!L116,CO2計算_後!L116)</f>
        <v>#VALUE!</v>
      </c>
      <c r="F46" s="1212" t="s">
        <v>72</v>
      </c>
    </row>
    <row r="47" spans="2:6" ht="24" customHeight="1">
      <c r="B47" s="1210"/>
      <c r="C47" s="1224" t="s">
        <v>811</v>
      </c>
      <c r="D47" s="1739" t="s">
        <v>785</v>
      </c>
      <c r="E47" s="1740" t="e">
        <f>IF(F58=H58,CO2計算_対象外!L123,CO2計算_後!L123)</f>
        <v>#VALUE!</v>
      </c>
      <c r="F47" s="1212" t="s">
        <v>72</v>
      </c>
    </row>
    <row r="48" spans="2:6" ht="24" hidden="1" customHeight="1">
      <c r="B48" s="2969" t="s">
        <v>115</v>
      </c>
      <c r="C48" s="1233" t="s">
        <v>789</v>
      </c>
      <c r="D48" s="1741"/>
      <c r="E48" s="1742"/>
      <c r="F48" s="1743" t="s">
        <v>72</v>
      </c>
    </row>
    <row r="49" spans="2:12" ht="24" hidden="1" customHeight="1">
      <c r="B49" s="2969"/>
      <c r="C49" s="2294"/>
      <c r="D49" s="1744"/>
      <c r="E49" s="1742"/>
      <c r="F49" s="1743"/>
    </row>
    <row r="50" spans="2:12" ht="24" hidden="1" customHeight="1">
      <c r="B50" s="2969"/>
      <c r="C50" s="2294"/>
      <c r="D50" s="1745"/>
      <c r="E50" s="2303"/>
      <c r="F50" s="1746"/>
    </row>
    <row r="51" spans="2:12" ht="24" hidden="1" customHeight="1">
      <c r="B51" s="2969"/>
      <c r="C51" s="1267"/>
      <c r="D51" s="1747" t="s">
        <v>793</v>
      </c>
      <c r="E51" s="1748" t="s">
        <v>785</v>
      </c>
      <c r="F51" s="1749"/>
    </row>
    <row r="52" spans="2:12" ht="24" customHeight="1">
      <c r="B52" s="2970"/>
      <c r="C52" s="1254" t="s">
        <v>1672</v>
      </c>
      <c r="D52" s="2302" t="s">
        <v>785</v>
      </c>
      <c r="E52" s="2304" t="e">
        <f>E47</f>
        <v>#VALUE!</v>
      </c>
      <c r="F52" s="1227" t="s">
        <v>72</v>
      </c>
    </row>
    <row r="53" spans="2:12" ht="24" customHeight="1">
      <c r="B53" s="2969"/>
      <c r="C53" s="1233" t="s">
        <v>789</v>
      </c>
      <c r="D53" s="1751" t="s">
        <v>796</v>
      </c>
      <c r="E53" s="1752" t="s">
        <v>797</v>
      </c>
      <c r="F53" s="1231"/>
    </row>
    <row r="54" spans="2:12" ht="24" customHeight="1">
      <c r="B54" s="2969"/>
      <c r="C54" s="1210"/>
      <c r="D54" s="1751" t="s">
        <v>798</v>
      </c>
      <c r="E54" s="1752" t="s">
        <v>797</v>
      </c>
      <c r="F54" s="1232"/>
    </row>
    <row r="55" spans="2:12" ht="24" customHeight="1">
      <c r="B55" s="2969"/>
      <c r="C55" s="1210"/>
      <c r="D55" s="1751" t="s">
        <v>799</v>
      </c>
      <c r="E55" s="1752" t="s">
        <v>797</v>
      </c>
      <c r="F55" s="1232"/>
    </row>
    <row r="56" spans="2:12" ht="24">
      <c r="B56" s="1210"/>
      <c r="C56" s="1210"/>
      <c r="D56" s="1751" t="s">
        <v>800</v>
      </c>
      <c r="E56" s="1752" t="s">
        <v>797</v>
      </c>
      <c r="F56" s="1248"/>
      <c r="I56" s="2300" t="s">
        <v>1666</v>
      </c>
      <c r="J56" s="2301"/>
      <c r="K56" s="2300" t="s">
        <v>1667</v>
      </c>
      <c r="L56" s="2301"/>
    </row>
    <row r="57" spans="2:12" hidden="1">
      <c r="B57" s="1210"/>
      <c r="C57" s="1207"/>
      <c r="D57" s="1211"/>
      <c r="E57" s="1211"/>
      <c r="F57" s="1212"/>
    </row>
    <row r="58" spans="2:12" ht="29.25" customHeight="1">
      <c r="B58" s="2969" t="s">
        <v>115</v>
      </c>
      <c r="C58" s="1207" t="s">
        <v>116</v>
      </c>
      <c r="D58" s="1213" t="str">
        <f>IF(F58=H58,K58,I58)</f>
        <v>統計値より、一次エネルギー消費量の平均値を引用</v>
      </c>
      <c r="E58" s="1213" t="str">
        <f>IF(F58=H58,L58,J58)</f>
        <v>LR1の取り組みによる省エネルギー量を推定</v>
      </c>
      <c r="F58" s="2299">
        <f>スコア入力!L124</f>
        <v>0</v>
      </c>
      <c r="H58" t="s">
        <v>1665</v>
      </c>
      <c r="I58" s="1213" t="s">
        <v>117</v>
      </c>
      <c r="J58" s="1213" t="s">
        <v>118</v>
      </c>
      <c r="K58" s="1213" t="s">
        <v>1663</v>
      </c>
      <c r="L58" s="1213" t="s">
        <v>1664</v>
      </c>
    </row>
    <row r="59" spans="2:12" ht="25.5" customHeight="1">
      <c r="B59" s="2969"/>
      <c r="C59" s="1249" t="s">
        <v>119</v>
      </c>
      <c r="D59" s="1268">
        <f>IF(F58=H58,SUM(CO2計算_対象外!H118:H121),SUM(CO2計算_後!H118:H121))</f>
        <v>23222</v>
      </c>
      <c r="E59" s="1268" t="e">
        <f>IF(F58=H58,SUM(CO2計算_対象外!I125:I127),SUM(CO2計算_後!I125:I127))</f>
        <v>#VALUE!</v>
      </c>
      <c r="F59" s="1269" t="s">
        <v>1237</v>
      </c>
    </row>
    <row r="60" spans="2:12">
      <c r="B60" s="2970"/>
      <c r="C60" s="1270" t="s">
        <v>1668</v>
      </c>
      <c r="D60" s="1253"/>
      <c r="E60" s="1253"/>
      <c r="F60" s="1271"/>
    </row>
    <row r="61" spans="2:12">
      <c r="B61" s="2969"/>
      <c r="C61" s="1272" t="s">
        <v>1669</v>
      </c>
      <c r="D61" s="1273" t="e">
        <f>IF(F58=H58,CO2計算_対象外!J118,CO2計算_後!J118)</f>
        <v>#VALUE!</v>
      </c>
      <c r="E61" s="1274" t="s">
        <v>114</v>
      </c>
      <c r="F61" s="1746" t="s">
        <v>1309</v>
      </c>
    </row>
    <row r="62" spans="2:12">
      <c r="B62" s="2969"/>
      <c r="C62" s="1272" t="s">
        <v>1670</v>
      </c>
      <c r="D62" s="1273" t="e">
        <f>IF(F58=H58,CO2計算_対象外!J120,CO2計算_後!J120)</f>
        <v>#VALUE!</v>
      </c>
      <c r="E62" s="1276" t="s">
        <v>114</v>
      </c>
      <c r="F62" s="1746" t="s">
        <v>1309</v>
      </c>
    </row>
    <row r="63" spans="2:12">
      <c r="B63" s="2969"/>
      <c r="C63" s="1275" t="s">
        <v>120</v>
      </c>
      <c r="D63" s="1276" t="e">
        <f>CO2データ!I95</f>
        <v>#VALUE!</v>
      </c>
      <c r="E63" s="1276" t="s">
        <v>114</v>
      </c>
      <c r="F63" s="1743" t="s">
        <v>1671</v>
      </c>
    </row>
    <row r="64" spans="2:12">
      <c r="B64" s="2969"/>
      <c r="C64" s="1275" t="s">
        <v>121</v>
      </c>
      <c r="D64" s="1276">
        <f>CO2データ!I97</f>
        <v>4.9799999999999997E-2</v>
      </c>
      <c r="E64" s="1276" t="s">
        <v>114</v>
      </c>
      <c r="F64" s="1746" t="s">
        <v>1309</v>
      </c>
    </row>
    <row r="65" spans="2:6" ht="24">
      <c r="B65" s="2969"/>
      <c r="C65" s="1277" t="s">
        <v>122</v>
      </c>
      <c r="D65" s="1278">
        <f>CO2データ!I101</f>
        <v>6.855E-2</v>
      </c>
      <c r="E65" s="1278" t="s">
        <v>114</v>
      </c>
      <c r="F65" s="1768" t="s">
        <v>1309</v>
      </c>
    </row>
    <row r="66" spans="2:6">
      <c r="B66" s="1210"/>
      <c r="C66" s="1279" t="s">
        <v>123</v>
      </c>
      <c r="D66" s="1280"/>
      <c r="E66" s="1280"/>
      <c r="F66" s="1281"/>
    </row>
    <row r="67" spans="2:6">
      <c r="B67" s="1210"/>
      <c r="C67" s="1264"/>
      <c r="D67" s="1206"/>
      <c r="E67" s="1206"/>
      <c r="F67" s="1266"/>
    </row>
    <row r="68" spans="2:6">
      <c r="B68" s="2971" t="s">
        <v>786</v>
      </c>
      <c r="C68" s="2966"/>
      <c r="D68" s="2966"/>
      <c r="E68" s="2966"/>
      <c r="F68" s="2966"/>
    </row>
    <row r="69" spans="2:6">
      <c r="B69" s="2971"/>
      <c r="C69" s="2967"/>
      <c r="D69" s="2967"/>
      <c r="E69" s="2967"/>
      <c r="F69" s="2967"/>
    </row>
    <row r="70" spans="2:6">
      <c r="B70" s="2971"/>
      <c r="C70" s="2967"/>
      <c r="D70" s="2967"/>
      <c r="E70" s="2967"/>
      <c r="F70" s="2967"/>
    </row>
    <row r="71" spans="2:6">
      <c r="B71" s="2971"/>
      <c r="C71" s="2968"/>
      <c r="D71" s="2968"/>
      <c r="E71" s="2968"/>
      <c r="F71" s="2968"/>
    </row>
    <row r="72" spans="2:6"/>
  </sheetData>
  <sheetProtection password="82B4" sheet="1" objects="1" scenarios="1"/>
  <mergeCells count="10">
    <mergeCell ref="F68:F71"/>
    <mergeCell ref="B58:B65"/>
    <mergeCell ref="B68:B71"/>
    <mergeCell ref="B4:C4"/>
    <mergeCell ref="B5:B7"/>
    <mergeCell ref="B10:B33"/>
    <mergeCell ref="C68:C71"/>
    <mergeCell ref="D68:D71"/>
    <mergeCell ref="E68:E71"/>
    <mergeCell ref="B48:B55"/>
  </mergeCells>
  <phoneticPr fontId="20"/>
  <printOptions horizontalCentered="1"/>
  <pageMargins left="0.59055118110236227" right="0.59055118110236227" top="0.78740157480314965" bottom="0.59055118110236227" header="0.51181102362204722" footer="0.51181102362204722"/>
  <pageSetup paperSize="9" scale="73" orientation="portrait" verticalDpi="0" r:id="rId1"/>
  <headerFooter alignWithMargins="0">
    <oddHeader>&amp;L&amp;F&amp;R&amp;A</oddHeader>
    <oddFooter>&amp;C&amp;P/&amp;N</oddFooter>
  </headerFooter>
</worksheet>
</file>

<file path=xl/worksheets/sheet18.xml><?xml version="1.0" encoding="utf-8"?>
<worksheet xmlns="http://schemas.openxmlformats.org/spreadsheetml/2006/main" xmlns:r="http://schemas.openxmlformats.org/officeDocument/2006/relationships">
  <sheetPr codeName="Sheet10"/>
  <dimension ref="B1:H90"/>
  <sheetViews>
    <sheetView showGridLines="0" zoomScaleNormal="100" workbookViewId="0">
      <selection activeCell="D5" sqref="D5"/>
    </sheetView>
  </sheetViews>
  <sheetFormatPr defaultColWidth="0" defaultRowHeight="13.5" zeroHeight="1"/>
  <cols>
    <col min="1" max="1" width="2" customWidth="1"/>
    <col min="2" max="2" width="10.625" customWidth="1"/>
    <col min="3" max="3" width="17.875" customWidth="1"/>
    <col min="4" max="4" width="30.25" customWidth="1"/>
    <col min="5" max="5" width="29.125" customWidth="1"/>
    <col min="6" max="6" width="16.125" customWidth="1"/>
    <col min="7" max="7" width="1.875" customWidth="1"/>
    <col min="8" max="8" width="10.125" hidden="1" customWidth="1"/>
  </cols>
  <sheetData>
    <row r="1" spans="2:6" ht="6" customHeight="1"/>
    <row r="2" spans="2:6" ht="18.75">
      <c r="B2" s="1199" t="s">
        <v>124</v>
      </c>
      <c r="C2" s="747"/>
      <c r="D2" s="747"/>
      <c r="E2" s="518" t="s">
        <v>742</v>
      </c>
      <c r="F2" s="519" t="str">
        <f>メイン!H11</f>
        <v>新ビル</v>
      </c>
    </row>
    <row r="3" spans="2:6" ht="15.75" customHeight="1">
      <c r="F3" s="1200" t="str">
        <f>メイン!C5</f>
        <v>「CASBEE大阪みらい 改修」2015年版　CASBEE-BD_RN_2015(v.1.0)</v>
      </c>
    </row>
    <row r="4" spans="2:6">
      <c r="B4" s="2972" t="s">
        <v>63</v>
      </c>
      <c r="C4" s="2973"/>
      <c r="D4" s="1201" t="s">
        <v>64</v>
      </c>
      <c r="E4" s="1202" t="s">
        <v>65</v>
      </c>
      <c r="F4" s="1202" t="s">
        <v>783</v>
      </c>
    </row>
    <row r="5" spans="2:6" ht="27" customHeight="1">
      <c r="B5" s="2974" t="s">
        <v>66</v>
      </c>
      <c r="C5" s="1202" t="s">
        <v>784</v>
      </c>
      <c r="D5" s="1201" t="str">
        <f>メイン!H21</f>
        <v>事務所,集合住宅,工場,</v>
      </c>
      <c r="E5" s="1201" t="str">
        <f>D5</f>
        <v>事務所,集合住宅,工場,</v>
      </c>
      <c r="F5" s="1282"/>
    </row>
    <row r="6" spans="2:6">
      <c r="B6" s="2975"/>
      <c r="C6" s="1202" t="s">
        <v>67</v>
      </c>
      <c r="D6" s="1204">
        <f>メイン!H19</f>
        <v>15320</v>
      </c>
      <c r="E6" s="1204">
        <f>D6</f>
        <v>15320</v>
      </c>
      <c r="F6" s="1283"/>
    </row>
    <row r="7" spans="2:6">
      <c r="B7" s="2976"/>
      <c r="C7" s="1202" t="s">
        <v>68</v>
      </c>
      <c r="D7" s="1202" t="str">
        <f>メイン!H23</f>
        <v>S造</v>
      </c>
      <c r="E7" s="1202" t="str">
        <f>D7</f>
        <v>S造</v>
      </c>
      <c r="F7" s="1283"/>
    </row>
    <row r="8" spans="2:6" ht="31.5" customHeight="1">
      <c r="B8" s="1201" t="s">
        <v>69</v>
      </c>
      <c r="C8" s="1207" t="s">
        <v>70</v>
      </c>
      <c r="D8" s="1284"/>
      <c r="E8" s="1284"/>
      <c r="F8" s="1285"/>
    </row>
    <row r="9" spans="2:6" ht="19.5" customHeight="1">
      <c r="B9" s="1210"/>
      <c r="C9" s="1207" t="s">
        <v>71</v>
      </c>
      <c r="D9" s="1286">
        <v>6</v>
      </c>
      <c r="E9" s="1286">
        <v>5</v>
      </c>
      <c r="F9" s="1285" t="s">
        <v>72</v>
      </c>
    </row>
    <row r="10" spans="2:6" ht="29.25" customHeight="1">
      <c r="B10" s="2969" t="s">
        <v>74</v>
      </c>
      <c r="C10" s="1201" t="s">
        <v>75</v>
      </c>
      <c r="D10" s="1287"/>
      <c r="E10" s="1288"/>
      <c r="F10" s="1283"/>
    </row>
    <row r="11" spans="2:6" ht="27" customHeight="1">
      <c r="B11" s="2969"/>
      <c r="C11" s="1201" t="s">
        <v>77</v>
      </c>
      <c r="D11" s="1287"/>
      <c r="E11" s="1289"/>
      <c r="F11" s="1283"/>
    </row>
    <row r="12" spans="2:6" ht="30.75" customHeight="1">
      <c r="B12" s="2969"/>
      <c r="C12" s="1201" t="s">
        <v>125</v>
      </c>
      <c r="D12" s="1287"/>
      <c r="E12" s="1289"/>
      <c r="F12" s="1285"/>
    </row>
    <row r="13" spans="2:6">
      <c r="B13" s="2969"/>
      <c r="C13" s="1220" t="s">
        <v>80</v>
      </c>
      <c r="D13" s="1221"/>
      <c r="E13" s="1222"/>
      <c r="F13" s="1223"/>
    </row>
    <row r="14" spans="2:6" ht="14.25">
      <c r="B14" s="2969"/>
      <c r="C14" s="1254" t="s">
        <v>81</v>
      </c>
      <c r="D14" s="1290" t="s">
        <v>126</v>
      </c>
      <c r="E14" s="1291" t="s">
        <v>127</v>
      </c>
      <c r="F14" s="1292" t="s">
        <v>82</v>
      </c>
    </row>
    <row r="15" spans="2:6" ht="14.25">
      <c r="B15" s="2969"/>
      <c r="C15" s="1293" t="s">
        <v>83</v>
      </c>
      <c r="D15" s="1294" t="s">
        <v>128</v>
      </c>
      <c r="E15" s="1295" t="s">
        <v>93</v>
      </c>
      <c r="F15" s="1296" t="s">
        <v>82</v>
      </c>
    </row>
    <row r="16" spans="2:6">
      <c r="B16" s="2969"/>
      <c r="C16" s="1228" t="s">
        <v>84</v>
      </c>
      <c r="D16" s="1294" t="s">
        <v>90</v>
      </c>
      <c r="E16" s="1295" t="s">
        <v>93</v>
      </c>
      <c r="F16" s="1297" t="s">
        <v>85</v>
      </c>
    </row>
    <row r="17" spans="2:6">
      <c r="B17" s="2969"/>
      <c r="C17" s="1228" t="s">
        <v>86</v>
      </c>
      <c r="D17" s="1294" t="s">
        <v>129</v>
      </c>
      <c r="E17" s="1295" t="s">
        <v>93</v>
      </c>
      <c r="F17" s="1297" t="s">
        <v>85</v>
      </c>
    </row>
    <row r="18" spans="2:6">
      <c r="B18" s="2969"/>
      <c r="C18" s="1228" t="s">
        <v>87</v>
      </c>
      <c r="D18" s="1294" t="s">
        <v>90</v>
      </c>
      <c r="E18" s="1295" t="s">
        <v>93</v>
      </c>
      <c r="F18" s="1297" t="s">
        <v>85</v>
      </c>
    </row>
    <row r="19" spans="2:6">
      <c r="B19" s="2969"/>
      <c r="C19" s="1294" t="s">
        <v>89</v>
      </c>
      <c r="D19" s="1294" t="s">
        <v>90</v>
      </c>
      <c r="E19" s="1295" t="s">
        <v>100</v>
      </c>
      <c r="F19" s="1297" t="s">
        <v>85</v>
      </c>
    </row>
    <row r="20" spans="2:6">
      <c r="B20" s="2969"/>
      <c r="C20" s="1298" t="s">
        <v>89</v>
      </c>
      <c r="D20" s="1298" t="s">
        <v>90</v>
      </c>
      <c r="E20" s="1299" t="s">
        <v>93</v>
      </c>
      <c r="F20" s="1300" t="s">
        <v>130</v>
      </c>
    </row>
    <row r="21" spans="2:6">
      <c r="B21" s="2970"/>
      <c r="C21" s="1220" t="s">
        <v>95</v>
      </c>
      <c r="D21" s="1221"/>
      <c r="E21" s="1222"/>
      <c r="F21" s="1223"/>
    </row>
    <row r="22" spans="2:6" ht="15">
      <c r="B22" s="2969"/>
      <c r="C22" s="1224" t="s">
        <v>81</v>
      </c>
      <c r="D22" s="1301" t="s">
        <v>1718</v>
      </c>
      <c r="E22" s="1302" t="s">
        <v>93</v>
      </c>
      <c r="F22" s="1296" t="s">
        <v>96</v>
      </c>
    </row>
    <row r="23" spans="2:6" ht="15">
      <c r="B23" s="2969"/>
      <c r="C23" s="1293" t="s">
        <v>83</v>
      </c>
      <c r="D23" s="1294" t="s">
        <v>1718</v>
      </c>
      <c r="E23" s="1295" t="s">
        <v>93</v>
      </c>
      <c r="F23" s="1297" t="s">
        <v>96</v>
      </c>
    </row>
    <row r="24" spans="2:6">
      <c r="B24" s="2969"/>
      <c r="C24" s="1228" t="s">
        <v>84</v>
      </c>
      <c r="D24" s="1294" t="s">
        <v>1718</v>
      </c>
      <c r="E24" s="1295" t="s">
        <v>93</v>
      </c>
      <c r="F24" s="1297" t="s">
        <v>101</v>
      </c>
    </row>
    <row r="25" spans="2:6">
      <c r="B25" s="2969"/>
      <c r="C25" s="1228" t="s">
        <v>86</v>
      </c>
      <c r="D25" s="1294" t="s">
        <v>1718</v>
      </c>
      <c r="E25" s="1295" t="s">
        <v>93</v>
      </c>
      <c r="F25" s="1297" t="s">
        <v>101</v>
      </c>
    </row>
    <row r="26" spans="2:6">
      <c r="B26" s="2969"/>
      <c r="C26" s="1228" t="s">
        <v>87</v>
      </c>
      <c r="D26" s="1294" t="s">
        <v>1718</v>
      </c>
      <c r="E26" s="1295" t="s">
        <v>93</v>
      </c>
      <c r="F26" s="1297" t="s">
        <v>101</v>
      </c>
    </row>
    <row r="27" spans="2:6">
      <c r="B27" s="2969"/>
      <c r="C27" s="1303" t="s">
        <v>131</v>
      </c>
      <c r="D27" s="1294" t="s">
        <v>1718</v>
      </c>
      <c r="E27" s="1295" t="s">
        <v>93</v>
      </c>
      <c r="F27" s="1297" t="s">
        <v>101</v>
      </c>
    </row>
    <row r="28" spans="2:6">
      <c r="B28" s="2969"/>
      <c r="C28" s="1298" t="s">
        <v>89</v>
      </c>
      <c r="D28" s="1298" t="s">
        <v>1718</v>
      </c>
      <c r="E28" s="1299" t="s">
        <v>93</v>
      </c>
      <c r="F28" s="1297" t="s">
        <v>101</v>
      </c>
    </row>
    <row r="29" spans="2:6">
      <c r="B29" s="2970"/>
      <c r="C29" s="1220" t="s">
        <v>102</v>
      </c>
      <c r="D29" s="1221"/>
      <c r="E29" s="1222"/>
      <c r="F29" s="1271"/>
    </row>
    <row r="30" spans="2:6" ht="24" customHeight="1">
      <c r="B30" s="2969"/>
      <c r="C30" s="1224" t="s">
        <v>103</v>
      </c>
      <c r="D30" s="1304" t="s">
        <v>132</v>
      </c>
      <c r="E30" s="1304" t="s">
        <v>132</v>
      </c>
      <c r="F30" s="1305"/>
    </row>
    <row r="31" spans="2:6" ht="24" customHeight="1">
      <c r="B31" s="2969"/>
      <c r="C31" s="1224" t="s">
        <v>104</v>
      </c>
      <c r="D31" s="1304" t="s">
        <v>132</v>
      </c>
      <c r="E31" s="1304" t="s">
        <v>132</v>
      </c>
      <c r="F31" s="1305"/>
    </row>
    <row r="32" spans="2:6" ht="24" customHeight="1">
      <c r="B32" s="2969"/>
      <c r="C32" s="1228" t="s">
        <v>105</v>
      </c>
      <c r="D32" s="1304" t="s">
        <v>133</v>
      </c>
      <c r="E32" s="1304" t="s">
        <v>133</v>
      </c>
      <c r="F32" s="1306"/>
    </row>
    <row r="33" spans="2:6" ht="24" customHeight="1">
      <c r="B33" s="2969"/>
      <c r="C33" s="1245" t="s">
        <v>106</v>
      </c>
      <c r="D33" s="1307" t="s">
        <v>133</v>
      </c>
      <c r="E33" s="1307" t="s">
        <v>133</v>
      </c>
      <c r="F33" s="1308"/>
    </row>
    <row r="34" spans="2:6" ht="19.5" customHeight="1">
      <c r="B34" s="1203"/>
      <c r="C34" s="1249" t="s">
        <v>71</v>
      </c>
      <c r="D34" s="1309">
        <v>5</v>
      </c>
      <c r="E34" s="1309">
        <v>3</v>
      </c>
      <c r="F34" s="1285" t="s">
        <v>72</v>
      </c>
    </row>
    <row r="35" spans="2:6">
      <c r="B35" s="1219" t="s">
        <v>386</v>
      </c>
      <c r="C35" s="1252" t="s">
        <v>107</v>
      </c>
      <c r="D35" s="1253"/>
      <c r="E35" s="1253"/>
      <c r="F35" s="1223"/>
    </row>
    <row r="36" spans="2:6">
      <c r="B36" s="1210" t="s">
        <v>108</v>
      </c>
      <c r="C36" s="1264" t="s">
        <v>524</v>
      </c>
      <c r="D36" s="1310"/>
      <c r="E36" s="1310"/>
      <c r="F36" s="1311"/>
    </row>
    <row r="37" spans="2:6" hidden="1">
      <c r="B37" s="1210"/>
      <c r="C37" s="1264" t="s">
        <v>109</v>
      </c>
      <c r="D37" s="1310"/>
      <c r="E37" s="1310"/>
      <c r="F37" s="1285"/>
    </row>
    <row r="38" spans="2:6">
      <c r="B38" s="1210"/>
      <c r="C38" s="1207" t="s">
        <v>523</v>
      </c>
      <c r="D38" s="1284"/>
      <c r="E38" s="1284"/>
      <c r="F38" s="1285"/>
    </row>
    <row r="39" spans="2:6">
      <c r="B39" s="1210"/>
      <c r="C39" s="1249" t="s">
        <v>110</v>
      </c>
      <c r="D39" s="1312"/>
      <c r="E39" s="1312"/>
      <c r="F39" s="1313"/>
    </row>
    <row r="40" spans="2:6">
      <c r="B40" s="1219"/>
      <c r="C40" s="1252" t="s">
        <v>111</v>
      </c>
      <c r="D40" s="1253"/>
      <c r="E40" s="1253"/>
      <c r="F40" s="1223"/>
    </row>
    <row r="41" spans="2:6">
      <c r="B41" s="1210"/>
      <c r="C41" s="1264" t="s">
        <v>524</v>
      </c>
      <c r="D41" s="1314"/>
      <c r="E41" s="1314"/>
      <c r="F41" s="1281"/>
    </row>
    <row r="42" spans="2:6">
      <c r="B42" s="1210"/>
      <c r="C42" s="1207" t="s">
        <v>523</v>
      </c>
      <c r="D42" s="1315"/>
      <c r="E42" s="1315"/>
      <c r="F42" s="1283"/>
    </row>
    <row r="43" spans="2:6">
      <c r="B43" s="1210"/>
      <c r="C43" s="1207" t="s">
        <v>110</v>
      </c>
      <c r="D43" s="1315"/>
      <c r="E43" s="1315"/>
      <c r="F43" s="1283"/>
    </row>
    <row r="44" spans="2:6" ht="27.75" customHeight="1">
      <c r="B44" s="1267"/>
      <c r="C44" s="1207" t="s">
        <v>112</v>
      </c>
      <c r="D44" s="1287"/>
      <c r="E44" s="1316"/>
      <c r="F44" s="1283"/>
    </row>
    <row r="45" spans="2:6">
      <c r="B45" s="1203"/>
      <c r="C45" s="1252" t="s">
        <v>71</v>
      </c>
      <c r="D45" s="1221"/>
      <c r="E45" s="1738"/>
      <c r="F45" s="1271"/>
    </row>
    <row r="46" spans="2:6" ht="24" customHeight="1">
      <c r="B46" s="1210"/>
      <c r="C46" s="1224" t="s">
        <v>801</v>
      </c>
      <c r="D46" s="1286">
        <v>3</v>
      </c>
      <c r="E46" s="1286">
        <v>2</v>
      </c>
      <c r="F46" s="1235" t="s">
        <v>72</v>
      </c>
    </row>
    <row r="47" spans="2:6" ht="24">
      <c r="B47" s="1210"/>
      <c r="C47" s="1224" t="s">
        <v>803</v>
      </c>
      <c r="D47" s="1739" t="s">
        <v>804</v>
      </c>
      <c r="E47" s="1754">
        <v>1</v>
      </c>
      <c r="F47" s="1235" t="s">
        <v>72</v>
      </c>
    </row>
    <row r="48" spans="2:6" ht="26.25" customHeight="1">
      <c r="B48" s="1210" t="s">
        <v>115</v>
      </c>
      <c r="C48" s="1257" t="s">
        <v>789</v>
      </c>
      <c r="D48" s="1741" t="s">
        <v>790</v>
      </c>
      <c r="E48" s="1755"/>
      <c r="F48" s="1297"/>
    </row>
    <row r="49" spans="2:8" ht="26.25" customHeight="1">
      <c r="B49" s="1210"/>
      <c r="C49" s="1257"/>
      <c r="D49" s="1744" t="s">
        <v>791</v>
      </c>
      <c r="E49" s="1756"/>
      <c r="F49" s="1297"/>
    </row>
    <row r="50" spans="2:8" ht="26.25" customHeight="1">
      <c r="B50" s="1210"/>
      <c r="C50" s="1257"/>
      <c r="D50" s="1745" t="s">
        <v>792</v>
      </c>
      <c r="E50" s="1755"/>
      <c r="F50" s="1297"/>
    </row>
    <row r="51" spans="2:8" ht="26.25" customHeight="1">
      <c r="B51" s="1210"/>
      <c r="C51" s="1267"/>
      <c r="D51" s="1747" t="s">
        <v>793</v>
      </c>
      <c r="E51" s="1757"/>
      <c r="F51" s="1758"/>
    </row>
    <row r="52" spans="2:8" ht="24">
      <c r="B52" s="1210"/>
      <c r="C52" s="1257" t="s">
        <v>795</v>
      </c>
      <c r="D52" s="1750" t="s">
        <v>794</v>
      </c>
      <c r="E52" s="1756">
        <v>-5</v>
      </c>
      <c r="F52" s="1248" t="s">
        <v>72</v>
      </c>
    </row>
    <row r="53" spans="2:8" ht="24" customHeight="1">
      <c r="B53" s="1210"/>
      <c r="C53" s="1233" t="s">
        <v>789</v>
      </c>
      <c r="D53" s="1751" t="s">
        <v>805</v>
      </c>
      <c r="E53" s="1755"/>
      <c r="F53" s="1297"/>
    </row>
    <row r="54" spans="2:8" ht="24" customHeight="1">
      <c r="B54" s="1210"/>
      <c r="C54" s="1210"/>
      <c r="D54" s="1751" t="s">
        <v>806</v>
      </c>
      <c r="E54" s="1755"/>
      <c r="F54" s="1297"/>
    </row>
    <row r="55" spans="2:8" ht="24" customHeight="1">
      <c r="B55" s="1210"/>
      <c r="C55" s="1210"/>
      <c r="D55" s="1751" t="s">
        <v>807</v>
      </c>
      <c r="E55" s="1755"/>
      <c r="F55" s="1297"/>
    </row>
    <row r="56" spans="2:8" ht="24" customHeight="1">
      <c r="B56" s="1210"/>
      <c r="C56" s="1210"/>
      <c r="D56" s="1751" t="s">
        <v>808</v>
      </c>
      <c r="E56" s="1755"/>
      <c r="F56" s="1297"/>
    </row>
    <row r="57" spans="2:8" ht="24" hidden="1" customHeight="1">
      <c r="B57" s="1210"/>
      <c r="C57" s="1207"/>
      <c r="D57" s="1286"/>
      <c r="E57" s="1286"/>
      <c r="F57" s="1285"/>
    </row>
    <row r="58" spans="2:8" ht="38.25" customHeight="1">
      <c r="B58" s="2969" t="s">
        <v>115</v>
      </c>
      <c r="C58" s="1207" t="s">
        <v>116</v>
      </c>
      <c r="D58" s="1287" t="s">
        <v>810</v>
      </c>
      <c r="E58" s="1287" t="s">
        <v>810</v>
      </c>
      <c r="F58" s="1297">
        <f>'条件(標準)_後'!F58</f>
        <v>0</v>
      </c>
      <c r="H58" t="s">
        <v>512</v>
      </c>
    </row>
    <row r="59" spans="2:8" ht="28.5" customHeight="1">
      <c r="B59" s="2969"/>
      <c r="C59" s="1249" t="s">
        <v>119</v>
      </c>
      <c r="D59" s="1317" t="s">
        <v>134</v>
      </c>
      <c r="E59" s="1317" t="s">
        <v>134</v>
      </c>
      <c r="F59" s="1318" t="s">
        <v>782</v>
      </c>
    </row>
    <row r="60" spans="2:8">
      <c r="B60" s="2970"/>
      <c r="C60" s="1270" t="s">
        <v>1668</v>
      </c>
      <c r="D60" s="1253"/>
      <c r="E60" s="1253"/>
      <c r="F60" s="1271"/>
    </row>
    <row r="61" spans="2:8">
      <c r="B61" s="2969"/>
      <c r="C61" s="1272" t="s">
        <v>1669</v>
      </c>
      <c r="D61" s="1319" t="s">
        <v>387</v>
      </c>
      <c r="E61" s="1319" t="s">
        <v>114</v>
      </c>
      <c r="F61" s="2324" t="s">
        <v>1040</v>
      </c>
    </row>
    <row r="62" spans="2:8">
      <c r="B62" s="2969"/>
      <c r="C62" s="1272" t="s">
        <v>1670</v>
      </c>
      <c r="D62" s="1319"/>
      <c r="E62" s="1319"/>
      <c r="F62" s="2324" t="s">
        <v>1040</v>
      </c>
    </row>
    <row r="63" spans="2:8">
      <c r="B63" s="2969"/>
      <c r="C63" s="1275" t="s">
        <v>120</v>
      </c>
      <c r="D63" s="1320" t="s">
        <v>387</v>
      </c>
      <c r="E63" s="1320" t="s">
        <v>114</v>
      </c>
      <c r="F63" s="2325" t="s">
        <v>1671</v>
      </c>
    </row>
    <row r="64" spans="2:8">
      <c r="B64" s="2969"/>
      <c r="C64" s="1275" t="s">
        <v>121</v>
      </c>
      <c r="D64" s="1320" t="s">
        <v>135</v>
      </c>
      <c r="E64" s="1320" t="s">
        <v>114</v>
      </c>
      <c r="F64" s="2324" t="s">
        <v>1040</v>
      </c>
    </row>
    <row r="65" spans="2:8" ht="24">
      <c r="B65" s="2969"/>
      <c r="C65" s="2327" t="s">
        <v>122</v>
      </c>
      <c r="D65" s="1321" t="s">
        <v>136</v>
      </c>
      <c r="E65" s="1321" t="s">
        <v>114</v>
      </c>
      <c r="F65" s="2326" t="s">
        <v>1040</v>
      </c>
    </row>
    <row r="66" spans="2:8">
      <c r="B66" s="1210"/>
      <c r="C66" s="1279" t="s">
        <v>123</v>
      </c>
      <c r="D66" s="1280"/>
      <c r="E66" s="1280"/>
      <c r="F66" s="1281"/>
    </row>
    <row r="67" spans="2:8">
      <c r="B67" s="1210"/>
      <c r="C67" s="1264"/>
      <c r="D67" s="1280"/>
      <c r="E67" s="1280"/>
      <c r="F67" s="1281"/>
    </row>
    <row r="68" spans="2:8">
      <c r="B68" s="2971" t="s">
        <v>786</v>
      </c>
      <c r="C68" s="2966"/>
      <c r="D68" s="2966"/>
      <c r="E68" s="2966"/>
      <c r="F68" s="2966"/>
    </row>
    <row r="69" spans="2:8">
      <c r="B69" s="2971"/>
      <c r="C69" s="2967"/>
      <c r="D69" s="2967"/>
      <c r="E69" s="2967"/>
      <c r="F69" s="2967"/>
    </row>
    <row r="70" spans="2:8">
      <c r="B70" s="2971"/>
      <c r="C70" s="2967"/>
      <c r="D70" s="2967"/>
      <c r="E70" s="2967"/>
      <c r="F70" s="2967"/>
    </row>
    <row r="71" spans="2:8">
      <c r="B71" s="2971"/>
      <c r="C71" s="2968"/>
      <c r="D71" s="2968"/>
      <c r="E71" s="2968"/>
      <c r="F71" s="2968"/>
    </row>
    <row r="72" spans="2:8"/>
    <row r="73" spans="2:8">
      <c r="B73" t="s">
        <v>817</v>
      </c>
    </row>
    <row r="74" spans="2:8">
      <c r="B74" s="1203"/>
      <c r="C74" s="1220" t="s">
        <v>818</v>
      </c>
      <c r="D74" s="1221"/>
      <c r="E74" s="1222"/>
      <c r="F74" s="1236"/>
      <c r="H74" s="2359">
        <f>'条件(標準)_後'!F58</f>
        <v>0</v>
      </c>
    </row>
    <row r="75" spans="2:8">
      <c r="B75" s="1210"/>
      <c r="C75" s="1233" t="s">
        <v>819</v>
      </c>
      <c r="D75" s="1229" t="s">
        <v>820</v>
      </c>
      <c r="E75" s="1759">
        <f>IF(H74=H58,H75,(省エネ_後!I66+省エネ_後!M66+省エネ_後!N66)/CO2データ!J96*1000)</f>
        <v>0</v>
      </c>
      <c r="F75" s="1232" t="s">
        <v>821</v>
      </c>
      <c r="H75">
        <f>(省エネ_対象外!I66+省エネ_対象外!M66+省エネ_対象外!N66)/CO2データ!J96*1000</f>
        <v>0</v>
      </c>
    </row>
    <row r="76" spans="2:8">
      <c r="B76" s="1210" t="s">
        <v>918</v>
      </c>
      <c r="C76" s="1210"/>
      <c r="D76" s="1229" t="s">
        <v>822</v>
      </c>
      <c r="E76" s="1759">
        <f>IF(H74=H58,H76,-((省エネ_後!I64-省エネ_後!I65)+(省エネ_後!M64-省エネ_後!M65)+(省エネ_後!N64-省エネ_後!N65))/CO2データ!J96*1000)</f>
        <v>0</v>
      </c>
      <c r="F76" s="1232" t="s">
        <v>823</v>
      </c>
      <c r="H76">
        <f>-((省エネ_対象外!I64-省エネ_対象外!I65)+(省エネ_対象外!M64-省エネ_対象外!M65)+(省エネ_対象外!N64-省エネ_対象外!N65))/CO2データ!J96*1000</f>
        <v>0</v>
      </c>
    </row>
    <row r="77" spans="2:8">
      <c r="B77" s="1210" t="s">
        <v>824</v>
      </c>
      <c r="C77" s="1224"/>
      <c r="D77" s="1229" t="s">
        <v>825</v>
      </c>
      <c r="E77" s="1759">
        <f>E75-E76</f>
        <v>0</v>
      </c>
      <c r="F77" s="1232" t="s">
        <v>823</v>
      </c>
    </row>
    <row r="78" spans="2:8">
      <c r="B78" s="1210"/>
      <c r="C78" s="1233" t="s">
        <v>826</v>
      </c>
      <c r="D78" s="1229" t="s">
        <v>827</v>
      </c>
      <c r="E78" s="1230" t="e">
        <f>E75*E81/E$6</f>
        <v>#VALUE!</v>
      </c>
      <c r="F78" s="1760" t="s">
        <v>72</v>
      </c>
    </row>
    <row r="79" spans="2:8">
      <c r="B79" s="1210"/>
      <c r="C79" s="1210"/>
      <c r="D79" s="1229" t="s">
        <v>828</v>
      </c>
      <c r="E79" s="1230" t="e">
        <f>E78-E80</f>
        <v>#VALUE!</v>
      </c>
      <c r="F79" s="1760" t="s">
        <v>72</v>
      </c>
    </row>
    <row r="80" spans="2:8">
      <c r="B80" s="1210"/>
      <c r="C80" s="1224"/>
      <c r="D80" s="1229" t="s">
        <v>829</v>
      </c>
      <c r="E80" s="1230" t="e">
        <f>E77*E82/E$6</f>
        <v>#VALUE!</v>
      </c>
      <c r="F80" s="1760" t="s">
        <v>72</v>
      </c>
    </row>
    <row r="81" spans="2:8" hidden="1">
      <c r="B81" s="1210"/>
      <c r="C81" s="1233" t="s">
        <v>830</v>
      </c>
      <c r="D81" s="1229" t="s">
        <v>831</v>
      </c>
      <c r="E81" s="1761" t="e">
        <f>CO2データ!I95</f>
        <v>#VALUE!</v>
      </c>
      <c r="F81" s="1760" t="s">
        <v>832</v>
      </c>
    </row>
    <row r="82" spans="2:8" hidden="1">
      <c r="B82" s="1210"/>
      <c r="C82" s="1210"/>
      <c r="D82" s="1229" t="s">
        <v>829</v>
      </c>
      <c r="E82" s="1761" t="e">
        <f>CO2データ!I95</f>
        <v>#VALUE!</v>
      </c>
      <c r="F82" s="1760" t="s">
        <v>833</v>
      </c>
    </row>
    <row r="83" spans="2:8" hidden="1">
      <c r="B83" s="1210"/>
      <c r="C83" s="1224"/>
      <c r="D83" s="1229" t="s">
        <v>783</v>
      </c>
      <c r="E83" s="1230" t="s">
        <v>834</v>
      </c>
      <c r="F83" s="1232"/>
    </row>
    <row r="84" spans="2:8">
      <c r="B84" s="1210"/>
      <c r="C84" s="1220" t="s">
        <v>835</v>
      </c>
      <c r="D84" s="1221"/>
      <c r="E84" s="1222"/>
      <c r="F84" s="1236"/>
    </row>
    <row r="85" spans="2:8">
      <c r="B85" s="1210"/>
      <c r="C85" s="1762" t="s">
        <v>836</v>
      </c>
      <c r="D85" s="1225"/>
      <c r="E85" s="1763" t="e">
        <f>IF(H74=H58,H85,(CO2計算_後!I125*省エネ_後!T97+CO2計算_後!I127*CO2データ!N169+CO2計算_後!I126*CO2データ!N168)/CO2データ!J96*1000)</f>
        <v>#VALUE!</v>
      </c>
      <c r="F85" s="1231" t="s">
        <v>821</v>
      </c>
      <c r="H85" t="e">
        <f>(CO2計算_対象外!I125*省エネ_対象外!T98+CO2計算_対象外!I127*CO2データ!N169+CO2計算_対象外!I126*CO2データ!N168)/CO2データ!J96*1000</f>
        <v>#VALUE!</v>
      </c>
    </row>
    <row r="86" spans="2:8">
      <c r="B86" s="1210"/>
      <c r="C86" s="1233" t="s">
        <v>187</v>
      </c>
      <c r="D86" s="1229" t="s">
        <v>837</v>
      </c>
      <c r="E86" s="1761" t="e">
        <f>排出係数!D5*1000</f>
        <v>#VALUE!</v>
      </c>
      <c r="F86" s="1760" t="s">
        <v>838</v>
      </c>
    </row>
    <row r="87" spans="2:8">
      <c r="B87" s="1210"/>
      <c r="C87" s="1224"/>
      <c r="D87" s="1229" t="s">
        <v>839</v>
      </c>
      <c r="E87" s="1761" t="e">
        <f>排出係数!J50*1000</f>
        <v>#VALUE!</v>
      </c>
      <c r="F87" s="1760" t="s">
        <v>832</v>
      </c>
    </row>
    <row r="88" spans="2:8">
      <c r="B88" s="1210"/>
      <c r="C88" s="1233" t="s">
        <v>840</v>
      </c>
      <c r="D88" s="1764" t="s">
        <v>765</v>
      </c>
      <c r="E88" s="1765" t="e">
        <f>E85*(E86-E87)</f>
        <v>#VALUE!</v>
      </c>
      <c r="F88" s="1760" t="s">
        <v>773</v>
      </c>
    </row>
    <row r="89" spans="2:8">
      <c r="B89" s="1267"/>
      <c r="C89" s="1267"/>
      <c r="D89" s="1766" t="s">
        <v>841</v>
      </c>
      <c r="E89" s="1767" t="e">
        <f>E88/E6</f>
        <v>#VALUE!</v>
      </c>
      <c r="F89" s="1768" t="s">
        <v>72</v>
      </c>
    </row>
    <row r="90" spans="2:8"/>
  </sheetData>
  <sheetProtection password="82B4" sheet="1" objects="1" scenarios="1"/>
  <mergeCells count="9">
    <mergeCell ref="E68:E71"/>
    <mergeCell ref="F68:F71"/>
    <mergeCell ref="B58:B65"/>
    <mergeCell ref="B68:B71"/>
    <mergeCell ref="B4:C4"/>
    <mergeCell ref="B5:B7"/>
    <mergeCell ref="B10:B33"/>
    <mergeCell ref="C68:C71"/>
    <mergeCell ref="D68:D71"/>
  </mergeCells>
  <phoneticPr fontId="20"/>
  <printOptions horizontalCentered="1"/>
  <pageMargins left="0.59055118110236227" right="0.59055118110236227" top="0.78740157480314965" bottom="0.59055118110236227" header="0.51181102362204722" footer="0.51181102362204722"/>
  <pageSetup paperSize="9" scale="64" orientation="portrait" verticalDpi="0" r:id="rId1"/>
  <headerFooter alignWithMargins="0">
    <oddHeader>&amp;L&amp;F&amp;R&amp;A</oddHeader>
    <oddFooter>&amp;C&amp;P/&amp;N</oddFooter>
  </headerFooter>
  <rowBreaks count="1" manualBreakCount="1">
    <brk id="72" max="16383" man="1"/>
  </rowBreaks>
  <legacyDrawing r:id="rId2"/>
</worksheet>
</file>

<file path=xl/worksheets/sheet19.xml><?xml version="1.0" encoding="utf-8"?>
<worksheet xmlns="http://schemas.openxmlformats.org/spreadsheetml/2006/main" xmlns:r="http://schemas.openxmlformats.org/officeDocument/2006/relationships">
  <sheetPr codeName="Sheet12">
    <pageSetUpPr fitToPage="1"/>
  </sheetPr>
  <dimension ref="A1:H72"/>
  <sheetViews>
    <sheetView showGridLines="0" zoomScaleNormal="100" workbookViewId="0">
      <selection activeCell="D5" sqref="D5"/>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384" width="9" hidden="1"/>
  </cols>
  <sheetData>
    <row r="1" spans="2:6" ht="6" customHeight="1"/>
    <row r="2" spans="2:6" ht="18.75">
      <c r="B2" s="1199" t="s">
        <v>62</v>
      </c>
      <c r="C2" s="747"/>
      <c r="D2" s="747"/>
      <c r="E2" s="518" t="s">
        <v>742</v>
      </c>
      <c r="F2" s="519" t="str">
        <f>メイン!C11</f>
        <v>旧ビル</v>
      </c>
    </row>
    <row r="3" spans="2:6" ht="16.5" customHeight="1">
      <c r="F3" s="1200" t="str">
        <f>メイン!C5</f>
        <v>「CASBEE大阪みらい 改修」2015年版　CASBEE-BD_RN_2015(v.1.0)</v>
      </c>
    </row>
    <row r="4" spans="2:6">
      <c r="B4" s="2972" t="s">
        <v>63</v>
      </c>
      <c r="C4" s="2973"/>
      <c r="D4" s="1201" t="s">
        <v>64</v>
      </c>
      <c r="E4" s="1202" t="s">
        <v>65</v>
      </c>
      <c r="F4" s="1202" t="s">
        <v>783</v>
      </c>
    </row>
    <row r="5" spans="2:6" ht="35.25" customHeight="1">
      <c r="B5" s="2974" t="s">
        <v>66</v>
      </c>
      <c r="C5" s="1202" t="s">
        <v>784</v>
      </c>
      <c r="D5" s="1201" t="str">
        <f>メイン!C21</f>
        <v>事務所,飲食店,集合住宅,</v>
      </c>
      <c r="E5" s="1201" t="str">
        <f>D5</f>
        <v>事務所,飲食店,集合住宅,</v>
      </c>
      <c r="F5" s="1202"/>
    </row>
    <row r="6" spans="2:6">
      <c r="B6" s="2975"/>
      <c r="C6" s="1202" t="s">
        <v>67</v>
      </c>
      <c r="D6" s="1204">
        <f>メイン!C19</f>
        <v>15320</v>
      </c>
      <c r="E6" s="1204">
        <f>D6</f>
        <v>15320</v>
      </c>
      <c r="F6" s="1205"/>
    </row>
    <row r="7" spans="2:6">
      <c r="B7" s="2976"/>
      <c r="C7" s="1202" t="s">
        <v>68</v>
      </c>
      <c r="D7" s="1202" t="str">
        <f>メイン!C23</f>
        <v>S造</v>
      </c>
      <c r="E7" s="1202" t="str">
        <f>D7</f>
        <v>S造</v>
      </c>
      <c r="F7" s="1205"/>
    </row>
    <row r="8" spans="2:6" ht="31.5" customHeight="1">
      <c r="B8" s="1201" t="s">
        <v>69</v>
      </c>
      <c r="C8" s="1207" t="s">
        <v>70</v>
      </c>
      <c r="D8" s="1208" t="str">
        <f>CO2計算_前!O35</f>
        <v>事務所部分60年,他</v>
      </c>
      <c r="E8" s="1208" t="str">
        <f>CO2計算_前!L35</f>
        <v>事務所部分60年,他</v>
      </c>
      <c r="F8" s="1209"/>
    </row>
    <row r="9" spans="2:6" ht="19.5" customHeight="1">
      <c r="B9" s="1210"/>
      <c r="C9" s="1207" t="s">
        <v>71</v>
      </c>
      <c r="D9" s="1211">
        <f>CO2計算_前!O133</f>
        <v>14.709407310704961</v>
      </c>
      <c r="E9" s="1211">
        <f>CO2計算_前!L133</f>
        <v>12.401638903394257</v>
      </c>
      <c r="F9" s="1212" t="s">
        <v>72</v>
      </c>
    </row>
    <row r="10" spans="2:6" ht="29.25" customHeight="1">
      <c r="B10" s="2969" t="s">
        <v>74</v>
      </c>
      <c r="C10" s="1201" t="s">
        <v>75</v>
      </c>
      <c r="D10" s="1213" t="s">
        <v>1658</v>
      </c>
      <c r="E10" s="1214" t="s">
        <v>76</v>
      </c>
      <c r="F10" s="1205"/>
    </row>
    <row r="11" spans="2:6" ht="25.5">
      <c r="B11" s="2969"/>
      <c r="C11" s="1201" t="s">
        <v>77</v>
      </c>
      <c r="D11" s="1213" t="s">
        <v>1659</v>
      </c>
      <c r="E11" s="1215" t="s">
        <v>78</v>
      </c>
      <c r="F11" s="1205"/>
    </row>
    <row r="12" spans="2:6">
      <c r="B12" s="2969"/>
      <c r="C12" s="1203" t="s">
        <v>125</v>
      </c>
      <c r="D12" s="1216" t="s">
        <v>79</v>
      </c>
      <c r="E12" s="1217" t="s">
        <v>78</v>
      </c>
      <c r="F12" s="1218"/>
    </row>
    <row r="13" spans="2:6">
      <c r="B13" s="2970"/>
      <c r="C13" s="1220" t="s">
        <v>80</v>
      </c>
      <c r="D13" s="1221"/>
      <c r="E13" s="1222"/>
      <c r="F13" s="1223"/>
    </row>
    <row r="14" spans="2:6" ht="19.5" customHeight="1">
      <c r="B14" s="2969"/>
      <c r="C14" s="1224" t="s">
        <v>81</v>
      </c>
      <c r="D14" s="1225">
        <f>CO2計算_前!O93</f>
        <v>0.50315665796344644</v>
      </c>
      <c r="E14" s="1226">
        <f>CO2計算_前!L93</f>
        <v>0.35220966057441255</v>
      </c>
      <c r="F14" s="1227" t="s">
        <v>82</v>
      </c>
    </row>
    <row r="15" spans="2:6" ht="14.25">
      <c r="B15" s="2969"/>
      <c r="C15" s="1293" t="s">
        <v>83</v>
      </c>
      <c r="D15" s="1229">
        <f>CO2計算_前!O94</f>
        <v>0</v>
      </c>
      <c r="E15" s="1230">
        <f>CO2計算_前!L94</f>
        <v>0</v>
      </c>
      <c r="F15" s="1231" t="s">
        <v>82</v>
      </c>
    </row>
    <row r="16" spans="2:6">
      <c r="B16" s="2969"/>
      <c r="C16" s="1228" t="s">
        <v>84</v>
      </c>
      <c r="D16" s="1229">
        <f>CO2計算_前!O95</f>
        <v>0.11745169712793735</v>
      </c>
      <c r="E16" s="1230">
        <f>CO2計算_前!L95</f>
        <v>8.2216187989556141E-2</v>
      </c>
      <c r="F16" s="1232" t="s">
        <v>85</v>
      </c>
    </row>
    <row r="17" spans="2:6" hidden="1">
      <c r="B17" s="2969"/>
      <c r="C17" s="1228" t="s">
        <v>86</v>
      </c>
      <c r="D17" s="1229">
        <f>CO2計算_前!O96</f>
        <v>0</v>
      </c>
      <c r="E17" s="1230">
        <f>CO2計算_前!L96</f>
        <v>0</v>
      </c>
      <c r="F17" s="1232" t="s">
        <v>85</v>
      </c>
    </row>
    <row r="18" spans="2:6">
      <c r="B18" s="2969"/>
      <c r="C18" s="1228" t="s">
        <v>87</v>
      </c>
      <c r="D18" s="1229">
        <f>CO2計算_前!O97</f>
        <v>5.6924281984334212E-2</v>
      </c>
      <c r="E18" s="1230">
        <f>CO2計算_前!L97</f>
        <v>3.9846997389033946E-2</v>
      </c>
      <c r="F18" s="1232" t="s">
        <v>85</v>
      </c>
    </row>
    <row r="19" spans="2:6">
      <c r="B19" s="2969"/>
      <c r="C19" s="1228" t="s">
        <v>88</v>
      </c>
      <c r="D19" s="1229">
        <f>CO2計算_前!O98</f>
        <v>4.154046997389034E-3</v>
      </c>
      <c r="E19" s="1230">
        <f>CO2計算_前!L98</f>
        <v>2.9078328981723242E-3</v>
      </c>
      <c r="F19" s="1232" t="s">
        <v>85</v>
      </c>
    </row>
    <row r="20" spans="2:6">
      <c r="B20" s="2969"/>
      <c r="C20" s="1233" t="s">
        <v>89</v>
      </c>
      <c r="D20" s="1233" t="s">
        <v>90</v>
      </c>
      <c r="E20" s="1234" t="s">
        <v>93</v>
      </c>
      <c r="F20" s="1235" t="s">
        <v>94</v>
      </c>
    </row>
    <row r="21" spans="2:6">
      <c r="B21" s="2970"/>
      <c r="C21" s="1220" t="s">
        <v>95</v>
      </c>
      <c r="D21" s="1221"/>
      <c r="E21" s="1222"/>
      <c r="F21" s="1236"/>
    </row>
    <row r="22" spans="2:6" ht="15">
      <c r="B22" s="2969"/>
      <c r="C22" s="1224" t="s">
        <v>81</v>
      </c>
      <c r="D22" s="1225">
        <v>266.70999999999998</v>
      </c>
      <c r="E22" s="1226" t="s">
        <v>93</v>
      </c>
      <c r="F22" s="1231" t="s">
        <v>96</v>
      </c>
    </row>
    <row r="23" spans="2:6" ht="15">
      <c r="B23" s="2969"/>
      <c r="C23" s="1228" t="s">
        <v>83</v>
      </c>
      <c r="D23" s="1229">
        <v>216.57</v>
      </c>
      <c r="E23" s="1230" t="s">
        <v>93</v>
      </c>
      <c r="F23" s="1232" t="s">
        <v>96</v>
      </c>
    </row>
    <row r="24" spans="2:6">
      <c r="B24" s="2969"/>
      <c r="C24" s="1228" t="s">
        <v>84</v>
      </c>
      <c r="D24" s="1229">
        <v>1.28</v>
      </c>
      <c r="E24" s="1230" t="s">
        <v>93</v>
      </c>
      <c r="F24" s="1232" t="s">
        <v>101</v>
      </c>
    </row>
    <row r="25" spans="2:6" hidden="1">
      <c r="B25" s="2969"/>
      <c r="C25" s="1228" t="s">
        <v>86</v>
      </c>
      <c r="D25" s="1229"/>
      <c r="E25" s="1230" t="s">
        <v>93</v>
      </c>
      <c r="F25" s="1232" t="s">
        <v>97</v>
      </c>
    </row>
    <row r="26" spans="2:6">
      <c r="B26" s="2969"/>
      <c r="C26" s="1228" t="s">
        <v>87</v>
      </c>
      <c r="D26" s="1229">
        <v>0.51</v>
      </c>
      <c r="E26" s="1230" t="s">
        <v>93</v>
      </c>
      <c r="F26" s="1232" t="s">
        <v>101</v>
      </c>
    </row>
    <row r="27" spans="2:6">
      <c r="B27" s="2969"/>
      <c r="C27" s="1228" t="s">
        <v>99</v>
      </c>
      <c r="D27" s="1229">
        <v>4.75</v>
      </c>
      <c r="E27" s="1230" t="s">
        <v>93</v>
      </c>
      <c r="F27" s="1232" t="s">
        <v>1717</v>
      </c>
    </row>
    <row r="28" spans="2:6">
      <c r="B28" s="2969"/>
      <c r="C28" s="1233" t="s">
        <v>89</v>
      </c>
      <c r="D28" s="1233" t="s">
        <v>90</v>
      </c>
      <c r="E28" s="1234" t="s">
        <v>100</v>
      </c>
      <c r="F28" s="1232" t="s">
        <v>101</v>
      </c>
    </row>
    <row r="29" spans="2:6">
      <c r="B29" s="2970"/>
      <c r="C29" s="1220" t="s">
        <v>102</v>
      </c>
      <c r="D29" s="1221"/>
      <c r="E29" s="1237"/>
      <c r="F29" s="1238"/>
    </row>
    <row r="30" spans="2:6" ht="24" customHeight="1">
      <c r="B30" s="2969"/>
      <c r="C30" s="1224" t="s">
        <v>103</v>
      </c>
      <c r="D30" s="1239">
        <v>0</v>
      </c>
      <c r="E30" s="2298">
        <f>'条件(標準)_後'!E30</f>
        <v>0</v>
      </c>
      <c r="F30" s="1227">
        <f>'条件(標準)_後'!F30</f>
        <v>0</v>
      </c>
    </row>
    <row r="31" spans="2:6" ht="24" customHeight="1">
      <c r="B31" s="2969"/>
      <c r="C31" s="1224" t="s">
        <v>104</v>
      </c>
      <c r="D31" s="1239">
        <v>0</v>
      </c>
      <c r="E31" s="1244">
        <f>'条件(標準)_後'!E31</f>
        <v>0.3</v>
      </c>
      <c r="F31" s="1231">
        <f>'条件(標準)_後'!F31</f>
        <v>0</v>
      </c>
    </row>
    <row r="32" spans="2:6" ht="24" customHeight="1">
      <c r="B32" s="2969"/>
      <c r="C32" s="1228" t="s">
        <v>105</v>
      </c>
      <c r="D32" s="1239">
        <v>0</v>
      </c>
      <c r="E32" s="1244">
        <v>0</v>
      </c>
      <c r="F32" s="1231"/>
    </row>
    <row r="33" spans="2:6" ht="24" customHeight="1">
      <c r="B33" s="2969"/>
      <c r="C33" s="1245" t="s">
        <v>106</v>
      </c>
      <c r="D33" s="1246">
        <v>0</v>
      </c>
      <c r="E33" s="1247">
        <v>0</v>
      </c>
      <c r="F33" s="1749"/>
    </row>
    <row r="34" spans="2:6" ht="19.5" customHeight="1">
      <c r="B34" s="1203"/>
      <c r="C34" s="1249" t="s">
        <v>71</v>
      </c>
      <c r="D34" s="1250">
        <f>CO2計算_前!O134</f>
        <v>13.445631853785901</v>
      </c>
      <c r="E34" s="1251">
        <f>CO2計算_前!L134</f>
        <v>13.445631853785901</v>
      </c>
      <c r="F34" s="1212" t="s">
        <v>72</v>
      </c>
    </row>
    <row r="35" spans="2:6">
      <c r="B35" s="1219" t="s">
        <v>386</v>
      </c>
      <c r="C35" s="1252" t="s">
        <v>107</v>
      </c>
      <c r="D35" s="1253"/>
      <c r="E35" s="1253"/>
      <c r="F35" s="1223"/>
    </row>
    <row r="36" spans="2:6">
      <c r="B36" s="1210" t="s">
        <v>108</v>
      </c>
      <c r="C36" s="1254" t="s">
        <v>524</v>
      </c>
      <c r="D36" s="1255">
        <f>CO2データ!I269</f>
        <v>25</v>
      </c>
      <c r="E36" s="1255">
        <f>D36</f>
        <v>25</v>
      </c>
      <c r="F36" s="1256"/>
    </row>
    <row r="37" spans="2:6" ht="13.5" hidden="1" customHeight="1">
      <c r="B37" s="1210"/>
      <c r="C37" s="1257" t="s">
        <v>109</v>
      </c>
      <c r="D37" s="1258">
        <f>CO2データ!I270</f>
        <v>0</v>
      </c>
      <c r="E37" s="1258"/>
      <c r="F37" s="1259"/>
    </row>
    <row r="38" spans="2:6">
      <c r="B38" s="1210"/>
      <c r="C38" s="1228" t="s">
        <v>523</v>
      </c>
      <c r="D38" s="1258">
        <f>CO2データ!I271</f>
        <v>18</v>
      </c>
      <c r="E38" s="1258">
        <f>D38</f>
        <v>18</v>
      </c>
      <c r="F38" s="1259"/>
    </row>
    <row r="39" spans="2:6">
      <c r="B39" s="1210"/>
      <c r="C39" s="1257" t="s">
        <v>110</v>
      </c>
      <c r="D39" s="1255">
        <f>CO2データ!I272</f>
        <v>15</v>
      </c>
      <c r="E39" s="1255">
        <f>D39</f>
        <v>15</v>
      </c>
      <c r="F39" s="1256"/>
    </row>
    <row r="40" spans="2:6">
      <c r="B40" s="1219"/>
      <c r="C40" s="1252" t="s">
        <v>111</v>
      </c>
      <c r="D40" s="1253"/>
      <c r="E40" s="1253"/>
      <c r="F40" s="1223"/>
    </row>
    <row r="41" spans="2:6">
      <c r="B41" s="1210"/>
      <c r="C41" s="1257" t="s">
        <v>524</v>
      </c>
      <c r="D41" s="1260">
        <f>CO2データ!I275</f>
        <v>0.01</v>
      </c>
      <c r="E41" s="1260">
        <f>D41</f>
        <v>0.01</v>
      </c>
      <c r="F41" s="1261"/>
    </row>
    <row r="42" spans="2:6">
      <c r="B42" s="1210"/>
      <c r="C42" s="1228" t="s">
        <v>523</v>
      </c>
      <c r="D42" s="1262">
        <f>CO2データ!I276</f>
        <v>0.01</v>
      </c>
      <c r="E42" s="1262">
        <f>D42</f>
        <v>0.01</v>
      </c>
      <c r="F42" s="1263"/>
    </row>
    <row r="43" spans="2:6">
      <c r="B43" s="1210"/>
      <c r="C43" s="1264" t="s">
        <v>110</v>
      </c>
      <c r="D43" s="1265">
        <f>CO2データ!I277</f>
        <v>0.02</v>
      </c>
      <c r="E43" s="1265">
        <f>D43</f>
        <v>0.02</v>
      </c>
      <c r="F43" s="1266"/>
    </row>
    <row r="44" spans="2:6" ht="27.75" customHeight="1">
      <c r="B44" s="1267"/>
      <c r="C44" s="1207" t="s">
        <v>112</v>
      </c>
      <c r="D44" s="1213" t="s">
        <v>113</v>
      </c>
      <c r="E44" s="1201" t="s">
        <v>114</v>
      </c>
      <c r="F44" s="1205"/>
    </row>
    <row r="45" spans="2:6">
      <c r="B45" s="1203"/>
      <c r="C45" s="1252" t="s">
        <v>71</v>
      </c>
      <c r="D45" s="1221"/>
      <c r="E45" s="1738"/>
      <c r="F45" s="1271"/>
    </row>
    <row r="46" spans="2:6" ht="24" customHeight="1">
      <c r="B46" s="1210"/>
      <c r="C46" s="1201" t="s">
        <v>788</v>
      </c>
      <c r="D46" s="1211" t="e">
        <f>IF(F58=H58,CO2計算_対象外!O116,CO2計算_前!O116)</f>
        <v>#VALUE!</v>
      </c>
      <c r="E46" s="1211" t="e">
        <f>IF(F58=H58,CO2計算_対象外!L116,CO2計算_前!L116)</f>
        <v>#VALUE!</v>
      </c>
      <c r="F46" s="1212" t="s">
        <v>72</v>
      </c>
    </row>
    <row r="47" spans="2:6" ht="24" customHeight="1">
      <c r="B47" s="1210"/>
      <c r="C47" s="1224" t="s">
        <v>811</v>
      </c>
      <c r="D47" s="1739" t="s">
        <v>785</v>
      </c>
      <c r="E47" s="1740" t="e">
        <f>IF(F58=H58,CO2計算_対象外!L123,CO2計算_前!L123)</f>
        <v>#VALUE!</v>
      </c>
      <c r="F47" s="1212" t="s">
        <v>72</v>
      </c>
    </row>
    <row r="48" spans="2:6" ht="24" hidden="1" customHeight="1">
      <c r="B48" s="2969" t="s">
        <v>115</v>
      </c>
      <c r="C48" s="1233" t="s">
        <v>789</v>
      </c>
      <c r="D48" s="1741"/>
      <c r="E48" s="1742"/>
      <c r="F48" s="1743" t="s">
        <v>72</v>
      </c>
    </row>
    <row r="49" spans="2:8" ht="24" hidden="1" customHeight="1">
      <c r="B49" s="2969"/>
      <c r="C49" s="2294"/>
      <c r="D49" s="1744"/>
      <c r="E49" s="1742"/>
      <c r="F49" s="1743"/>
    </row>
    <row r="50" spans="2:8" ht="24" hidden="1" customHeight="1">
      <c r="B50" s="2969"/>
      <c r="C50" s="2294"/>
      <c r="D50" s="1745"/>
      <c r="E50" s="2303"/>
      <c r="F50" s="1746"/>
    </row>
    <row r="51" spans="2:8" ht="24" hidden="1" customHeight="1">
      <c r="B51" s="2969"/>
      <c r="C51" s="1267"/>
      <c r="D51" s="1747" t="s">
        <v>793</v>
      </c>
      <c r="E51" s="1748" t="s">
        <v>785</v>
      </c>
      <c r="F51" s="1749"/>
    </row>
    <row r="52" spans="2:8" ht="24" customHeight="1">
      <c r="B52" s="2970"/>
      <c r="C52" s="1254" t="s">
        <v>1672</v>
      </c>
      <c r="D52" s="2302" t="s">
        <v>785</v>
      </c>
      <c r="E52" s="2304" t="e">
        <f>E47</f>
        <v>#VALUE!</v>
      </c>
      <c r="F52" s="1227" t="s">
        <v>72</v>
      </c>
    </row>
    <row r="53" spans="2:8" ht="24" customHeight="1">
      <c r="B53" s="2969"/>
      <c r="C53" s="1233" t="s">
        <v>789</v>
      </c>
      <c r="D53" s="1751" t="s">
        <v>796</v>
      </c>
      <c r="E53" s="1752" t="s">
        <v>797</v>
      </c>
      <c r="F53" s="1231"/>
    </row>
    <row r="54" spans="2:8" ht="24" customHeight="1">
      <c r="B54" s="2969"/>
      <c r="C54" s="1210"/>
      <c r="D54" s="1751" t="s">
        <v>798</v>
      </c>
      <c r="E54" s="1752" t="s">
        <v>797</v>
      </c>
      <c r="F54" s="1232"/>
    </row>
    <row r="55" spans="2:8" ht="24" customHeight="1">
      <c r="B55" s="2969"/>
      <c r="C55" s="1210"/>
      <c r="D55" s="1751" t="s">
        <v>799</v>
      </c>
      <c r="E55" s="1752" t="s">
        <v>797</v>
      </c>
      <c r="F55" s="1232"/>
    </row>
    <row r="56" spans="2:8" ht="24" customHeight="1">
      <c r="B56" s="1210"/>
      <c r="C56" s="1210"/>
      <c r="D56" s="1751" t="s">
        <v>800</v>
      </c>
      <c r="E56" s="1752" t="s">
        <v>797</v>
      </c>
      <c r="F56" s="1248"/>
    </row>
    <row r="57" spans="2:8" ht="13.5" hidden="1" customHeight="1">
      <c r="B57" s="1210"/>
      <c r="C57" s="1267"/>
      <c r="D57" s="1753"/>
      <c r="E57" s="1748" t="s">
        <v>802</v>
      </c>
      <c r="F57" s="1749"/>
    </row>
    <row r="58" spans="2:8" ht="24">
      <c r="B58" s="2969" t="s">
        <v>115</v>
      </c>
      <c r="C58" s="1207" t="s">
        <v>116</v>
      </c>
      <c r="D58" s="1213" t="str">
        <f>'条件(標準)_後'!D58</f>
        <v>統計値より、一次エネルギー消費量の平均値を引用</v>
      </c>
      <c r="E58" s="1213" t="str">
        <f>'条件(標準)_後'!E58</f>
        <v>LR1の取り組みによる省エネルギー量を推定</v>
      </c>
      <c r="F58" s="1213">
        <f>'条件(標準)_後'!F58</f>
        <v>0</v>
      </c>
      <c r="H58" t="s">
        <v>1665</v>
      </c>
    </row>
    <row r="59" spans="2:8" ht="25.5" customHeight="1">
      <c r="B59" s="2969"/>
      <c r="C59" s="1249" t="s">
        <v>119</v>
      </c>
      <c r="D59" s="1268">
        <f>IF(F58=H58,SUM(CO2計算_対象外!H118:H121),SUM(CO2計算_前!H118:H121))</f>
        <v>33070</v>
      </c>
      <c r="E59" s="1268" t="e">
        <f>IF(F58=H58,SUM(CO2計算_対象外!I125:I127),SUM(CO2計算_前!I125:I127))</f>
        <v>#VALUE!</v>
      </c>
      <c r="F59" s="1269" t="s">
        <v>1237</v>
      </c>
    </row>
    <row r="60" spans="2:8">
      <c r="B60" s="2970"/>
      <c r="C60" s="1270" t="s">
        <v>1668</v>
      </c>
      <c r="D60" s="1253"/>
      <c r="E60" s="1253"/>
      <c r="F60" s="1271"/>
    </row>
    <row r="61" spans="2:8">
      <c r="B61" s="2969"/>
      <c r="C61" s="1272" t="s">
        <v>1669</v>
      </c>
      <c r="D61" s="1273" t="e">
        <f>IF(F58=H58,CO2計算_対象外!J118,CO2計算_前!J118)</f>
        <v>#VALUE!</v>
      </c>
      <c r="E61" s="1274" t="s">
        <v>114</v>
      </c>
      <c r="F61" s="1746" t="s">
        <v>1309</v>
      </c>
    </row>
    <row r="62" spans="2:8">
      <c r="B62" s="2969"/>
      <c r="C62" s="1272" t="s">
        <v>1670</v>
      </c>
      <c r="D62" s="1273" t="e">
        <f>IF(F58=H58,CO2計算_対象外!J120,CO2計算_前!J120)</f>
        <v>#VALUE!</v>
      </c>
      <c r="E62" s="1276" t="s">
        <v>114</v>
      </c>
      <c r="F62" s="1746" t="s">
        <v>1309</v>
      </c>
    </row>
    <row r="63" spans="2:8">
      <c r="B63" s="2969"/>
      <c r="C63" s="1275" t="s">
        <v>120</v>
      </c>
      <c r="D63" s="1276" t="e">
        <f>CO2データ!I95</f>
        <v>#VALUE!</v>
      </c>
      <c r="E63" s="1276" t="s">
        <v>114</v>
      </c>
      <c r="F63" s="1743" t="s">
        <v>1671</v>
      </c>
    </row>
    <row r="64" spans="2:8">
      <c r="B64" s="2969"/>
      <c r="C64" s="1275" t="s">
        <v>121</v>
      </c>
      <c r="D64" s="1276">
        <f>CO2データ!I97</f>
        <v>4.9799999999999997E-2</v>
      </c>
      <c r="E64" s="1276" t="s">
        <v>114</v>
      </c>
      <c r="F64" s="1746" t="s">
        <v>1309</v>
      </c>
    </row>
    <row r="65" spans="2:6" ht="24">
      <c r="B65" s="2969"/>
      <c r="C65" s="1277" t="s">
        <v>122</v>
      </c>
      <c r="D65" s="1278">
        <f>CO2データ!I101</f>
        <v>6.855E-2</v>
      </c>
      <c r="E65" s="1278" t="s">
        <v>114</v>
      </c>
      <c r="F65" s="1768" t="s">
        <v>1309</v>
      </c>
    </row>
    <row r="66" spans="2:6">
      <c r="B66" s="1210"/>
      <c r="C66" s="1279" t="s">
        <v>123</v>
      </c>
      <c r="D66" s="1280"/>
      <c r="E66" s="1280"/>
      <c r="F66" s="1281"/>
    </row>
    <row r="67" spans="2:6">
      <c r="B67" s="1210"/>
      <c r="C67" s="1264"/>
      <c r="D67" s="1206"/>
      <c r="E67" s="1206"/>
      <c r="F67" s="1266"/>
    </row>
    <row r="68" spans="2:6">
      <c r="B68" s="2971" t="s">
        <v>786</v>
      </c>
      <c r="C68" s="2966"/>
      <c r="D68" s="2966"/>
      <c r="E68" s="2966"/>
      <c r="F68" s="2966"/>
    </row>
    <row r="69" spans="2:6">
      <c r="B69" s="2971"/>
      <c r="C69" s="2967"/>
      <c r="D69" s="2967"/>
      <c r="E69" s="2967"/>
      <c r="F69" s="2967"/>
    </row>
    <row r="70" spans="2:6">
      <c r="B70" s="2971"/>
      <c r="C70" s="2967"/>
      <c r="D70" s="2967"/>
      <c r="E70" s="2967"/>
      <c r="F70" s="2967"/>
    </row>
    <row r="71" spans="2:6">
      <c r="B71" s="2971"/>
      <c r="C71" s="2968"/>
      <c r="D71" s="2968"/>
      <c r="E71" s="2968"/>
      <c r="F71" s="2968"/>
    </row>
    <row r="72" spans="2:6"/>
  </sheetData>
  <sheetProtection password="82B4" sheet="1" objects="1" scenarios="1"/>
  <mergeCells count="10">
    <mergeCell ref="F68:F71"/>
    <mergeCell ref="B58:B65"/>
    <mergeCell ref="B68:B71"/>
    <mergeCell ref="B4:C4"/>
    <mergeCell ref="B5:B7"/>
    <mergeCell ref="B10:B33"/>
    <mergeCell ref="C68:C71"/>
    <mergeCell ref="D68:D71"/>
    <mergeCell ref="E68:E71"/>
    <mergeCell ref="B48:B55"/>
  </mergeCells>
  <phoneticPr fontId="20"/>
  <printOptions horizontalCentered="1"/>
  <pageMargins left="0.59055118110236227" right="0.59055118110236227" top="0.78740157480314965" bottom="0.59055118110236227" header="0.51181102362204722" footer="0.51181102362204722"/>
  <pageSetup paperSize="9" scale="74" orientation="portrait" r:id="rId1"/>
  <headerFooter alignWithMargins="0">
    <oddHeader>&amp;L&amp;F&amp;R&amp;A</oddHeader>
    <oddFooter>&amp;C&amp;P/&amp;N</oddFooter>
  </headerFooter>
</worksheet>
</file>

<file path=xl/worksheets/sheet2.xml><?xml version="1.0" encoding="utf-8"?>
<worksheet xmlns="http://schemas.openxmlformats.org/spreadsheetml/2006/main" xmlns:r="http://schemas.openxmlformats.org/officeDocument/2006/relationships">
  <dimension ref="A1:WVM17"/>
  <sheetViews>
    <sheetView showGridLines="0" zoomScale="115" zoomScaleNormal="115" zoomScaleSheetLayoutView="100" workbookViewId="0">
      <selection activeCell="A19" sqref="A19"/>
    </sheetView>
  </sheetViews>
  <sheetFormatPr defaultColWidth="0" defaultRowHeight="13.5"/>
  <cols>
    <col min="1" max="1" width="59" customWidth="1"/>
    <col min="2" max="2" width="9" style="2682" customWidth="1"/>
    <col min="3" max="3" width="10.25" style="2682" bestFit="1" customWidth="1"/>
    <col min="4" max="12" width="9" style="2682" customWidth="1"/>
    <col min="13" max="256" width="9" customWidth="1"/>
    <col min="257" max="257" width="59" customWidth="1"/>
    <col min="258" max="258" width="9" customWidth="1"/>
    <col min="259" max="259" width="10.25" bestFit="1" customWidth="1"/>
    <col min="260" max="261" width="9" customWidth="1"/>
    <col min="262" max="512" width="9" hidden="1"/>
    <col min="513" max="513" width="59" customWidth="1"/>
    <col min="514" max="514" width="9" customWidth="1"/>
    <col min="515" max="515" width="10.25" bestFit="1" customWidth="1"/>
    <col min="516" max="517" width="9" customWidth="1"/>
    <col min="518" max="768" width="9" hidden="1"/>
    <col min="769" max="769" width="59" customWidth="1"/>
    <col min="770" max="770" width="9" customWidth="1"/>
    <col min="771" max="771" width="10.25" bestFit="1" customWidth="1"/>
    <col min="772" max="773" width="9" customWidth="1"/>
    <col min="774" max="1024" width="9" hidden="1"/>
    <col min="1025" max="1025" width="59" customWidth="1"/>
    <col min="1026" max="1026" width="9" customWidth="1"/>
    <col min="1027" max="1027" width="10.25" bestFit="1" customWidth="1"/>
    <col min="1028" max="1029" width="9" customWidth="1"/>
    <col min="1030" max="1280" width="9" hidden="1"/>
    <col min="1281" max="1281" width="59" customWidth="1"/>
    <col min="1282" max="1282" width="9" customWidth="1"/>
    <col min="1283" max="1283" width="10.25" bestFit="1" customWidth="1"/>
    <col min="1284" max="1285" width="9" customWidth="1"/>
    <col min="1286" max="1536" width="9" hidden="1"/>
    <col min="1537" max="1537" width="59" customWidth="1"/>
    <col min="1538" max="1538" width="9" customWidth="1"/>
    <col min="1539" max="1539" width="10.25" bestFit="1" customWidth="1"/>
    <col min="1540" max="1541" width="9" customWidth="1"/>
    <col min="1542" max="1792" width="9" hidden="1"/>
    <col min="1793" max="1793" width="59" customWidth="1"/>
    <col min="1794" max="1794" width="9" customWidth="1"/>
    <col min="1795" max="1795" width="10.25" bestFit="1" customWidth="1"/>
    <col min="1796" max="1797" width="9" customWidth="1"/>
    <col min="1798" max="2048" width="9" hidden="1"/>
    <col min="2049" max="2049" width="59" customWidth="1"/>
    <col min="2050" max="2050" width="9" customWidth="1"/>
    <col min="2051" max="2051" width="10.25" bestFit="1" customWidth="1"/>
    <col min="2052" max="2053" width="9" customWidth="1"/>
    <col min="2054" max="2304" width="9" hidden="1"/>
    <col min="2305" max="2305" width="59" customWidth="1"/>
    <col min="2306" max="2306" width="9" customWidth="1"/>
    <col min="2307" max="2307" width="10.25" bestFit="1" customWidth="1"/>
    <col min="2308" max="2309" width="9" customWidth="1"/>
    <col min="2310" max="2560" width="9" hidden="1"/>
    <col min="2561" max="2561" width="59" customWidth="1"/>
    <col min="2562" max="2562" width="9" customWidth="1"/>
    <col min="2563" max="2563" width="10.25" bestFit="1" customWidth="1"/>
    <col min="2564" max="2565" width="9" customWidth="1"/>
    <col min="2566" max="2816" width="9" hidden="1"/>
    <col min="2817" max="2817" width="59" customWidth="1"/>
    <col min="2818" max="2818" width="9" customWidth="1"/>
    <col min="2819" max="2819" width="10.25" bestFit="1" customWidth="1"/>
    <col min="2820" max="2821" width="9" customWidth="1"/>
    <col min="2822" max="3072" width="9" hidden="1"/>
    <col min="3073" max="3073" width="59" customWidth="1"/>
    <col min="3074" max="3074" width="9" customWidth="1"/>
    <col min="3075" max="3075" width="10.25" bestFit="1" customWidth="1"/>
    <col min="3076" max="3077" width="9" customWidth="1"/>
    <col min="3078" max="3328" width="9" hidden="1"/>
    <col min="3329" max="3329" width="59" customWidth="1"/>
    <col min="3330" max="3330" width="9" customWidth="1"/>
    <col min="3331" max="3331" width="10.25" bestFit="1" customWidth="1"/>
    <col min="3332" max="3333" width="9" customWidth="1"/>
    <col min="3334" max="3584" width="9" hidden="1"/>
    <col min="3585" max="3585" width="59" customWidth="1"/>
    <col min="3586" max="3586" width="9" customWidth="1"/>
    <col min="3587" max="3587" width="10.25" bestFit="1" customWidth="1"/>
    <col min="3588" max="3589" width="9" customWidth="1"/>
    <col min="3590" max="3840" width="9" hidden="1"/>
    <col min="3841" max="3841" width="59" customWidth="1"/>
    <col min="3842" max="3842" width="9" customWidth="1"/>
    <col min="3843" max="3843" width="10.25" bestFit="1" customWidth="1"/>
    <col min="3844" max="3845" width="9" customWidth="1"/>
    <col min="3846" max="4096" width="9" hidden="1"/>
    <col min="4097" max="4097" width="59" customWidth="1"/>
    <col min="4098" max="4098" width="9" customWidth="1"/>
    <col min="4099" max="4099" width="10.25" bestFit="1" customWidth="1"/>
    <col min="4100" max="4101" width="9" customWidth="1"/>
    <col min="4102" max="4352" width="9" hidden="1"/>
    <col min="4353" max="4353" width="59" customWidth="1"/>
    <col min="4354" max="4354" width="9" customWidth="1"/>
    <col min="4355" max="4355" width="10.25" bestFit="1" customWidth="1"/>
    <col min="4356" max="4357" width="9" customWidth="1"/>
    <col min="4358" max="4608" width="9" hidden="1"/>
    <col min="4609" max="4609" width="59" customWidth="1"/>
    <col min="4610" max="4610" width="9" customWidth="1"/>
    <col min="4611" max="4611" width="10.25" bestFit="1" customWidth="1"/>
    <col min="4612" max="4613" width="9" customWidth="1"/>
    <col min="4614" max="4864" width="9" hidden="1"/>
    <col min="4865" max="4865" width="59" customWidth="1"/>
    <col min="4866" max="4866" width="9" customWidth="1"/>
    <col min="4867" max="4867" width="10.25" bestFit="1" customWidth="1"/>
    <col min="4868" max="4869" width="9" customWidth="1"/>
    <col min="4870" max="5120" width="9" hidden="1"/>
    <col min="5121" max="5121" width="59" customWidth="1"/>
    <col min="5122" max="5122" width="9" customWidth="1"/>
    <col min="5123" max="5123" width="10.25" bestFit="1" customWidth="1"/>
    <col min="5124" max="5125" width="9" customWidth="1"/>
    <col min="5126" max="5376" width="9" hidden="1"/>
    <col min="5377" max="5377" width="59" customWidth="1"/>
    <col min="5378" max="5378" width="9" customWidth="1"/>
    <col min="5379" max="5379" width="10.25" bestFit="1" customWidth="1"/>
    <col min="5380" max="5381" width="9" customWidth="1"/>
    <col min="5382" max="5632" width="9" hidden="1"/>
    <col min="5633" max="5633" width="59" customWidth="1"/>
    <col min="5634" max="5634" width="9" customWidth="1"/>
    <col min="5635" max="5635" width="10.25" bestFit="1" customWidth="1"/>
    <col min="5636" max="5637" width="9" customWidth="1"/>
    <col min="5638" max="5888" width="9" hidden="1"/>
    <col min="5889" max="5889" width="59" customWidth="1"/>
    <col min="5890" max="5890" width="9" customWidth="1"/>
    <col min="5891" max="5891" width="10.25" bestFit="1" customWidth="1"/>
    <col min="5892" max="5893" width="9" customWidth="1"/>
    <col min="5894" max="6144" width="9" hidden="1"/>
    <col min="6145" max="6145" width="59" customWidth="1"/>
    <col min="6146" max="6146" width="9" customWidth="1"/>
    <col min="6147" max="6147" width="10.25" bestFit="1" customWidth="1"/>
    <col min="6148" max="6149" width="9" customWidth="1"/>
    <col min="6150" max="6400" width="9" hidden="1"/>
    <col min="6401" max="6401" width="59" customWidth="1"/>
    <col min="6402" max="6402" width="9" customWidth="1"/>
    <col min="6403" max="6403" width="10.25" bestFit="1" customWidth="1"/>
    <col min="6404" max="6405" width="9" customWidth="1"/>
    <col min="6406" max="6656" width="9" hidden="1"/>
    <col min="6657" max="6657" width="59" customWidth="1"/>
    <col min="6658" max="6658" width="9" customWidth="1"/>
    <col min="6659" max="6659" width="10.25" bestFit="1" customWidth="1"/>
    <col min="6660" max="6661" width="9" customWidth="1"/>
    <col min="6662" max="6912" width="9" hidden="1"/>
    <col min="6913" max="6913" width="59" customWidth="1"/>
    <col min="6914" max="6914" width="9" customWidth="1"/>
    <col min="6915" max="6915" width="10.25" bestFit="1" customWidth="1"/>
    <col min="6916" max="6917" width="9" customWidth="1"/>
    <col min="6918" max="7168" width="9" hidden="1"/>
    <col min="7169" max="7169" width="59" customWidth="1"/>
    <col min="7170" max="7170" width="9" customWidth="1"/>
    <col min="7171" max="7171" width="10.25" bestFit="1" customWidth="1"/>
    <col min="7172" max="7173" width="9" customWidth="1"/>
    <col min="7174" max="7424" width="9" hidden="1"/>
    <col min="7425" max="7425" width="59" customWidth="1"/>
    <col min="7426" max="7426" width="9" customWidth="1"/>
    <col min="7427" max="7427" width="10.25" bestFit="1" customWidth="1"/>
    <col min="7428" max="7429" width="9" customWidth="1"/>
    <col min="7430" max="7680" width="9" hidden="1"/>
    <col min="7681" max="7681" width="59" customWidth="1"/>
    <col min="7682" max="7682" width="9" customWidth="1"/>
    <col min="7683" max="7683" width="10.25" bestFit="1" customWidth="1"/>
    <col min="7684" max="7685" width="9" customWidth="1"/>
    <col min="7686" max="7936" width="9" hidden="1"/>
    <col min="7937" max="7937" width="59" customWidth="1"/>
    <col min="7938" max="7938" width="9" customWidth="1"/>
    <col min="7939" max="7939" width="10.25" bestFit="1" customWidth="1"/>
    <col min="7940" max="7941" width="9" customWidth="1"/>
    <col min="7942" max="8192" width="9" hidden="1"/>
    <col min="8193" max="8193" width="59" customWidth="1"/>
    <col min="8194" max="8194" width="9" customWidth="1"/>
    <col min="8195" max="8195" width="10.25" bestFit="1" customWidth="1"/>
    <col min="8196" max="8197" width="9" customWidth="1"/>
    <col min="8198" max="8448" width="9" hidden="1"/>
    <col min="8449" max="8449" width="59" customWidth="1"/>
    <col min="8450" max="8450" width="9" customWidth="1"/>
    <col min="8451" max="8451" width="10.25" bestFit="1" customWidth="1"/>
    <col min="8452" max="8453" width="9" customWidth="1"/>
    <col min="8454" max="8704" width="9" hidden="1"/>
    <col min="8705" max="8705" width="59" customWidth="1"/>
    <col min="8706" max="8706" width="9" customWidth="1"/>
    <col min="8707" max="8707" width="10.25" bestFit="1" customWidth="1"/>
    <col min="8708" max="8709" width="9" customWidth="1"/>
    <col min="8710" max="8960" width="9" hidden="1"/>
    <col min="8961" max="8961" width="59" customWidth="1"/>
    <col min="8962" max="8962" width="9" customWidth="1"/>
    <col min="8963" max="8963" width="10.25" bestFit="1" customWidth="1"/>
    <col min="8964" max="8965" width="9" customWidth="1"/>
    <col min="8966" max="9216" width="9" hidden="1"/>
    <col min="9217" max="9217" width="59" customWidth="1"/>
    <col min="9218" max="9218" width="9" customWidth="1"/>
    <col min="9219" max="9219" width="10.25" bestFit="1" customWidth="1"/>
    <col min="9220" max="9221" width="9" customWidth="1"/>
    <col min="9222" max="9472" width="9" hidden="1"/>
    <col min="9473" max="9473" width="59" customWidth="1"/>
    <col min="9474" max="9474" width="9" customWidth="1"/>
    <col min="9475" max="9475" width="10.25" bestFit="1" customWidth="1"/>
    <col min="9476" max="9477" width="9" customWidth="1"/>
    <col min="9478" max="9728" width="9" hidden="1"/>
    <col min="9729" max="9729" width="59" customWidth="1"/>
    <col min="9730" max="9730" width="9" customWidth="1"/>
    <col min="9731" max="9731" width="10.25" bestFit="1" customWidth="1"/>
    <col min="9732" max="9733" width="9" customWidth="1"/>
    <col min="9734" max="9984" width="9" hidden="1"/>
    <col min="9985" max="9985" width="59" customWidth="1"/>
    <col min="9986" max="9986" width="9" customWidth="1"/>
    <col min="9987" max="9987" width="10.25" bestFit="1" customWidth="1"/>
    <col min="9988" max="9989" width="9" customWidth="1"/>
    <col min="9990" max="10240" width="9" hidden="1"/>
    <col min="10241" max="10241" width="59" customWidth="1"/>
    <col min="10242" max="10242" width="9" customWidth="1"/>
    <col min="10243" max="10243" width="10.25" bestFit="1" customWidth="1"/>
    <col min="10244" max="10245" width="9" customWidth="1"/>
    <col min="10246" max="10496" width="9" hidden="1"/>
    <col min="10497" max="10497" width="59" customWidth="1"/>
    <col min="10498" max="10498" width="9" customWidth="1"/>
    <col min="10499" max="10499" width="10.25" bestFit="1" customWidth="1"/>
    <col min="10500" max="10501" width="9" customWidth="1"/>
    <col min="10502" max="10752" width="9" hidden="1"/>
    <col min="10753" max="10753" width="59" customWidth="1"/>
    <col min="10754" max="10754" width="9" customWidth="1"/>
    <col min="10755" max="10755" width="10.25" bestFit="1" customWidth="1"/>
    <col min="10756" max="10757" width="9" customWidth="1"/>
    <col min="10758" max="11008" width="9" hidden="1"/>
    <col min="11009" max="11009" width="59" customWidth="1"/>
    <col min="11010" max="11010" width="9" customWidth="1"/>
    <col min="11011" max="11011" width="10.25" bestFit="1" customWidth="1"/>
    <col min="11012" max="11013" width="9" customWidth="1"/>
    <col min="11014" max="11264" width="9" hidden="1"/>
    <col min="11265" max="11265" width="59" customWidth="1"/>
    <col min="11266" max="11266" width="9" customWidth="1"/>
    <col min="11267" max="11267" width="10.25" bestFit="1" customWidth="1"/>
    <col min="11268" max="11269" width="9" customWidth="1"/>
    <col min="11270" max="11520" width="9" hidden="1"/>
    <col min="11521" max="11521" width="59" customWidth="1"/>
    <col min="11522" max="11522" width="9" customWidth="1"/>
    <col min="11523" max="11523" width="10.25" bestFit="1" customWidth="1"/>
    <col min="11524" max="11525" width="9" customWidth="1"/>
    <col min="11526" max="11776" width="9" hidden="1"/>
    <col min="11777" max="11777" width="59" customWidth="1"/>
    <col min="11778" max="11778" width="9" customWidth="1"/>
    <col min="11779" max="11779" width="10.25" bestFit="1" customWidth="1"/>
    <col min="11780" max="11781" width="9" customWidth="1"/>
    <col min="11782" max="12032" width="9" hidden="1"/>
    <col min="12033" max="12033" width="59" customWidth="1"/>
    <col min="12034" max="12034" width="9" customWidth="1"/>
    <col min="12035" max="12035" width="10.25" bestFit="1" customWidth="1"/>
    <col min="12036" max="12037" width="9" customWidth="1"/>
    <col min="12038" max="12288" width="9" hidden="1"/>
    <col min="12289" max="12289" width="59" customWidth="1"/>
    <col min="12290" max="12290" width="9" customWidth="1"/>
    <col min="12291" max="12291" width="10.25" bestFit="1" customWidth="1"/>
    <col min="12292" max="12293" width="9" customWidth="1"/>
    <col min="12294" max="12544" width="9" hidden="1"/>
    <col min="12545" max="12545" width="59" customWidth="1"/>
    <col min="12546" max="12546" width="9" customWidth="1"/>
    <col min="12547" max="12547" width="10.25" bestFit="1" customWidth="1"/>
    <col min="12548" max="12549" width="9" customWidth="1"/>
    <col min="12550" max="12800" width="9" hidden="1"/>
    <col min="12801" max="12801" width="59" customWidth="1"/>
    <col min="12802" max="12802" width="9" customWidth="1"/>
    <col min="12803" max="12803" width="10.25" bestFit="1" customWidth="1"/>
    <col min="12804" max="12805" width="9" customWidth="1"/>
    <col min="12806" max="13056" width="9" hidden="1"/>
    <col min="13057" max="13057" width="59" customWidth="1"/>
    <col min="13058" max="13058" width="9" customWidth="1"/>
    <col min="13059" max="13059" width="10.25" bestFit="1" customWidth="1"/>
    <col min="13060" max="13061" width="9" customWidth="1"/>
    <col min="13062" max="13312" width="9" hidden="1"/>
    <col min="13313" max="13313" width="59" customWidth="1"/>
    <col min="13314" max="13314" width="9" customWidth="1"/>
    <col min="13315" max="13315" width="10.25" bestFit="1" customWidth="1"/>
    <col min="13316" max="13317" width="9" customWidth="1"/>
    <col min="13318" max="13568" width="9" hidden="1"/>
    <col min="13569" max="13569" width="59" customWidth="1"/>
    <col min="13570" max="13570" width="9" customWidth="1"/>
    <col min="13571" max="13571" width="10.25" bestFit="1" customWidth="1"/>
    <col min="13572" max="13573" width="9" customWidth="1"/>
    <col min="13574" max="13824" width="9" hidden="1"/>
    <col min="13825" max="13825" width="59" customWidth="1"/>
    <col min="13826" max="13826" width="9" customWidth="1"/>
    <col min="13827" max="13827" width="10.25" bestFit="1" customWidth="1"/>
    <col min="13828" max="13829" width="9" customWidth="1"/>
    <col min="13830" max="14080" width="9" hidden="1"/>
    <col min="14081" max="14081" width="59" customWidth="1"/>
    <col min="14082" max="14082" width="9" customWidth="1"/>
    <col min="14083" max="14083" width="10.25" bestFit="1" customWidth="1"/>
    <col min="14084" max="14085" width="9" customWidth="1"/>
    <col min="14086" max="14336" width="9" hidden="1"/>
    <col min="14337" max="14337" width="59" customWidth="1"/>
    <col min="14338" max="14338" width="9" customWidth="1"/>
    <col min="14339" max="14339" width="10.25" bestFit="1" customWidth="1"/>
    <col min="14340" max="14341" width="9" customWidth="1"/>
    <col min="14342" max="14592" width="9" hidden="1"/>
    <col min="14593" max="14593" width="59" customWidth="1"/>
    <col min="14594" max="14594" width="9" customWidth="1"/>
    <col min="14595" max="14595" width="10.25" bestFit="1" customWidth="1"/>
    <col min="14596" max="14597" width="9" customWidth="1"/>
    <col min="14598" max="14848" width="9" hidden="1"/>
    <col min="14849" max="14849" width="59" customWidth="1"/>
    <col min="14850" max="14850" width="9" customWidth="1"/>
    <col min="14851" max="14851" width="10.25" bestFit="1" customWidth="1"/>
    <col min="14852" max="14853" width="9" customWidth="1"/>
    <col min="14854" max="15104" width="9" hidden="1"/>
    <col min="15105" max="15105" width="59" customWidth="1"/>
    <col min="15106" max="15106" width="9" customWidth="1"/>
    <col min="15107" max="15107" width="10.25" bestFit="1" customWidth="1"/>
    <col min="15108" max="15109" width="9" customWidth="1"/>
    <col min="15110" max="15360" width="9" hidden="1"/>
    <col min="15361" max="15361" width="59" customWidth="1"/>
    <col min="15362" max="15362" width="9" customWidth="1"/>
    <col min="15363" max="15363" width="10.25" bestFit="1" customWidth="1"/>
    <col min="15364" max="15365" width="9" customWidth="1"/>
    <col min="15366" max="15616" width="9" hidden="1"/>
    <col min="15617" max="15617" width="59" customWidth="1"/>
    <col min="15618" max="15618" width="9" customWidth="1"/>
    <col min="15619" max="15619" width="10.25" bestFit="1" customWidth="1"/>
    <col min="15620" max="15621" width="9" customWidth="1"/>
    <col min="15622" max="15872" width="9" hidden="1"/>
    <col min="15873" max="15873" width="59" customWidth="1"/>
    <col min="15874" max="15874" width="9" customWidth="1"/>
    <col min="15875" max="15875" width="10.25" bestFit="1" customWidth="1"/>
    <col min="15876" max="15877" width="9" customWidth="1"/>
    <col min="15878" max="16128" width="9" hidden="1"/>
    <col min="16129" max="16129" width="59" customWidth="1"/>
    <col min="16130" max="16130" width="9" customWidth="1"/>
    <col min="16131" max="16131" width="10.25" bestFit="1" customWidth="1"/>
    <col min="16132" max="16133" width="9" customWidth="1"/>
    <col min="16134" max="16384" width="9" hidden="1"/>
  </cols>
  <sheetData>
    <row r="1" spans="2:10">
      <c r="B1" s="2681"/>
      <c r="C1" s="2681" t="s">
        <v>1919</v>
      </c>
      <c r="D1" s="2681" t="s">
        <v>1920</v>
      </c>
    </row>
    <row r="2" spans="2:10">
      <c r="B2" s="2681" t="s">
        <v>1921</v>
      </c>
      <c r="C2" s="2683">
        <f>環境表示結果!AE31</f>
        <v>3</v>
      </c>
      <c r="D2" s="2683">
        <f>環境表示結果!AF31</f>
        <v>2</v>
      </c>
    </row>
    <row r="3" spans="2:10">
      <c r="B3" s="2681" t="s">
        <v>1922</v>
      </c>
      <c r="C3" s="2683">
        <f>環境表示結果!AE19</f>
        <v>2</v>
      </c>
      <c r="D3" s="2683">
        <f>環境表示結果!AF19</f>
        <v>3</v>
      </c>
    </row>
    <row r="4" spans="2:10">
      <c r="B4" s="2681" t="s">
        <v>1923</v>
      </c>
      <c r="C4" s="2683" t="e">
        <f>環境表示結果!AE12</f>
        <v>#VALUE!</v>
      </c>
      <c r="D4" s="2683" t="e">
        <f>環境表示結果!AF12</f>
        <v>#VALUE!</v>
      </c>
    </row>
    <row r="5" spans="2:10">
      <c r="B5" s="2684"/>
      <c r="C5" s="2684"/>
      <c r="D5" s="2684"/>
    </row>
    <row r="6" spans="2:10">
      <c r="B6" s="2681"/>
      <c r="C6" s="2681" t="s">
        <v>1924</v>
      </c>
      <c r="D6" s="2681" t="s">
        <v>1925</v>
      </c>
    </row>
    <row r="7" spans="2:10">
      <c r="B7" s="2681" t="s">
        <v>1926</v>
      </c>
      <c r="C7" s="2681" t="e">
        <f>'計画概要書(改修後)'!S15</f>
        <v>#VALUE!</v>
      </c>
      <c r="D7" s="2681" t="e">
        <f>'計画概要書(改修後)'!S16</f>
        <v>#VALUE!</v>
      </c>
    </row>
    <row r="8" spans="2:10">
      <c r="B8" s="2684"/>
      <c r="C8" s="2684"/>
      <c r="D8" s="2684"/>
    </row>
    <row r="9" spans="2:10">
      <c r="B9" s="2681"/>
      <c r="C9" s="2681" t="s">
        <v>1924</v>
      </c>
      <c r="D9" s="2681" t="s">
        <v>1925</v>
      </c>
    </row>
    <row r="10" spans="2:10">
      <c r="B10" s="2681" t="s">
        <v>1927</v>
      </c>
      <c r="C10" s="2681" t="e">
        <f>'計画概要書(改修前)'!S15</f>
        <v>#VALUE!</v>
      </c>
      <c r="D10" s="2681" t="e">
        <f>'計画概要書(改修前)'!S16</f>
        <v>#VALUE!</v>
      </c>
    </row>
    <row r="11" spans="2:10">
      <c r="B11" s="2685"/>
      <c r="C11" s="2685"/>
      <c r="D11" s="2686"/>
    </row>
    <row r="12" spans="2:10">
      <c r="B12" s="2681" t="s">
        <v>1928</v>
      </c>
      <c r="C12" s="2681">
        <f>メイン!I43</f>
        <v>0</v>
      </c>
      <c r="D12" s="2684" t="str">
        <f>"公表番号　"&amp; "平成" &amp; TEXT(メイン!I43,"00") &amp; "年度　№" &amp; TEXT(メイン!J43,"000")</f>
        <v>公表番号　平成00年度　№000</v>
      </c>
      <c r="F12" s="2682" t="s">
        <v>2024</v>
      </c>
    </row>
    <row r="13" spans="2:10">
      <c r="B13" s="2684" t="s">
        <v>2021</v>
      </c>
      <c r="C13" s="2687">
        <f>DATE(YEAR(メイン!H16),MONTH(メイン!H16),DAY(メイン!H16))</f>
        <v>0</v>
      </c>
      <c r="D13" s="2684"/>
      <c r="F13" s="2682" t="e">
        <f>"評価は建築主の自己評価に基づくものです。 "&amp;F15&amp;G15&amp;H15&amp;I15&amp;J15&amp;"まで有効。"</f>
        <v>#VALUE!</v>
      </c>
    </row>
    <row r="14" spans="2:10">
      <c r="B14" s="2688" t="str">
        <f>IF(メイン!I41="有","","×")</f>
        <v>×</v>
      </c>
      <c r="C14" s="2689"/>
      <c r="F14" s="2682" t="str">
        <f>TEXT(C13,"ggge年m月d日")</f>
        <v>明治33年1月0日</v>
      </c>
    </row>
    <row r="15" spans="2:10">
      <c r="F15" s="2682" t="s">
        <v>1929</v>
      </c>
      <c r="G15" s="2682" t="e">
        <f>TEXT(F14,"e")*1+3</f>
        <v>#VALUE!</v>
      </c>
      <c r="H15" s="2682" t="s">
        <v>892</v>
      </c>
      <c r="I15" s="2682" t="e">
        <f>TEXT(F14,"m")*1</f>
        <v>#VALUE!</v>
      </c>
      <c r="J15" s="2682" t="s">
        <v>1930</v>
      </c>
    </row>
    <row r="16" spans="2:10" ht="33.75" customHeight="1">
      <c r="F16" s="2682" t="str">
        <f>IF(メイン!H16="",ラベル!F12,ラベル!F13)</f>
        <v>評価は建築主の自己評価に基づくものです。改修後3年間有効。</v>
      </c>
    </row>
    <row r="17" ht="24.75" customHeight="1"/>
  </sheetData>
  <sheetProtection password="82B4" sheet="1" objects="1" scenarios="1"/>
  <phoneticPr fontId="20"/>
  <pageMargins left="0.78740157480314965" right="0.78740157480314965" top="0.98425196850393704" bottom="0.98425196850393704" header="0.51181102362204722" footer="0.51181102362204722"/>
  <pageSetup paperSize="9"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sheetPr codeName="Sheet13"/>
  <dimension ref="A1:H90"/>
  <sheetViews>
    <sheetView showGridLines="0" zoomScaleNormal="100" workbookViewId="0">
      <selection activeCell="C3" sqref="C3"/>
    </sheetView>
  </sheetViews>
  <sheetFormatPr defaultColWidth="0" defaultRowHeight="13.5" zeroHeight="1"/>
  <cols>
    <col min="1" max="1" width="2" customWidth="1"/>
    <col min="2" max="2" width="10.625" customWidth="1"/>
    <col min="3" max="3" width="17.875" customWidth="1"/>
    <col min="4" max="4" width="30.25" customWidth="1"/>
    <col min="5" max="5" width="29.125" customWidth="1"/>
    <col min="6" max="6" width="16.125" customWidth="1"/>
    <col min="7" max="7" width="1.875" customWidth="1"/>
    <col min="8" max="8" width="0" hidden="1" customWidth="1"/>
    <col min="9" max="16384" width="9" hidden="1"/>
  </cols>
  <sheetData>
    <row r="1" spans="2:6" ht="6" customHeight="1"/>
    <row r="2" spans="2:6" ht="18.75">
      <c r="B2" s="1199" t="s">
        <v>124</v>
      </c>
      <c r="C2" s="747"/>
      <c r="D2" s="747"/>
      <c r="E2" s="518" t="s">
        <v>742</v>
      </c>
      <c r="F2" s="519" t="str">
        <f>メイン!C11</f>
        <v>旧ビル</v>
      </c>
    </row>
    <row r="3" spans="2:6" ht="15.75" customHeight="1">
      <c r="F3" s="1200" t="str">
        <f>メイン!C5</f>
        <v>「CASBEE大阪みらい 改修」2015年版　CASBEE-BD_RN_2015(v.1.0)</v>
      </c>
    </row>
    <row r="4" spans="2:6">
      <c r="B4" s="2972" t="s">
        <v>63</v>
      </c>
      <c r="C4" s="2973"/>
      <c r="D4" s="1201" t="s">
        <v>64</v>
      </c>
      <c r="E4" s="1202" t="s">
        <v>65</v>
      </c>
      <c r="F4" s="1202" t="s">
        <v>783</v>
      </c>
    </row>
    <row r="5" spans="2:6" ht="27" customHeight="1">
      <c r="B5" s="2974" t="s">
        <v>66</v>
      </c>
      <c r="C5" s="1202" t="s">
        <v>784</v>
      </c>
      <c r="D5" s="1201" t="str">
        <f>メイン!C21</f>
        <v>事務所,飲食店,集合住宅,</v>
      </c>
      <c r="E5" s="1201" t="str">
        <f>D5</f>
        <v>事務所,飲食店,集合住宅,</v>
      </c>
      <c r="F5" s="1282"/>
    </row>
    <row r="6" spans="2:6">
      <c r="B6" s="2975"/>
      <c r="C6" s="1202" t="s">
        <v>67</v>
      </c>
      <c r="D6" s="1204">
        <f>メイン!C19</f>
        <v>15320</v>
      </c>
      <c r="E6" s="1204">
        <f>D6</f>
        <v>15320</v>
      </c>
      <c r="F6" s="1283"/>
    </row>
    <row r="7" spans="2:6">
      <c r="B7" s="2976"/>
      <c r="C7" s="1202" t="s">
        <v>68</v>
      </c>
      <c r="D7" s="1202" t="str">
        <f>メイン!C23</f>
        <v>S造</v>
      </c>
      <c r="E7" s="1202" t="str">
        <f>D7</f>
        <v>S造</v>
      </c>
      <c r="F7" s="1283"/>
    </row>
    <row r="8" spans="2:6" ht="31.5" customHeight="1">
      <c r="B8" s="1201" t="s">
        <v>69</v>
      </c>
      <c r="C8" s="1207" t="s">
        <v>70</v>
      </c>
      <c r="D8" s="1284"/>
      <c r="E8" s="1284"/>
      <c r="F8" s="1285"/>
    </row>
    <row r="9" spans="2:6" ht="19.5" customHeight="1">
      <c r="B9" s="1210"/>
      <c r="C9" s="1207" t="s">
        <v>71</v>
      </c>
      <c r="D9" s="1286">
        <v>6</v>
      </c>
      <c r="E9" s="1286">
        <v>5</v>
      </c>
      <c r="F9" s="1285" t="s">
        <v>72</v>
      </c>
    </row>
    <row r="10" spans="2:6" ht="29.25" customHeight="1">
      <c r="B10" s="2969" t="s">
        <v>74</v>
      </c>
      <c r="C10" s="1201" t="s">
        <v>75</v>
      </c>
      <c r="D10" s="1287"/>
      <c r="E10" s="1288"/>
      <c r="F10" s="1283"/>
    </row>
    <row r="11" spans="2:6" ht="27" customHeight="1">
      <c r="B11" s="2969"/>
      <c r="C11" s="1201" t="s">
        <v>77</v>
      </c>
      <c r="D11" s="1287"/>
      <c r="E11" s="1289"/>
      <c r="F11" s="1283"/>
    </row>
    <row r="12" spans="2:6" ht="30.75" customHeight="1">
      <c r="B12" s="2969"/>
      <c r="C12" s="1201" t="s">
        <v>125</v>
      </c>
      <c r="D12" s="1287"/>
      <c r="E12" s="1289"/>
      <c r="F12" s="1285"/>
    </row>
    <row r="13" spans="2:6">
      <c r="B13" s="2969"/>
      <c r="C13" s="1220" t="s">
        <v>80</v>
      </c>
      <c r="D13" s="1221"/>
      <c r="E13" s="1222"/>
      <c r="F13" s="1223"/>
    </row>
    <row r="14" spans="2:6" ht="14.25">
      <c r="B14" s="2969"/>
      <c r="C14" s="1254" t="s">
        <v>81</v>
      </c>
      <c r="D14" s="1290" t="s">
        <v>126</v>
      </c>
      <c r="E14" s="1291" t="s">
        <v>127</v>
      </c>
      <c r="F14" s="1292" t="s">
        <v>82</v>
      </c>
    </row>
    <row r="15" spans="2:6" ht="14.25">
      <c r="B15" s="2969"/>
      <c r="C15" s="1293" t="s">
        <v>83</v>
      </c>
      <c r="D15" s="1294" t="s">
        <v>128</v>
      </c>
      <c r="E15" s="1295" t="s">
        <v>93</v>
      </c>
      <c r="F15" s="1296" t="s">
        <v>82</v>
      </c>
    </row>
    <row r="16" spans="2:6">
      <c r="B16" s="2969"/>
      <c r="C16" s="1228" t="s">
        <v>84</v>
      </c>
      <c r="D16" s="1294" t="s">
        <v>90</v>
      </c>
      <c r="E16" s="1295" t="s">
        <v>93</v>
      </c>
      <c r="F16" s="1297" t="s">
        <v>85</v>
      </c>
    </row>
    <row r="17" spans="2:6">
      <c r="B17" s="2969"/>
      <c r="C17" s="1228" t="s">
        <v>86</v>
      </c>
      <c r="D17" s="1294" t="s">
        <v>129</v>
      </c>
      <c r="E17" s="1295" t="s">
        <v>93</v>
      </c>
      <c r="F17" s="1297" t="s">
        <v>85</v>
      </c>
    </row>
    <row r="18" spans="2:6">
      <c r="B18" s="2969"/>
      <c r="C18" s="1228" t="s">
        <v>87</v>
      </c>
      <c r="D18" s="1294" t="s">
        <v>90</v>
      </c>
      <c r="E18" s="1295" t="s">
        <v>93</v>
      </c>
      <c r="F18" s="1297" t="s">
        <v>85</v>
      </c>
    </row>
    <row r="19" spans="2:6">
      <c r="B19" s="2969"/>
      <c r="C19" s="1294" t="s">
        <v>89</v>
      </c>
      <c r="D19" s="1294" t="s">
        <v>90</v>
      </c>
      <c r="E19" s="1295" t="s">
        <v>100</v>
      </c>
      <c r="F19" s="1297" t="s">
        <v>85</v>
      </c>
    </row>
    <row r="20" spans="2:6">
      <c r="B20" s="2969"/>
      <c r="C20" s="1298" t="s">
        <v>89</v>
      </c>
      <c r="D20" s="1298" t="s">
        <v>90</v>
      </c>
      <c r="E20" s="1299" t="s">
        <v>93</v>
      </c>
      <c r="F20" s="1300" t="s">
        <v>130</v>
      </c>
    </row>
    <row r="21" spans="2:6">
      <c r="B21" s="2970"/>
      <c r="C21" s="1220" t="s">
        <v>95</v>
      </c>
      <c r="D21" s="1221"/>
      <c r="E21" s="1222"/>
      <c r="F21" s="1223"/>
    </row>
    <row r="22" spans="2:6" ht="15">
      <c r="B22" s="2969"/>
      <c r="C22" s="1224" t="s">
        <v>81</v>
      </c>
      <c r="D22" s="1301" t="s">
        <v>126</v>
      </c>
      <c r="E22" s="1302" t="s">
        <v>127</v>
      </c>
      <c r="F22" s="1296" t="s">
        <v>96</v>
      </c>
    </row>
    <row r="23" spans="2:6" ht="15">
      <c r="B23" s="2969"/>
      <c r="C23" s="1293" t="s">
        <v>83</v>
      </c>
      <c r="D23" s="1294" t="s">
        <v>128</v>
      </c>
      <c r="E23" s="1295" t="s">
        <v>93</v>
      </c>
      <c r="F23" s="1297" t="s">
        <v>96</v>
      </c>
    </row>
    <row r="24" spans="2:6">
      <c r="B24" s="2969"/>
      <c r="C24" s="1228" t="s">
        <v>84</v>
      </c>
      <c r="D24" s="1294" t="s">
        <v>90</v>
      </c>
      <c r="E24" s="1295" t="s">
        <v>93</v>
      </c>
      <c r="F24" s="1297" t="s">
        <v>101</v>
      </c>
    </row>
    <row r="25" spans="2:6">
      <c r="B25" s="2969"/>
      <c r="C25" s="1228" t="s">
        <v>86</v>
      </c>
      <c r="D25" s="1294" t="s">
        <v>129</v>
      </c>
      <c r="E25" s="1295" t="s">
        <v>93</v>
      </c>
      <c r="F25" s="1297" t="s">
        <v>101</v>
      </c>
    </row>
    <row r="26" spans="2:6">
      <c r="B26" s="2969"/>
      <c r="C26" s="1228" t="s">
        <v>87</v>
      </c>
      <c r="D26" s="1294" t="s">
        <v>90</v>
      </c>
      <c r="E26" s="1295" t="s">
        <v>93</v>
      </c>
      <c r="F26" s="1297" t="s">
        <v>101</v>
      </c>
    </row>
    <row r="27" spans="2:6">
      <c r="B27" s="2969"/>
      <c r="C27" s="1303" t="s">
        <v>131</v>
      </c>
      <c r="D27" s="1294" t="s">
        <v>90</v>
      </c>
      <c r="E27" s="1295" t="s">
        <v>100</v>
      </c>
      <c r="F27" s="1297" t="s">
        <v>101</v>
      </c>
    </row>
    <row r="28" spans="2:6">
      <c r="B28" s="2969"/>
      <c r="C28" s="1298" t="s">
        <v>89</v>
      </c>
      <c r="D28" s="1298" t="s">
        <v>90</v>
      </c>
      <c r="E28" s="1299" t="s">
        <v>93</v>
      </c>
      <c r="F28" s="1297" t="s">
        <v>101</v>
      </c>
    </row>
    <row r="29" spans="2:6">
      <c r="B29" s="2970"/>
      <c r="C29" s="1220" t="s">
        <v>102</v>
      </c>
      <c r="D29" s="1221"/>
      <c r="E29" s="1222"/>
      <c r="F29" s="1271"/>
    </row>
    <row r="30" spans="2:6" ht="24" customHeight="1">
      <c r="B30" s="2969"/>
      <c r="C30" s="1224" t="s">
        <v>103</v>
      </c>
      <c r="D30" s="1304" t="s">
        <v>132</v>
      </c>
      <c r="E30" s="1304" t="s">
        <v>132</v>
      </c>
      <c r="F30" s="1305"/>
    </row>
    <row r="31" spans="2:6" ht="24" customHeight="1">
      <c r="B31" s="2969"/>
      <c r="C31" s="1224" t="s">
        <v>104</v>
      </c>
      <c r="D31" s="1304" t="s">
        <v>132</v>
      </c>
      <c r="E31" s="1304" t="s">
        <v>132</v>
      </c>
      <c r="F31" s="1305"/>
    </row>
    <row r="32" spans="2:6" ht="24" customHeight="1">
      <c r="B32" s="2969"/>
      <c r="C32" s="1228" t="s">
        <v>105</v>
      </c>
      <c r="D32" s="1304" t="s">
        <v>133</v>
      </c>
      <c r="E32" s="1304" t="s">
        <v>133</v>
      </c>
      <c r="F32" s="1306"/>
    </row>
    <row r="33" spans="2:6" ht="24" customHeight="1">
      <c r="B33" s="2969"/>
      <c r="C33" s="1245" t="s">
        <v>106</v>
      </c>
      <c r="D33" s="1307" t="s">
        <v>133</v>
      </c>
      <c r="E33" s="1307" t="s">
        <v>133</v>
      </c>
      <c r="F33" s="1308"/>
    </row>
    <row r="34" spans="2:6" ht="19.5" customHeight="1">
      <c r="B34" s="1203"/>
      <c r="C34" s="1249" t="s">
        <v>71</v>
      </c>
      <c r="D34" s="1309">
        <v>5</v>
      </c>
      <c r="E34" s="1309">
        <v>3</v>
      </c>
      <c r="F34" s="1285" t="s">
        <v>72</v>
      </c>
    </row>
    <row r="35" spans="2:6">
      <c r="B35" s="1219" t="s">
        <v>386</v>
      </c>
      <c r="C35" s="1252" t="s">
        <v>107</v>
      </c>
      <c r="D35" s="1253"/>
      <c r="E35" s="1253"/>
      <c r="F35" s="1223"/>
    </row>
    <row r="36" spans="2:6">
      <c r="B36" s="1210" t="s">
        <v>108</v>
      </c>
      <c r="C36" s="1264" t="s">
        <v>524</v>
      </c>
      <c r="D36" s="1310"/>
      <c r="E36" s="1310"/>
      <c r="F36" s="1311"/>
    </row>
    <row r="37" spans="2:6" hidden="1">
      <c r="B37" s="1210"/>
      <c r="C37" s="1264" t="s">
        <v>109</v>
      </c>
      <c r="D37" s="1310"/>
      <c r="E37" s="1310"/>
      <c r="F37" s="1285"/>
    </row>
    <row r="38" spans="2:6">
      <c r="B38" s="1210"/>
      <c r="C38" s="1207" t="s">
        <v>523</v>
      </c>
      <c r="D38" s="1284"/>
      <c r="E38" s="1284"/>
      <c r="F38" s="1285"/>
    </row>
    <row r="39" spans="2:6">
      <c r="B39" s="1210"/>
      <c r="C39" s="1249" t="s">
        <v>110</v>
      </c>
      <c r="D39" s="1312"/>
      <c r="E39" s="1312"/>
      <c r="F39" s="1313"/>
    </row>
    <row r="40" spans="2:6">
      <c r="B40" s="1219"/>
      <c r="C40" s="1252" t="s">
        <v>111</v>
      </c>
      <c r="D40" s="1253"/>
      <c r="E40" s="1253"/>
      <c r="F40" s="1223"/>
    </row>
    <row r="41" spans="2:6">
      <c r="B41" s="1210"/>
      <c r="C41" s="1264" t="s">
        <v>524</v>
      </c>
      <c r="D41" s="1314"/>
      <c r="E41" s="1314"/>
      <c r="F41" s="1281"/>
    </row>
    <row r="42" spans="2:6">
      <c r="B42" s="1210"/>
      <c r="C42" s="1207" t="s">
        <v>523</v>
      </c>
      <c r="D42" s="1315"/>
      <c r="E42" s="1315"/>
      <c r="F42" s="1283"/>
    </row>
    <row r="43" spans="2:6">
      <c r="B43" s="1210"/>
      <c r="C43" s="1207" t="s">
        <v>110</v>
      </c>
      <c r="D43" s="1315"/>
      <c r="E43" s="1315"/>
      <c r="F43" s="1283"/>
    </row>
    <row r="44" spans="2:6" ht="27.75" customHeight="1">
      <c r="B44" s="1267"/>
      <c r="C44" s="1207" t="s">
        <v>112</v>
      </c>
      <c r="D44" s="1287"/>
      <c r="E44" s="1316"/>
      <c r="F44" s="1283"/>
    </row>
    <row r="45" spans="2:6">
      <c r="B45" s="1203"/>
      <c r="C45" s="1252" t="s">
        <v>71</v>
      </c>
      <c r="D45" s="1221"/>
      <c r="E45" s="1738"/>
      <c r="F45" s="1271"/>
    </row>
    <row r="46" spans="2:6" ht="24" customHeight="1">
      <c r="B46" s="1210"/>
      <c r="C46" s="1224" t="s">
        <v>801</v>
      </c>
      <c r="D46" s="1286">
        <v>3</v>
      </c>
      <c r="E46" s="1286">
        <v>2</v>
      </c>
      <c r="F46" s="1235" t="s">
        <v>72</v>
      </c>
    </row>
    <row r="47" spans="2:6" ht="24" customHeight="1">
      <c r="B47" s="1210"/>
      <c r="C47" s="1224" t="s">
        <v>811</v>
      </c>
      <c r="D47" s="1739" t="s">
        <v>812</v>
      </c>
      <c r="E47" s="1754">
        <v>1</v>
      </c>
      <c r="F47" s="1235" t="s">
        <v>72</v>
      </c>
    </row>
    <row r="48" spans="2:6" ht="24" customHeight="1">
      <c r="B48" s="1210" t="s">
        <v>115</v>
      </c>
      <c r="C48" s="1257" t="s">
        <v>789</v>
      </c>
      <c r="D48" s="1741" t="s">
        <v>790</v>
      </c>
      <c r="E48" s="1755"/>
      <c r="F48" s="1297"/>
    </row>
    <row r="49" spans="2:8" ht="24" customHeight="1">
      <c r="B49" s="1210"/>
      <c r="C49" s="1257"/>
      <c r="D49" s="1744" t="s">
        <v>791</v>
      </c>
      <c r="E49" s="1756"/>
      <c r="F49" s="1297"/>
    </row>
    <row r="50" spans="2:8" ht="24" customHeight="1">
      <c r="B50" s="1210"/>
      <c r="C50" s="1257"/>
      <c r="D50" s="1745" t="s">
        <v>792</v>
      </c>
      <c r="E50" s="1755"/>
      <c r="F50" s="1297"/>
    </row>
    <row r="51" spans="2:8" ht="24" customHeight="1">
      <c r="B51" s="1210"/>
      <c r="C51" s="1267"/>
      <c r="D51" s="1747" t="s">
        <v>793</v>
      </c>
      <c r="E51" s="1757"/>
      <c r="F51" s="1758"/>
    </row>
    <row r="52" spans="2:8" ht="24" customHeight="1">
      <c r="B52" s="1210"/>
      <c r="C52" s="1257" t="s">
        <v>795</v>
      </c>
      <c r="D52" s="1750" t="s">
        <v>794</v>
      </c>
      <c r="E52" s="1756">
        <v>-5</v>
      </c>
      <c r="F52" s="1248" t="s">
        <v>72</v>
      </c>
    </row>
    <row r="53" spans="2:8" ht="24" customHeight="1">
      <c r="B53" s="1210"/>
      <c r="C53" s="1233" t="s">
        <v>789</v>
      </c>
      <c r="D53" s="1751" t="s">
        <v>813</v>
      </c>
      <c r="E53" s="1755"/>
      <c r="F53" s="1297"/>
    </row>
    <row r="54" spans="2:8" ht="24" customHeight="1">
      <c r="B54" s="1210"/>
      <c r="C54" s="1210"/>
      <c r="D54" s="1751" t="s">
        <v>814</v>
      </c>
      <c r="E54" s="1755"/>
      <c r="F54" s="1297"/>
    </row>
    <row r="55" spans="2:8" ht="24" customHeight="1">
      <c r="B55" s="1210"/>
      <c r="C55" s="1210"/>
      <c r="D55" s="1751" t="s">
        <v>815</v>
      </c>
      <c r="E55" s="1755"/>
      <c r="F55" s="1297"/>
    </row>
    <row r="56" spans="2:8" ht="24" customHeight="1">
      <c r="B56" s="1210"/>
      <c r="C56" s="1210"/>
      <c r="D56" s="1751" t="s">
        <v>816</v>
      </c>
      <c r="E56" s="1755"/>
      <c r="F56" s="1297"/>
    </row>
    <row r="57" spans="2:8" ht="30" hidden="1" customHeight="1">
      <c r="B57" s="1210"/>
      <c r="C57" s="1267"/>
      <c r="D57" s="1753"/>
      <c r="E57" s="1755" t="e">
        <f>E80</f>
        <v>#VALUE!</v>
      </c>
      <c r="F57" s="1297" t="s">
        <v>72</v>
      </c>
    </row>
    <row r="58" spans="2:8" ht="42.75" customHeight="1">
      <c r="B58" s="2969" t="s">
        <v>115</v>
      </c>
      <c r="C58" s="1207" t="s">
        <v>116</v>
      </c>
      <c r="D58" s="1287" t="s">
        <v>809</v>
      </c>
      <c r="E58" s="1287" t="s">
        <v>809</v>
      </c>
      <c r="F58" s="2358">
        <f>'条件(標準)_後'!F58</f>
        <v>0</v>
      </c>
      <c r="H58" t="s">
        <v>512</v>
      </c>
    </row>
    <row r="59" spans="2:8" ht="33" customHeight="1">
      <c r="B59" s="2969"/>
      <c r="C59" s="1249" t="s">
        <v>119</v>
      </c>
      <c r="D59" s="1317" t="s">
        <v>134</v>
      </c>
      <c r="E59" s="1317" t="s">
        <v>134</v>
      </c>
      <c r="F59" s="1318" t="s">
        <v>782</v>
      </c>
    </row>
    <row r="60" spans="2:8">
      <c r="B60" s="2970"/>
      <c r="C60" s="1270" t="s">
        <v>1668</v>
      </c>
      <c r="D60" s="1253"/>
      <c r="E60" s="1253"/>
      <c r="F60" s="1271"/>
    </row>
    <row r="61" spans="2:8">
      <c r="B61" s="2969"/>
      <c r="C61" s="1272" t="s">
        <v>1669</v>
      </c>
      <c r="D61" s="1319" t="s">
        <v>387</v>
      </c>
      <c r="E61" s="1319" t="s">
        <v>114</v>
      </c>
      <c r="F61" s="2324" t="s">
        <v>1040</v>
      </c>
    </row>
    <row r="62" spans="2:8">
      <c r="B62" s="2969"/>
      <c r="C62" s="1272" t="s">
        <v>1670</v>
      </c>
      <c r="D62" s="1319"/>
      <c r="E62" s="1319"/>
      <c r="F62" s="2324" t="s">
        <v>1040</v>
      </c>
    </row>
    <row r="63" spans="2:8">
      <c r="B63" s="2969"/>
      <c r="C63" s="1275" t="s">
        <v>120</v>
      </c>
      <c r="D63" s="1320" t="s">
        <v>387</v>
      </c>
      <c r="E63" s="1320" t="s">
        <v>114</v>
      </c>
      <c r="F63" s="2325" t="s">
        <v>1671</v>
      </c>
    </row>
    <row r="64" spans="2:8">
      <c r="B64" s="2969"/>
      <c r="C64" s="1275" t="s">
        <v>121</v>
      </c>
      <c r="D64" s="1320" t="s">
        <v>135</v>
      </c>
      <c r="E64" s="1320" t="s">
        <v>114</v>
      </c>
      <c r="F64" s="2324" t="s">
        <v>1040</v>
      </c>
    </row>
    <row r="65" spans="2:8" ht="24">
      <c r="B65" s="2969"/>
      <c r="C65" s="2327" t="s">
        <v>122</v>
      </c>
      <c r="D65" s="1321" t="s">
        <v>136</v>
      </c>
      <c r="E65" s="1321" t="s">
        <v>114</v>
      </c>
      <c r="F65" s="2326" t="s">
        <v>1040</v>
      </c>
    </row>
    <row r="66" spans="2:8">
      <c r="B66" s="1210"/>
      <c r="C66" s="1279" t="s">
        <v>123</v>
      </c>
      <c r="D66" s="1280"/>
      <c r="E66" s="1280"/>
      <c r="F66" s="1281"/>
    </row>
    <row r="67" spans="2:8">
      <c r="B67" s="1210"/>
      <c r="C67" s="1264"/>
      <c r="D67" s="1280"/>
      <c r="E67" s="1280"/>
      <c r="F67" s="1281"/>
    </row>
    <row r="68" spans="2:8">
      <c r="B68" s="2971" t="s">
        <v>786</v>
      </c>
      <c r="C68" s="2966"/>
      <c r="D68" s="2966"/>
      <c r="E68" s="2966"/>
      <c r="F68" s="2966"/>
    </row>
    <row r="69" spans="2:8">
      <c r="B69" s="2971"/>
      <c r="C69" s="2967"/>
      <c r="D69" s="2967"/>
      <c r="E69" s="2967"/>
      <c r="F69" s="2967"/>
    </row>
    <row r="70" spans="2:8">
      <c r="B70" s="2971"/>
      <c r="C70" s="2967"/>
      <c r="D70" s="2967"/>
      <c r="E70" s="2967"/>
      <c r="F70" s="2967"/>
    </row>
    <row r="71" spans="2:8">
      <c r="B71" s="2971"/>
      <c r="C71" s="2968"/>
      <c r="D71" s="2968"/>
      <c r="E71" s="2968"/>
      <c r="F71" s="2968"/>
    </row>
    <row r="72" spans="2:8"/>
    <row r="73" spans="2:8">
      <c r="B73" t="s">
        <v>817</v>
      </c>
    </row>
    <row r="74" spans="2:8">
      <c r="B74" s="1203"/>
      <c r="C74" s="1220" t="s">
        <v>818</v>
      </c>
      <c r="D74" s="1221"/>
      <c r="E74" s="1222"/>
      <c r="F74" s="1236"/>
      <c r="H74" s="2359">
        <f>'条件(標準)_後'!F58</f>
        <v>0</v>
      </c>
    </row>
    <row r="75" spans="2:8">
      <c r="B75" s="1210"/>
      <c r="C75" s="1233" t="s">
        <v>819</v>
      </c>
      <c r="D75" s="1229" t="s">
        <v>820</v>
      </c>
      <c r="E75" s="1759">
        <f>IF(H74=H58,H75,(省エネ_前!I66+省エネ_前!M66+省エネ_前!N66)/CO2データ!J96*1000)</f>
        <v>0</v>
      </c>
      <c r="F75" s="1232" t="s">
        <v>821</v>
      </c>
      <c r="H75">
        <f>(省エネ_対象外!I66+省エネ_対象外!M66+省エネ_対象外!N66)/CO2データ!J96*1000</f>
        <v>0</v>
      </c>
    </row>
    <row r="76" spans="2:8">
      <c r="B76" s="1210" t="s">
        <v>918</v>
      </c>
      <c r="C76" s="1210"/>
      <c r="D76" s="1229" t="s">
        <v>822</v>
      </c>
      <c r="E76" s="1759">
        <f>IF(H74=H58,H76,-((省エネ_前!I64-省エネ_前!I65)+(省エネ_前!M64-省エネ_前!M65)+(省エネ_前!N64-省エネ_前!N65))/CO2データ!J96*1000)</f>
        <v>0</v>
      </c>
      <c r="F76" s="1232" t="s">
        <v>823</v>
      </c>
      <c r="H76">
        <f>-((省エネ_対象外!I64-省エネ_対象外!I65)+(省エネ_対象外!M64-省エネ_対象外!M65)+(省エネ_対象外!N64-省エネ_対象外!N65))/CO2データ!J96*1000</f>
        <v>0</v>
      </c>
    </row>
    <row r="77" spans="2:8">
      <c r="B77" s="1210" t="s">
        <v>824</v>
      </c>
      <c r="C77" s="1224"/>
      <c r="D77" s="1229" t="s">
        <v>825</v>
      </c>
      <c r="E77" s="1759">
        <f>E75-E76</f>
        <v>0</v>
      </c>
      <c r="F77" s="1232" t="s">
        <v>823</v>
      </c>
    </row>
    <row r="78" spans="2:8">
      <c r="B78" s="1210"/>
      <c r="C78" s="1233" t="s">
        <v>826</v>
      </c>
      <c r="D78" s="1229" t="s">
        <v>827</v>
      </c>
      <c r="E78" s="1230" t="e">
        <f>E75*E81/E$6</f>
        <v>#VALUE!</v>
      </c>
      <c r="F78" s="1760" t="s">
        <v>72</v>
      </c>
    </row>
    <row r="79" spans="2:8">
      <c r="B79" s="1210"/>
      <c r="C79" s="1210"/>
      <c r="D79" s="1229" t="s">
        <v>828</v>
      </c>
      <c r="E79" s="1230" t="e">
        <f>E78-E80</f>
        <v>#VALUE!</v>
      </c>
      <c r="F79" s="1760" t="s">
        <v>72</v>
      </c>
    </row>
    <row r="80" spans="2:8">
      <c r="B80" s="1210"/>
      <c r="C80" s="1224"/>
      <c r="D80" s="1229" t="s">
        <v>829</v>
      </c>
      <c r="E80" s="1230" t="e">
        <f>E77*E82/E$6</f>
        <v>#VALUE!</v>
      </c>
      <c r="F80" s="1760" t="s">
        <v>72</v>
      </c>
    </row>
    <row r="81" spans="2:8" hidden="1">
      <c r="B81" s="1210"/>
      <c r="C81" s="1233" t="s">
        <v>830</v>
      </c>
      <c r="D81" s="1229" t="s">
        <v>831</v>
      </c>
      <c r="E81" s="1761" t="e">
        <f>CO2データ!I95</f>
        <v>#VALUE!</v>
      </c>
      <c r="F81" s="1760" t="s">
        <v>832</v>
      </c>
    </row>
    <row r="82" spans="2:8" hidden="1">
      <c r="B82" s="1210"/>
      <c r="C82" s="1210"/>
      <c r="D82" s="1229" t="s">
        <v>829</v>
      </c>
      <c r="E82" s="1761" t="e">
        <f>CO2データ!I95</f>
        <v>#VALUE!</v>
      </c>
      <c r="F82" s="1760" t="s">
        <v>833</v>
      </c>
    </row>
    <row r="83" spans="2:8" hidden="1">
      <c r="B83" s="1210"/>
      <c r="C83" s="1224"/>
      <c r="D83" s="1229" t="s">
        <v>783</v>
      </c>
      <c r="E83" s="1230" t="s">
        <v>834</v>
      </c>
      <c r="F83" s="1232"/>
    </row>
    <row r="84" spans="2:8">
      <c r="B84" s="1210"/>
      <c r="C84" s="1220" t="s">
        <v>835</v>
      </c>
      <c r="D84" s="1221"/>
      <c r="E84" s="1222"/>
      <c r="F84" s="1236"/>
    </row>
    <row r="85" spans="2:8">
      <c r="B85" s="1210"/>
      <c r="C85" s="1762" t="s">
        <v>836</v>
      </c>
      <c r="D85" s="1225"/>
      <c r="E85" s="1763" t="e">
        <f>IF(H74=H58,H85,CO2計算_前!I125*省エネ_前!T97+CO2計算_前!I127*CO2データ!N169+CO2計算_前!I126*CO2データ!N168)</f>
        <v>#VALUE!</v>
      </c>
      <c r="F85" s="1231" t="s">
        <v>821</v>
      </c>
      <c r="H85" t="e">
        <f>CO2計算_対象外!I125*省エネ_対象外!T98+CO2計算_対象外!I127*CO2データ!N169+CO2計算_対象外!I126*CO2データ!N168</f>
        <v>#VALUE!</v>
      </c>
    </row>
    <row r="86" spans="2:8">
      <c r="B86" s="1210"/>
      <c r="C86" s="1233" t="s">
        <v>187</v>
      </c>
      <c r="D86" s="1229" t="s">
        <v>837</v>
      </c>
      <c r="E86" s="1761" t="e">
        <f>排出係数!D5*1000</f>
        <v>#VALUE!</v>
      </c>
      <c r="F86" s="1760" t="s">
        <v>838</v>
      </c>
    </row>
    <row r="87" spans="2:8">
      <c r="B87" s="1210"/>
      <c r="C87" s="1224"/>
      <c r="D87" s="1229" t="s">
        <v>839</v>
      </c>
      <c r="E87" s="1761" t="e">
        <f>排出係数!J50*1000</f>
        <v>#VALUE!</v>
      </c>
      <c r="F87" s="1760" t="s">
        <v>832</v>
      </c>
    </row>
    <row r="88" spans="2:8">
      <c r="B88" s="1210"/>
      <c r="C88" s="1233" t="s">
        <v>840</v>
      </c>
      <c r="D88" s="1764" t="s">
        <v>765</v>
      </c>
      <c r="E88" s="1765" t="e">
        <f>E85*(E86-E87)</f>
        <v>#VALUE!</v>
      </c>
      <c r="F88" s="1760" t="s">
        <v>773</v>
      </c>
    </row>
    <row r="89" spans="2:8">
      <c r="B89" s="1267"/>
      <c r="C89" s="1267"/>
      <c r="D89" s="1766" t="s">
        <v>841</v>
      </c>
      <c r="E89" s="1767" t="e">
        <f>E88/E6</f>
        <v>#VALUE!</v>
      </c>
      <c r="F89" s="1768" t="s">
        <v>72</v>
      </c>
    </row>
    <row r="90" spans="2:8"/>
  </sheetData>
  <sheetProtection password="82B4" sheet="1" objects="1" scenarios="1"/>
  <mergeCells count="9">
    <mergeCell ref="F68:F71"/>
    <mergeCell ref="B58:B65"/>
    <mergeCell ref="B68:B71"/>
    <mergeCell ref="B4:C4"/>
    <mergeCell ref="B5:B7"/>
    <mergeCell ref="B10:B33"/>
    <mergeCell ref="C68:C71"/>
    <mergeCell ref="D68:D71"/>
    <mergeCell ref="E68:E71"/>
  </mergeCells>
  <phoneticPr fontId="20"/>
  <printOptions horizontalCentered="1"/>
  <pageMargins left="0.59055118110236227" right="0.59055118110236227" top="0.78740157480314965" bottom="0.59055118110236227" header="0.51181102362204722" footer="0.51181102362204722"/>
  <pageSetup paperSize="9" scale="66" orientation="portrait" verticalDpi="0" r:id="rId1"/>
  <headerFooter alignWithMargins="0">
    <oddHeader>&amp;L&amp;F&amp;R&amp;A</oddHeader>
    <oddFooter>&amp;C&amp;P/&amp;N</oddFooter>
  </headerFooter>
  <rowBreaks count="1" manualBreakCount="1">
    <brk id="72" max="16383" man="1"/>
  </rowBreaks>
  <legacyDrawing r:id="rId2"/>
</worksheet>
</file>

<file path=xl/worksheets/sheet21.xml><?xml version="1.0" encoding="utf-8"?>
<worksheet xmlns="http://schemas.openxmlformats.org/spreadsheetml/2006/main" xmlns:r="http://schemas.openxmlformats.org/officeDocument/2006/relationships">
  <sheetPr codeName="Sheet17">
    <pageSetUpPr fitToPage="1"/>
  </sheetPr>
  <dimension ref="A1:AA184"/>
  <sheetViews>
    <sheetView showGridLines="0" topLeftCell="A4" zoomScaleNormal="100" workbookViewId="0">
      <selection activeCell="L22" sqref="L22"/>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75" customWidth="1"/>
    <col min="17" max="18" width="4.625" hidden="1" customWidth="1"/>
    <col min="19" max="19" width="5.75" hidden="1" customWidth="1"/>
    <col min="20" max="20" width="6.875" hidden="1" customWidth="1"/>
    <col min="21" max="21" width="15.625" hidden="1" customWidth="1"/>
    <col min="22" max="22" width="5" hidden="1" customWidth="1"/>
    <col min="23" max="23" width="6.125" hidden="1" customWidth="1"/>
    <col min="24" max="24" width="8" hidden="1" customWidth="1"/>
    <col min="25" max="25" width="6.375" hidden="1" customWidth="1"/>
    <col min="26" max="26" width="5" hidden="1" customWidth="1"/>
    <col min="27" max="27" width="5.25" hidden="1" customWidth="1"/>
  </cols>
  <sheetData>
    <row r="1" spans="1:21" ht="14.25" thickBot="1">
      <c r="A1" s="1815"/>
    </row>
    <row r="2" spans="1:21" ht="14.25">
      <c r="B2" s="1322" t="str">
        <f>メイン!C6</f>
        <v>CASBEE大阪みらい編（改修）</v>
      </c>
      <c r="C2" s="1323"/>
      <c r="D2" s="1324"/>
      <c r="E2" s="1325"/>
      <c r="F2" s="1827"/>
      <c r="G2" s="1827"/>
      <c r="H2" s="1827"/>
      <c r="I2" s="1827"/>
      <c r="J2" s="1827"/>
      <c r="K2" s="1827"/>
      <c r="L2" s="2977" t="s">
        <v>392</v>
      </c>
      <c r="M2" s="2977"/>
      <c r="N2" s="2978" t="str">
        <f>メイン!C6</f>
        <v>CASBEE大阪みらい編（改修）</v>
      </c>
      <c r="O2" s="2979"/>
    </row>
    <row r="3" spans="1:21" ht="14.25" thickBot="1">
      <c r="B3" s="2981" t="str">
        <f>メイン!H11</f>
        <v>新ビル</v>
      </c>
      <c r="C3" s="2982"/>
      <c r="D3" s="2982"/>
      <c r="E3" s="2983"/>
      <c r="F3" s="1827"/>
      <c r="G3" s="1827"/>
      <c r="H3" s="1827"/>
      <c r="I3" s="1827"/>
      <c r="J3" s="1827"/>
      <c r="K3" s="1827"/>
      <c r="L3" s="2977" t="s">
        <v>862</v>
      </c>
      <c r="M3" s="2980"/>
      <c r="N3" s="2306" t="str">
        <f>メイン!C5</f>
        <v>「CASBEE大阪みらい 改修」2015年版　CASBEE-BD_RN_2015(v.1.0)</v>
      </c>
      <c r="O3" s="2205"/>
    </row>
    <row r="4" spans="1:21" ht="6.75" customHeight="1" thickBot="1">
      <c r="B4" s="1827"/>
      <c r="C4" s="1827"/>
      <c r="D4" s="1827"/>
      <c r="E4" s="1827"/>
      <c r="F4" s="1827"/>
      <c r="G4" s="1827"/>
      <c r="H4" s="1827"/>
      <c r="I4" s="1827"/>
      <c r="J4" s="1827"/>
      <c r="K4" s="1827"/>
      <c r="L4" s="1827"/>
      <c r="M4" s="1827"/>
      <c r="N4" s="1827"/>
      <c r="O4" s="1827"/>
    </row>
    <row r="5" spans="1:21" ht="18.75">
      <c r="B5" s="1326" t="s">
        <v>137</v>
      </c>
      <c r="C5" s="1327"/>
      <c r="D5" s="1328"/>
      <c r="E5" s="1329"/>
      <c r="F5" s="1330"/>
      <c r="G5" s="1330"/>
      <c r="H5" s="1330"/>
      <c r="I5" s="1330"/>
      <c r="J5" s="1330"/>
      <c r="K5" s="1327"/>
      <c r="L5" s="1331"/>
      <c r="M5" s="1332"/>
      <c r="N5" s="1333"/>
      <c r="O5" s="1334"/>
    </row>
    <row r="6" spans="1:21" ht="14.25">
      <c r="B6" s="1336"/>
      <c r="C6" s="1337"/>
      <c r="D6" s="1338"/>
      <c r="E6" s="1339"/>
      <c r="F6" s="1340"/>
      <c r="G6" s="1340"/>
      <c r="H6" s="1340"/>
      <c r="I6" s="1340"/>
      <c r="J6" s="1340"/>
      <c r="K6" s="1337"/>
      <c r="L6" s="2117" t="s">
        <v>65</v>
      </c>
      <c r="M6" s="1342"/>
      <c r="N6" s="1343"/>
      <c r="O6" s="2206" t="s">
        <v>138</v>
      </c>
      <c r="R6" t="s">
        <v>420</v>
      </c>
      <c r="S6" t="s">
        <v>421</v>
      </c>
      <c r="T6" t="s">
        <v>422</v>
      </c>
      <c r="U6" t="s">
        <v>264</v>
      </c>
    </row>
    <row r="7" spans="1:21" ht="16.5">
      <c r="B7" s="1344" t="s">
        <v>139</v>
      </c>
      <c r="C7" s="1337"/>
      <c r="D7" s="1338"/>
      <c r="E7" s="1339"/>
      <c r="F7" s="1340"/>
      <c r="G7" s="1340"/>
      <c r="H7" s="1340"/>
      <c r="I7" s="1340"/>
      <c r="J7" s="1340"/>
      <c r="K7" s="1337"/>
      <c r="L7" s="1345"/>
      <c r="M7" s="1342"/>
      <c r="N7" s="1343"/>
      <c r="O7" s="1347"/>
    </row>
    <row r="8" spans="1:21" ht="14.25">
      <c r="B8" s="2111"/>
      <c r="C8" s="1348" t="s">
        <v>141</v>
      </c>
      <c r="D8" s="1349"/>
      <c r="E8" s="1339"/>
      <c r="F8" s="1340"/>
      <c r="G8" s="1340"/>
      <c r="H8" s="1345"/>
      <c r="I8" s="1346"/>
      <c r="J8" s="1345" t="s">
        <v>140</v>
      </c>
      <c r="K8" s="1346"/>
      <c r="L8" s="1345" t="s">
        <v>140</v>
      </c>
      <c r="M8" s="1346"/>
      <c r="N8" s="1346"/>
      <c r="O8" s="1347" t="s">
        <v>140</v>
      </c>
    </row>
    <row r="9" spans="1:21">
      <c r="B9" s="2111"/>
      <c r="C9" s="1357"/>
      <c r="D9" s="1357" t="s">
        <v>147</v>
      </c>
      <c r="E9" s="1354"/>
      <c r="F9" s="2207" t="s">
        <v>142</v>
      </c>
      <c r="G9" s="1354"/>
      <c r="H9" s="1351" t="s">
        <v>143</v>
      </c>
      <c r="I9" s="1351" t="s">
        <v>144</v>
      </c>
      <c r="J9" s="1351" t="s">
        <v>145</v>
      </c>
      <c r="K9" s="1352" t="s">
        <v>146</v>
      </c>
      <c r="L9" s="1353" t="s">
        <v>71</v>
      </c>
      <c r="M9" s="1354"/>
      <c r="N9" s="1352" t="s">
        <v>146</v>
      </c>
      <c r="O9" s="1355" t="s">
        <v>71</v>
      </c>
    </row>
    <row r="10" spans="1:21">
      <c r="B10" s="2160"/>
      <c r="C10" s="1357"/>
      <c r="D10" s="1357"/>
      <c r="E10" s="1357" t="s">
        <v>456</v>
      </c>
      <c r="F10" s="2208">
        <f>メイン!W52</f>
        <v>0.71801566579634468</v>
      </c>
      <c r="G10" s="1354"/>
      <c r="H10" s="2208">
        <f>IF(OR($F$20=$R$6,$F$20=$U$6),CO2データ!I12,IF($F$20=$S$6,CO2データ!L12,CO2データ!O12))</f>
        <v>11.739099999999999</v>
      </c>
      <c r="I10" s="2208">
        <f>IF(OR($F$20=$R$6,$F$20=$U$6),CO2データ!J12,IF($F$20=$S$6,CO2データ!M12,CO2データ!P12))</f>
        <v>11.739099999999999</v>
      </c>
      <c r="J10" s="2209">
        <f>IF(OR($F$20=$R$6,$F$20=$U$6),CO2データ!K12,IF($F$20=$S$6,CO2データ!N12,CO2データ!Q12))</f>
        <v>11.739099999999999</v>
      </c>
      <c r="K10" s="2192">
        <f>スコア表示!M80</f>
        <v>3</v>
      </c>
      <c r="L10" s="2210">
        <f t="shared" ref="L10:L18" si="0">IF(K10&gt;=5,$J10,IF(K10&gt;=4,$I10,$H10))</f>
        <v>11.739099999999999</v>
      </c>
      <c r="M10" s="1354"/>
      <c r="N10" s="2192">
        <v>3</v>
      </c>
      <c r="O10" s="2211">
        <f>IF(OR($F$20=$R$6,$F$20=$U$6),CO2データ!I7,IF($F$20=$S$6,CO2データ!L7,CO2データ!O7))</f>
        <v>14.004999999999999</v>
      </c>
    </row>
    <row r="11" spans="1:21">
      <c r="B11" s="2160"/>
      <c r="C11" s="1357"/>
      <c r="D11" s="2212"/>
      <c r="E11" s="1357" t="s">
        <v>159</v>
      </c>
      <c r="F11" s="2208">
        <f>メイン!W54</f>
        <v>0</v>
      </c>
      <c r="G11" s="1354"/>
      <c r="H11" s="2208">
        <f>IF(OR($F$20=$R$6,$F$20=$U$6),CO2データ!I18,IF($F$20=$S$6,CO2データ!L18,CO2データ!O18))</f>
        <v>8.8994999999999997</v>
      </c>
      <c r="I11" s="2208">
        <f>IF(OR($F$20=$R$6,$F$20=$U$6),CO2データ!J18,IF($F$20=$S$6,CO2データ!M18,CO2データ!P18))</f>
        <v>8.8994999999999997</v>
      </c>
      <c r="J11" s="2209">
        <f>IF(OR($F$20=$R$6,$F$20=$U$6),CO2データ!K18,IF($F$20=$S$6,CO2データ!N18,CO2データ!Q18))</f>
        <v>8.8994999999999997</v>
      </c>
      <c r="K11" s="2192">
        <f t="shared" ref="K11:K18" si="1">K$10</f>
        <v>3</v>
      </c>
      <c r="L11" s="2210">
        <f t="shared" si="0"/>
        <v>8.8994999999999997</v>
      </c>
      <c r="M11" s="1354"/>
      <c r="N11" s="2192">
        <f t="shared" ref="N11:N18" si="2">N$10</f>
        <v>3</v>
      </c>
      <c r="O11" s="2211">
        <f>IF(OR($F$20=$R$6,$F$20=$U$6),CO2データ!I13,IF($F$20=$S$6,CO2データ!L13,CO2データ!O13))</f>
        <v>10.473000000000001</v>
      </c>
    </row>
    <row r="12" spans="1:21">
      <c r="B12" s="2160"/>
      <c r="C12" s="1357"/>
      <c r="D12" s="1357"/>
      <c r="E12" s="1357" t="s">
        <v>460</v>
      </c>
      <c r="F12" s="2208">
        <f>メイン!W59</f>
        <v>0</v>
      </c>
      <c r="G12" s="1354"/>
      <c r="H12" s="2208">
        <f>IF(OR($F$20=$R$6,$F$20=$U$6),CO2データ!I24,IF($F$20=$S$6,CO2データ!L24,CO2データ!O24))</f>
        <v>14.121600000000003</v>
      </c>
      <c r="I12" s="2208">
        <f>IF(OR($F$20=$R$6,$F$20=$U$6),CO2データ!J24,IF($F$20=$S$6,CO2データ!M24,CO2データ!P24))</f>
        <v>14.121600000000003</v>
      </c>
      <c r="J12" s="2209">
        <f>IF(OR($F$20=$R$6,$F$20=$U$6),CO2データ!K24,IF($F$20=$S$6,CO2データ!N24,CO2データ!Q24))</f>
        <v>14.121600000000003</v>
      </c>
      <c r="K12" s="2192">
        <f t="shared" si="1"/>
        <v>3</v>
      </c>
      <c r="L12" s="2210">
        <f t="shared" si="0"/>
        <v>14.121600000000003</v>
      </c>
      <c r="M12" s="1354"/>
      <c r="N12" s="2192">
        <f t="shared" si="2"/>
        <v>3</v>
      </c>
      <c r="O12" s="2211">
        <f>IF(OR($F$20=$R$6,$F$20=$U$6),CO2データ!I19,IF($F$20=$S$6,CO2データ!L19,CO2データ!O19))</f>
        <v>16.572000000000003</v>
      </c>
    </row>
    <row r="13" spans="1:21">
      <c r="B13" s="2160"/>
      <c r="C13" s="1357"/>
      <c r="D13" s="1357"/>
      <c r="E13" s="1357" t="s">
        <v>462</v>
      </c>
      <c r="F13" s="2208">
        <f>メイン!W61</f>
        <v>0</v>
      </c>
      <c r="G13" s="1354"/>
      <c r="H13" s="2208">
        <f>IF(OR($F$20=$R$6,$F$20=$U$6),CO2データ!I30,IF($F$20=$S$6,CO2データ!L30,CO2データ!O30))</f>
        <v>14.121599999999999</v>
      </c>
      <c r="I13" s="2208">
        <f>IF(OR($F$20=$R$6,$F$20=$U$6),CO2データ!J30,IF($F$20=$S$6,CO2データ!M30,CO2データ!P30))</f>
        <v>14.121600000000003</v>
      </c>
      <c r="J13" s="2209">
        <f>IF(OR($F$20=$R$6,$F$20=$U$6),CO2データ!K30,IF($F$20=$S$6,CO2データ!N30,CO2データ!Q30))</f>
        <v>14.121600000000003</v>
      </c>
      <c r="K13" s="2192">
        <f t="shared" si="1"/>
        <v>3</v>
      </c>
      <c r="L13" s="2210">
        <f t="shared" si="0"/>
        <v>14.121599999999999</v>
      </c>
      <c r="M13" s="1354"/>
      <c r="N13" s="2192">
        <f t="shared" si="2"/>
        <v>3</v>
      </c>
      <c r="O13" s="2211">
        <f>IF(OR($F$20=$R$6,$F$20=$U$6),CO2データ!I25,IF($F$20=$S$6,CO2データ!L25,CO2データ!O25))</f>
        <v>16.571999999999999</v>
      </c>
    </row>
    <row r="14" spans="1:21">
      <c r="B14" s="2160"/>
      <c r="C14" s="1357"/>
      <c r="D14" s="1357"/>
      <c r="E14" s="151" t="s">
        <v>766</v>
      </c>
      <c r="F14" s="2208">
        <f>メイン!W62</f>
        <v>0</v>
      </c>
      <c r="G14" s="1354"/>
      <c r="H14" s="2208">
        <f>IF(OR($F$20=$R$6,$F$20=$U$6),CO2データ!I36,IF($F$20=$S$6,CO2データ!L36,CO2データ!O36))</f>
        <v>9.7101000000000006</v>
      </c>
      <c r="I14" s="2208">
        <f>IF(OR($F$20=$R$6,$F$20=$U$6),CO2データ!J36,IF($F$20=$S$6,CO2データ!M36,CO2データ!P36))</f>
        <v>9.7101000000000006</v>
      </c>
      <c r="J14" s="2209">
        <f>IF(OR($F$20=$R$6,$F$20=$U$6),CO2データ!K36,IF($F$20=$S$6,CO2データ!N36,CO2データ!Q36))</f>
        <v>9.7101000000000006</v>
      </c>
      <c r="K14" s="2192">
        <f t="shared" si="1"/>
        <v>3</v>
      </c>
      <c r="L14" s="2210">
        <f t="shared" si="0"/>
        <v>9.7101000000000006</v>
      </c>
      <c r="M14" s="1354"/>
      <c r="N14" s="2192">
        <f t="shared" si="2"/>
        <v>3</v>
      </c>
      <c r="O14" s="2211">
        <f>IF(OR($F$20=$R$6,$F$20=$U$6),CO2データ!I31,IF($F$20=$S$6,CO2データ!L31,CO2データ!O31))</f>
        <v>11.535</v>
      </c>
    </row>
    <row r="15" spans="1:21">
      <c r="B15" s="2160"/>
      <c r="C15" s="1357"/>
      <c r="D15" s="1357"/>
      <c r="E15" s="151" t="s">
        <v>472</v>
      </c>
      <c r="F15" s="2208">
        <f>メイン!W68</f>
        <v>0.26109660574412535</v>
      </c>
      <c r="G15" s="1354"/>
      <c r="H15" s="2208">
        <f>IF(OR($F$20=$R$6,$F$20=$U$6),CO2データ!I42,IF($F$20=$S$6,CO2データ!L42,CO2データ!O42))</f>
        <v>16.688899999999997</v>
      </c>
      <c r="I15" s="2208">
        <f>IF(OR($F$20=$R$6,$F$20=$U$6),CO2データ!J42,IF($F$20=$S$6,CO2データ!M42,CO2データ!P42))</f>
        <v>16.688899999999997</v>
      </c>
      <c r="J15" s="2209">
        <f>IF(OR($F$20=$R$6,$F$20=$U$6),CO2データ!K42,IF($F$20=$S$6,CO2データ!N42,CO2データ!Q42))</f>
        <v>16.688899999999997</v>
      </c>
      <c r="K15" s="2192">
        <f t="shared" si="1"/>
        <v>3</v>
      </c>
      <c r="L15" s="2210">
        <f t="shared" si="0"/>
        <v>16.688899999999997</v>
      </c>
      <c r="M15" s="1354"/>
      <c r="N15" s="2192">
        <f t="shared" si="2"/>
        <v>3</v>
      </c>
      <c r="O15" s="2211">
        <f>IF(OR($F$20=$R$6,$F$20=$U$6),CO2データ!I37,IF($F$20=$S$6,CO2データ!L37,CO2データ!O37))</f>
        <v>19.561999999999998</v>
      </c>
    </row>
    <row r="16" spans="1:21">
      <c r="B16" s="2160"/>
      <c r="C16" s="1357"/>
      <c r="D16" s="1357"/>
      <c r="E16" s="151" t="s">
        <v>466</v>
      </c>
      <c r="F16" s="2208">
        <f>メイン!W65</f>
        <v>0</v>
      </c>
      <c r="G16" s="1354"/>
      <c r="H16" s="2208">
        <f>IF(OR($F$20=$R$6,$F$20=$U$6),CO2データ!I48,IF($F$20=$S$6,CO2データ!L48,CO2データ!O48))</f>
        <v>9.1732000000000014</v>
      </c>
      <c r="I16" s="2208">
        <f>IF(OR($F$20=$R$6,$F$20=$U$6),CO2データ!J48,IF($F$20=$S$6,CO2データ!M48,CO2データ!P48))</f>
        <v>9.1732000000000014</v>
      </c>
      <c r="J16" s="2209">
        <f>IF(OR($F$20=$R$6,$F$20=$U$6),CO2データ!K48,IF($F$20=$S$6,CO2データ!N48,CO2データ!Q48))</f>
        <v>9.1732000000000014</v>
      </c>
      <c r="K16" s="2192">
        <f t="shared" si="1"/>
        <v>3</v>
      </c>
      <c r="L16" s="2210">
        <f t="shared" si="0"/>
        <v>9.1732000000000014</v>
      </c>
      <c r="M16" s="1354"/>
      <c r="N16" s="2192">
        <f t="shared" si="2"/>
        <v>3</v>
      </c>
      <c r="O16" s="2211">
        <f>IF(OR($F$20=$R$6,$F$20=$U$6),CO2データ!I43,IF($F$20=$S$6,CO2データ!L43,CO2データ!O43))</f>
        <v>10.405000000000001</v>
      </c>
    </row>
    <row r="17" spans="2:21">
      <c r="B17" s="2160"/>
      <c r="C17" s="1357"/>
      <c r="D17" s="1357"/>
      <c r="E17" s="151" t="s">
        <v>767</v>
      </c>
      <c r="F17" s="2208">
        <f>メイン!W66</f>
        <v>0</v>
      </c>
      <c r="G17" s="1354"/>
      <c r="H17" s="2208">
        <f>IF(OR($F$20=$R$6,$F$20=$U$6),CO2データ!I54,IF($F$20=$S$6,CO2データ!L54,CO2データ!O54))</f>
        <v>9.4504000000000019</v>
      </c>
      <c r="I17" s="2208">
        <f>IF(OR($F$20=$R$6,$F$20=$U$6),CO2データ!J54,IF($F$20=$S$6,CO2データ!M54,CO2データ!P54))</f>
        <v>9.4504000000000019</v>
      </c>
      <c r="J17" s="2209">
        <f>IF(OR($F$20=$R$6,$F$20=$U$6),CO2データ!K54,IF($F$20=$S$6,CO2データ!N54,CO2データ!Q54))</f>
        <v>9.4504000000000019</v>
      </c>
      <c r="K17" s="2192">
        <f t="shared" si="1"/>
        <v>3</v>
      </c>
      <c r="L17" s="2210">
        <f t="shared" si="0"/>
        <v>9.4504000000000019</v>
      </c>
      <c r="M17" s="1354"/>
      <c r="N17" s="2192">
        <f t="shared" si="2"/>
        <v>3</v>
      </c>
      <c r="O17" s="2211">
        <f>IF(OR($F$20=$R$6,$F$20=$U$6),CO2データ!I49,IF($F$20=$S$6,CO2データ!L49,CO2データ!O49))</f>
        <v>11.119000000000002</v>
      </c>
    </row>
    <row r="18" spans="2:21">
      <c r="B18" s="2160"/>
      <c r="C18" s="1357"/>
      <c r="D18" s="1357"/>
      <c r="E18" s="151" t="s">
        <v>1301</v>
      </c>
      <c r="F18" s="2208">
        <f>メイン!W67</f>
        <v>2.0887728459530026E-2</v>
      </c>
      <c r="G18" s="1354"/>
      <c r="H18" s="2208">
        <f>IF(OR($F$20=$R$6,$F$20=$U$6),CO2データ!I60,IF($F$20=$S$6,CO2データ!L60,CO2データ!O60))</f>
        <v>13.6769</v>
      </c>
      <c r="I18" s="2208">
        <f>IF(OR($F$20=$R$6,$F$20=$U$6),CO2データ!J60,IF($F$20=$S$6,CO2データ!M60,CO2データ!P60))</f>
        <v>6.8385000000000007</v>
      </c>
      <c r="J18" s="2209">
        <f>IF(OR($F$20=$R$6,$F$20=$U$6),CO2データ!K60,IF($F$20=$S$6,CO2データ!N60,CO2データ!Q60))</f>
        <v>4.5590999999999999</v>
      </c>
      <c r="K18" s="2192">
        <f t="shared" si="1"/>
        <v>3</v>
      </c>
      <c r="L18" s="2210">
        <f t="shared" si="0"/>
        <v>13.6769</v>
      </c>
      <c r="M18" s="1354"/>
      <c r="N18" s="2192">
        <f t="shared" si="2"/>
        <v>3</v>
      </c>
      <c r="O18" s="2211">
        <f>IF(OR($F$20=$R$6,$F$20=$U$6),CO2データ!I55,IF($F$20=$S$6,CO2データ!L55,CO2データ!O55))</f>
        <v>15.641</v>
      </c>
    </row>
    <row r="19" spans="2:21">
      <c r="B19" s="2160"/>
      <c r="C19" s="1357"/>
      <c r="D19" s="1357"/>
      <c r="E19" s="1357"/>
      <c r="F19" s="1357"/>
      <c r="G19" s="1357"/>
      <c r="H19" s="1357"/>
      <c r="I19" s="2213"/>
      <c r="J19" s="2213"/>
      <c r="K19" s="2214"/>
      <c r="L19" s="2215"/>
      <c r="M19" s="1354"/>
      <c r="N19" s="2214"/>
      <c r="O19" s="2216"/>
    </row>
    <row r="20" spans="2:21">
      <c r="B20" s="2160"/>
      <c r="C20" s="1354"/>
      <c r="D20" s="1354" t="s">
        <v>150</v>
      </c>
      <c r="E20" s="1354"/>
      <c r="F20" s="2217" t="str">
        <f>メイン!H23</f>
        <v>S造</v>
      </c>
      <c r="G20" s="1354"/>
      <c r="H20" s="2218"/>
      <c r="I20" s="2218"/>
      <c r="J20" s="2218"/>
      <c r="K20" s="2219"/>
      <c r="L20" s="1354"/>
      <c r="M20" s="1354"/>
      <c r="N20" s="2219"/>
      <c r="O20" s="2220"/>
    </row>
    <row r="21" spans="2:21">
      <c r="B21" s="2221"/>
      <c r="C21" s="2112"/>
      <c r="D21" s="2112" t="s">
        <v>151</v>
      </c>
      <c r="E21" s="2112"/>
      <c r="F21" s="2222">
        <f>'条件(標準)_後'!E31</f>
        <v>0.3</v>
      </c>
      <c r="G21" s="2112"/>
      <c r="H21" s="2112"/>
      <c r="I21" s="2112"/>
      <c r="J21" s="2112"/>
      <c r="K21" s="2112"/>
      <c r="L21" s="2112"/>
      <c r="M21" s="2112"/>
      <c r="N21" s="2223">
        <v>0</v>
      </c>
      <c r="O21" s="2113"/>
    </row>
    <row r="22" spans="2:21">
      <c r="B22" s="2221"/>
      <c r="C22" s="2112"/>
      <c r="D22" s="2112" t="s">
        <v>152</v>
      </c>
      <c r="E22" s="2112"/>
      <c r="F22" s="2222">
        <f>'条件(標準)_後'!E30</f>
        <v>0</v>
      </c>
      <c r="G22" s="2112"/>
      <c r="H22" s="2112"/>
      <c r="I22" s="2112"/>
      <c r="J22" s="2112"/>
      <c r="K22" s="2112"/>
      <c r="L22" s="2112"/>
      <c r="M22" s="2112"/>
      <c r="N22" s="2223">
        <v>0</v>
      </c>
      <c r="O22" s="2113"/>
    </row>
    <row r="23" spans="2:21" ht="5.25" customHeight="1" thickBot="1">
      <c r="B23" s="2221"/>
      <c r="C23" s="2112"/>
      <c r="D23" s="2112"/>
      <c r="E23" s="2112"/>
      <c r="F23" s="2112"/>
      <c r="G23" s="2112"/>
      <c r="H23" s="2112"/>
      <c r="I23" s="2112"/>
      <c r="J23" s="2112"/>
      <c r="K23" s="2112"/>
      <c r="L23" s="2112"/>
      <c r="M23" s="2112"/>
      <c r="N23" s="2112"/>
      <c r="O23" s="2113"/>
    </row>
    <row r="24" spans="2:21" ht="14.25" thickBot="1">
      <c r="B24" s="2221"/>
      <c r="C24" s="1348" t="s">
        <v>153</v>
      </c>
      <c r="D24" s="1357"/>
      <c r="E24" s="1354"/>
      <c r="F24" s="2112"/>
      <c r="G24" s="2112"/>
      <c r="H24" s="2112"/>
      <c r="I24" s="2112"/>
      <c r="J24" s="2112"/>
      <c r="K24" s="2112"/>
      <c r="L24" s="2224">
        <f>SUMPRODUCT(F10:F18,L10:L18)</f>
        <v>13.071952219321147</v>
      </c>
      <c r="M24" s="2112"/>
      <c r="N24" s="2112"/>
      <c r="O24" s="2224">
        <f>SUMPRODUCT(F10:F18,O10:O18)</f>
        <v>15.490086161879896</v>
      </c>
    </row>
    <row r="25" spans="2:21">
      <c r="B25" s="2221"/>
      <c r="C25" s="1354"/>
      <c r="D25" s="1357"/>
      <c r="E25" s="151"/>
      <c r="F25" s="2112"/>
      <c r="G25" s="2112"/>
      <c r="H25" s="2112"/>
      <c r="I25" s="2112"/>
      <c r="J25" s="2112"/>
      <c r="K25" s="2112"/>
      <c r="L25" s="2225"/>
      <c r="M25" s="2112"/>
      <c r="N25" s="2112"/>
      <c r="O25" s="2226"/>
    </row>
    <row r="26" spans="2:21" hidden="1">
      <c r="B26" s="2221"/>
      <c r="C26" s="1354" t="s">
        <v>154</v>
      </c>
      <c r="D26" s="2112"/>
      <c r="E26" s="1357" t="s">
        <v>456</v>
      </c>
      <c r="F26" s="2308">
        <f>メイン!Y52</f>
        <v>1</v>
      </c>
      <c r="G26" s="2112"/>
      <c r="H26" s="2208">
        <f>IF(OR($F$20=$R$6,$F$20=$U$6),CO2データ!I203,IF($F$20=$S$6,CO2データ!L203,CO2データ!O203))</f>
        <v>60</v>
      </c>
      <c r="I26" s="2208">
        <f>IF(OR($F$20=$R$6,$F$20=$U$6),CO2データ!J203,IF($F$20=$S$6,CO2データ!M203,CO2データ!P203))</f>
        <v>60</v>
      </c>
      <c r="J26" s="2208">
        <f>IF(OR($F$20=$R$6,$F$20=$U$6),CO2データ!K203,IF($F$20=$S$6,CO2データ!N203,CO2データ!Q203))</f>
        <v>60</v>
      </c>
      <c r="K26" s="2227">
        <f t="shared" ref="K26:K34" si="3">K10</f>
        <v>3</v>
      </c>
      <c r="L26" s="2228">
        <f t="shared" ref="L26:L34" si="4">IF($F26=1,IF($K26&lt;4,$H26,IF($K26&lt;5,$I26,$J26)),0)</f>
        <v>60</v>
      </c>
      <c r="M26" s="2112"/>
      <c r="N26" s="2192">
        <v>3</v>
      </c>
      <c r="O26" s="2229">
        <f t="shared" ref="O26:O34" si="5">IF($F26=1,IF($N26&lt;4,$H26,IF($N26&lt;5,$I26,$J26)),0)</f>
        <v>60</v>
      </c>
      <c r="R26" t="str">
        <f t="shared" ref="R26:R34" si="6">IF($F26&lt;&gt;1,"",$E26&amp;"部分"&amp;L26&amp;"年,")</f>
        <v>事務所部分60年,</v>
      </c>
      <c r="U26" t="str">
        <f t="shared" ref="U26:U34" si="7">IF($F26&lt;&gt;1,"",$E26&amp;"部分"&amp;O26&amp;"年,")</f>
        <v>事務所部分60年,</v>
      </c>
    </row>
    <row r="27" spans="2:21" hidden="1">
      <c r="B27" s="2221"/>
      <c r="C27" s="1354"/>
      <c r="D27" s="2112"/>
      <c r="E27" s="1357" t="s">
        <v>458</v>
      </c>
      <c r="F27" s="2308">
        <f>メイン!Y54</f>
        <v>0</v>
      </c>
      <c r="G27" s="2112"/>
      <c r="H27" s="2208">
        <f>IF(OR($F$20=$R$6,$F$20=$U$6),CO2データ!I204,IF($F$20=$S$6,CO2データ!L204,CO2データ!O204))</f>
        <v>60</v>
      </c>
      <c r="I27" s="2208">
        <f>IF(OR($F$20=$R$6,$F$20=$U$6),CO2データ!J204,IF($F$20=$S$6,CO2データ!M204,CO2データ!P204))</f>
        <v>60</v>
      </c>
      <c r="J27" s="2208">
        <f>IF(OR($F$20=$R$6,$F$20=$U$6),CO2データ!K204,IF($F$20=$S$6,CO2データ!N204,CO2データ!Q204))</f>
        <v>60</v>
      </c>
      <c r="K27" s="2227">
        <f t="shared" si="3"/>
        <v>3</v>
      </c>
      <c r="L27" s="2228">
        <f t="shared" si="4"/>
        <v>0</v>
      </c>
      <c r="M27" s="2112"/>
      <c r="N27" s="2192">
        <v>3</v>
      </c>
      <c r="O27" s="2229">
        <f t="shared" si="5"/>
        <v>0</v>
      </c>
      <c r="R27" t="str">
        <f t="shared" si="6"/>
        <v/>
      </c>
      <c r="U27" t="str">
        <f t="shared" si="7"/>
        <v/>
      </c>
    </row>
    <row r="28" spans="2:21" hidden="1">
      <c r="B28" s="2221"/>
      <c r="C28" s="1354"/>
      <c r="D28" s="2112"/>
      <c r="E28" s="1357" t="s">
        <v>460</v>
      </c>
      <c r="F28" s="2308">
        <f>メイン!Y59</f>
        <v>0</v>
      </c>
      <c r="G28" s="2112"/>
      <c r="H28" s="2208">
        <f>IF(OR($F$20=$R$6,$F$20=$U$6),CO2データ!I205,IF($F$20=$S$6,CO2データ!L205,CO2データ!O205))</f>
        <v>30</v>
      </c>
      <c r="I28" s="2208">
        <f>IF(OR($F$20=$R$6,$F$20=$U$6),CO2データ!J205,IF($F$20=$S$6,CO2データ!M205,CO2データ!P205))</f>
        <v>30</v>
      </c>
      <c r="J28" s="2208">
        <f>IF(OR($F$20=$R$6,$F$20=$U$6),CO2データ!K205,IF($F$20=$S$6,CO2データ!N205,CO2データ!Q205))</f>
        <v>30</v>
      </c>
      <c r="K28" s="2227">
        <f t="shared" si="3"/>
        <v>3</v>
      </c>
      <c r="L28" s="2228">
        <f t="shared" si="4"/>
        <v>0</v>
      </c>
      <c r="M28" s="2112"/>
      <c r="N28" s="2192">
        <v>3</v>
      </c>
      <c r="O28" s="2229">
        <f t="shared" si="5"/>
        <v>0</v>
      </c>
      <c r="R28" t="str">
        <f t="shared" si="6"/>
        <v/>
      </c>
      <c r="U28" t="str">
        <f t="shared" si="7"/>
        <v/>
      </c>
    </row>
    <row r="29" spans="2:21" hidden="1">
      <c r="B29" s="2221"/>
      <c r="C29" s="1354"/>
      <c r="D29" s="2112"/>
      <c r="E29" s="1357" t="s">
        <v>462</v>
      </c>
      <c r="F29" s="2308">
        <f>メイン!Y61</f>
        <v>0</v>
      </c>
      <c r="G29" s="2112"/>
      <c r="H29" s="2208">
        <f>IF(OR($F$20=$R$6,$F$20=$U$6),CO2データ!I206,IF($F$20=$S$6,CO2データ!L206,CO2データ!O206))</f>
        <v>30</v>
      </c>
      <c r="I29" s="2208">
        <f>IF(OR($F$20=$R$6,$F$20=$U$6),CO2データ!J206,IF($F$20=$S$6,CO2データ!M206,CO2データ!P206))</f>
        <v>30</v>
      </c>
      <c r="J29" s="2208">
        <f>IF(OR($F$20=$R$6,$F$20=$U$6),CO2データ!K206,IF($F$20=$S$6,CO2データ!N206,CO2データ!Q206))</f>
        <v>30</v>
      </c>
      <c r="K29" s="2227">
        <f t="shared" si="3"/>
        <v>3</v>
      </c>
      <c r="L29" s="2228">
        <f t="shared" si="4"/>
        <v>0</v>
      </c>
      <c r="M29" s="2112"/>
      <c r="N29" s="2192">
        <v>3</v>
      </c>
      <c r="O29" s="2229">
        <f t="shared" si="5"/>
        <v>0</v>
      </c>
      <c r="R29" t="str">
        <f t="shared" si="6"/>
        <v/>
      </c>
      <c r="U29" t="str">
        <f t="shared" si="7"/>
        <v/>
      </c>
    </row>
    <row r="30" spans="2:21" hidden="1">
      <c r="B30" s="2221"/>
      <c r="C30" s="1354"/>
      <c r="D30" s="2112"/>
      <c r="E30" s="151" t="s">
        <v>766</v>
      </c>
      <c r="F30" s="2308">
        <f>メイン!Y62</f>
        <v>0</v>
      </c>
      <c r="G30" s="2112"/>
      <c r="H30" s="2208">
        <f>IF(OR($F$20=$R$6,$F$20=$U$6),CO2データ!I207,IF($F$20=$S$6,CO2データ!L207,CO2データ!O207))</f>
        <v>60</v>
      </c>
      <c r="I30" s="2208">
        <f>IF(OR($F$20=$R$6,$F$20=$U$6),CO2データ!J207,IF($F$20=$S$6,CO2データ!M207,CO2データ!P207))</f>
        <v>60</v>
      </c>
      <c r="J30" s="2208">
        <f>IF(OR($F$20=$R$6,$F$20=$U$6),CO2データ!K207,IF($F$20=$S$6,CO2データ!N207,CO2データ!Q207))</f>
        <v>60</v>
      </c>
      <c r="K30" s="2227">
        <f t="shared" si="3"/>
        <v>3</v>
      </c>
      <c r="L30" s="2228">
        <f t="shared" si="4"/>
        <v>0</v>
      </c>
      <c r="M30" s="2112"/>
      <c r="N30" s="2192">
        <v>3</v>
      </c>
      <c r="O30" s="2229">
        <f t="shared" si="5"/>
        <v>0</v>
      </c>
      <c r="R30" t="str">
        <f t="shared" si="6"/>
        <v/>
      </c>
      <c r="U30" t="str">
        <f t="shared" si="7"/>
        <v/>
      </c>
    </row>
    <row r="31" spans="2:21" hidden="1">
      <c r="B31" s="2221"/>
      <c r="C31" s="1354"/>
      <c r="D31" s="2112"/>
      <c r="E31" s="151" t="s">
        <v>472</v>
      </c>
      <c r="F31" s="2308">
        <f>メイン!Y68</f>
        <v>2</v>
      </c>
      <c r="G31" s="2112"/>
      <c r="H31" s="2208">
        <f>IF(OR($F$20=$R$6,$F$20=$U$6),CO2データ!I208,IF($F$20=$S$6,CO2データ!L208,CO2データ!O208))</f>
        <v>30</v>
      </c>
      <c r="I31" s="2208">
        <f>IF(OR($F$20=$R$6,$F$20=$U$6),CO2データ!J208,IF($F$20=$S$6,CO2データ!M208,CO2データ!P208))</f>
        <v>30</v>
      </c>
      <c r="J31" s="2208">
        <f>IF(OR($F$20=$R$6,$F$20=$U$6),CO2データ!K208,IF($F$20=$S$6,CO2データ!N208,CO2データ!Q208))</f>
        <v>30</v>
      </c>
      <c r="K31" s="2227">
        <f t="shared" si="3"/>
        <v>3</v>
      </c>
      <c r="L31" s="2228">
        <f t="shared" si="4"/>
        <v>0</v>
      </c>
      <c r="M31" s="2112"/>
      <c r="N31" s="2192">
        <v>3</v>
      </c>
      <c r="O31" s="2229">
        <f t="shared" si="5"/>
        <v>0</v>
      </c>
      <c r="R31" t="str">
        <f t="shared" si="6"/>
        <v/>
      </c>
      <c r="U31" t="str">
        <f t="shared" si="7"/>
        <v/>
      </c>
    </row>
    <row r="32" spans="2:21" hidden="1">
      <c r="B32" s="2221"/>
      <c r="C32" s="1354"/>
      <c r="D32" s="2112"/>
      <c r="E32" s="151" t="s">
        <v>466</v>
      </c>
      <c r="F32" s="2308">
        <f>メイン!Y65</f>
        <v>0</v>
      </c>
      <c r="G32" s="2112"/>
      <c r="H32" s="2208">
        <f>IF(OR($F$20=$R$6,$F$20=$U$6),CO2データ!I209,IF($F$20=$S$6,CO2データ!L209,CO2データ!O209))</f>
        <v>60</v>
      </c>
      <c r="I32" s="2208">
        <f>IF(OR($F$20=$R$6,$F$20=$U$6),CO2データ!J209,IF($F$20=$S$6,CO2データ!M209,CO2データ!P209))</f>
        <v>60</v>
      </c>
      <c r="J32" s="2208">
        <f>IF(OR($F$20=$R$6,$F$20=$U$6),CO2データ!K209,IF($F$20=$S$6,CO2データ!N209,CO2データ!Q209))</f>
        <v>60</v>
      </c>
      <c r="K32" s="2227">
        <f t="shared" si="3"/>
        <v>3</v>
      </c>
      <c r="L32" s="2228">
        <f t="shared" si="4"/>
        <v>0</v>
      </c>
      <c r="M32" s="2112"/>
      <c r="N32" s="2192">
        <v>3</v>
      </c>
      <c r="O32" s="2229">
        <f t="shared" si="5"/>
        <v>0</v>
      </c>
      <c r="R32" t="str">
        <f t="shared" si="6"/>
        <v/>
      </c>
      <c r="U32" t="str">
        <f t="shared" si="7"/>
        <v/>
      </c>
    </row>
    <row r="33" spans="2:21" hidden="1">
      <c r="B33" s="2221"/>
      <c r="C33" s="1354"/>
      <c r="D33" s="2112"/>
      <c r="E33" s="151" t="s">
        <v>767</v>
      </c>
      <c r="F33" s="2308">
        <f>メイン!Y66</f>
        <v>0</v>
      </c>
      <c r="G33" s="2112"/>
      <c r="H33" s="2208">
        <f>IF(OR($F$20=$R$6,$F$20=$U$6),CO2データ!I210,IF($F$20=$S$6,CO2データ!L210,CO2データ!O210))</f>
        <v>60</v>
      </c>
      <c r="I33" s="2208">
        <f>IF(OR($F$20=$R$6,$F$20=$U$6),CO2データ!J210,IF($F$20=$S$6,CO2データ!M210,CO2データ!P210))</f>
        <v>60</v>
      </c>
      <c r="J33" s="2208">
        <f>IF(OR($F$20=$R$6,$F$20=$U$6),CO2データ!K210,IF($F$20=$S$6,CO2データ!N210,CO2データ!Q210))</f>
        <v>60</v>
      </c>
      <c r="K33" s="2227">
        <f t="shared" si="3"/>
        <v>3</v>
      </c>
      <c r="L33" s="2228">
        <f t="shared" si="4"/>
        <v>0</v>
      </c>
      <c r="M33" s="2112"/>
      <c r="N33" s="2192">
        <v>3</v>
      </c>
      <c r="O33" s="2229">
        <f t="shared" si="5"/>
        <v>0</v>
      </c>
      <c r="R33" t="str">
        <f t="shared" si="6"/>
        <v/>
      </c>
      <c r="U33" t="str">
        <f t="shared" si="7"/>
        <v/>
      </c>
    </row>
    <row r="34" spans="2:21" ht="14.25" hidden="1" thickBot="1">
      <c r="B34" s="2221"/>
      <c r="C34" s="1354"/>
      <c r="D34" s="2112"/>
      <c r="E34" s="151" t="s">
        <v>470</v>
      </c>
      <c r="F34" s="2308">
        <f>メイン!Y67</f>
        <v>3</v>
      </c>
      <c r="G34" s="2112"/>
      <c r="H34" s="2208">
        <f>IF(OR($F$20=$R$6,$F$20=$U$6),CO2データ!I211,IF($F$20=$S$6,CO2データ!L211,CO2データ!O211))</f>
        <v>30</v>
      </c>
      <c r="I34" s="2208">
        <f>IF(OR($F$20=$R$6,$F$20=$U$6),CO2データ!J211,IF($F$20=$S$6,CO2データ!M211,CO2データ!P211))</f>
        <v>60</v>
      </c>
      <c r="J34" s="2208">
        <f>IF(OR($F$20=$R$6,$F$20=$U$6),CO2データ!K211,IF($F$20=$S$6,CO2データ!N211,CO2データ!Q211))</f>
        <v>90</v>
      </c>
      <c r="K34" s="2227">
        <f t="shared" si="3"/>
        <v>3</v>
      </c>
      <c r="L34" s="2228">
        <f t="shared" si="4"/>
        <v>0</v>
      </c>
      <c r="M34" s="2112"/>
      <c r="N34" s="2192">
        <v>3</v>
      </c>
      <c r="O34" s="2229">
        <f t="shared" si="5"/>
        <v>0</v>
      </c>
      <c r="R34" t="str">
        <f t="shared" si="6"/>
        <v/>
      </c>
      <c r="U34" t="str">
        <f t="shared" si="7"/>
        <v/>
      </c>
    </row>
    <row r="35" spans="2:21" ht="14.25" hidden="1" thickBot="1">
      <c r="B35" s="2221"/>
      <c r="C35" s="1354"/>
      <c r="D35" s="2112"/>
      <c r="E35" s="151"/>
      <c r="F35" s="151"/>
      <c r="G35" s="151"/>
      <c r="H35" s="151"/>
      <c r="I35" s="151"/>
      <c r="J35" s="151"/>
      <c r="K35" s="151"/>
      <c r="L35" s="2230" t="str">
        <f>R26&amp;R27&amp;R28&amp;R29&amp;R30&amp;R31&amp;R32&amp;R33&amp;R34&amp;R35</f>
        <v>事務所部分60年,他</v>
      </c>
      <c r="M35" s="151"/>
      <c r="N35" s="151"/>
      <c r="O35" s="2230" t="str">
        <f>U26&amp;U27&amp;U28&amp;U29&amp;U30&amp;U31&amp;U32&amp;U33&amp;U34&amp;U35</f>
        <v>事務所部分60年,他</v>
      </c>
      <c r="R35" t="str">
        <f>IF(SUM(F26:F34)&gt;1,"他","")</f>
        <v>他</v>
      </c>
      <c r="U35" t="str">
        <f>IF(SUM(F26:F34)&gt;1,"他","")</f>
        <v>他</v>
      </c>
    </row>
    <row r="36" spans="2:21" hidden="1">
      <c r="B36" s="2221"/>
      <c r="C36" s="1354"/>
      <c r="D36" s="2112"/>
      <c r="E36" s="151"/>
      <c r="F36" s="151"/>
      <c r="G36" s="151"/>
      <c r="H36" s="151"/>
      <c r="I36" s="151"/>
      <c r="J36" s="151"/>
      <c r="K36" s="151"/>
      <c r="L36" s="151"/>
      <c r="M36" s="151"/>
      <c r="N36" s="151"/>
      <c r="O36" s="2231"/>
    </row>
    <row r="37" spans="2:21" hidden="1">
      <c r="B37" s="2232"/>
      <c r="C37" s="2233" t="s">
        <v>80</v>
      </c>
      <c r="D37" s="2233"/>
      <c r="E37" s="2162"/>
      <c r="F37" s="2162"/>
      <c r="G37" s="2162"/>
      <c r="H37" s="2234"/>
      <c r="I37" s="2235" t="s">
        <v>155</v>
      </c>
      <c r="J37" s="2235" t="s">
        <v>156</v>
      </c>
      <c r="K37" s="2236"/>
      <c r="L37" s="2236"/>
      <c r="M37" s="2236"/>
      <c r="N37" s="2236"/>
      <c r="O37" s="2237"/>
    </row>
    <row r="38" spans="2:21" hidden="1">
      <c r="B38" s="2232"/>
      <c r="C38" s="2162"/>
      <c r="D38" s="2162" t="s">
        <v>157</v>
      </c>
      <c r="E38" s="2162"/>
      <c r="F38" s="2208">
        <f>F10</f>
        <v>0.71801566579634468</v>
      </c>
      <c r="G38" s="2162"/>
      <c r="H38" s="2208">
        <f>IF(OR($F$20=$R$6,$F$20=$U$6),CO2データ!I214,IF($F$20=$S$6,CO2データ!L214,CO2データ!O214))</f>
        <v>0.56699999999999995</v>
      </c>
      <c r="I38" s="2208">
        <f>IF(OR($F$20=$R$6,$F$20=$U$6),CO2データ!J214,IF($F$20=$S$6,CO2データ!M214,CO2データ!P214))</f>
        <v>0</v>
      </c>
      <c r="J38" s="2208">
        <f>IF(OR($F$20=$R$6,$F$20=$U$6),CO2データ!K214,IF($F$20=$S$6,CO2データ!N214,CO2データ!Q214))</f>
        <v>0</v>
      </c>
      <c r="K38" s="2236"/>
      <c r="L38" s="2234">
        <f t="shared" ref="L38:L91" si="8">H38-(H38-I38)*$F$21-(H38-J38)*$F$22</f>
        <v>0.39689999999999998</v>
      </c>
      <c r="M38" s="2236"/>
      <c r="N38" s="2234"/>
      <c r="O38" s="2238">
        <f t="shared" ref="O38:O91" si="9">H38</f>
        <v>0.56699999999999995</v>
      </c>
      <c r="P38" t="s">
        <v>158</v>
      </c>
    </row>
    <row r="39" spans="2:21" hidden="1">
      <c r="B39" s="2232"/>
      <c r="C39" s="2162"/>
      <c r="D39" s="2162"/>
      <c r="E39" s="2162"/>
      <c r="F39" s="2208">
        <f>$F$38</f>
        <v>0.71801566579634468</v>
      </c>
      <c r="G39" s="2162"/>
      <c r="H39" s="2208">
        <f>IF(OR($F$20=$R$6,$F$20=$U$6),CO2データ!I215,IF($F$20=$S$6,CO2データ!L215,CO2データ!O215))</f>
        <v>0</v>
      </c>
      <c r="I39" s="2208">
        <f>IF(OR($F$20=$R$6,$F$20=$U$6),CO2データ!J215,IF($F$20=$S$6,CO2データ!M215,CO2データ!P215))</f>
        <v>0</v>
      </c>
      <c r="J39" s="2208">
        <f>IF(OR($F$20=$R$6,$F$20=$U$6),CO2データ!K215,IF($F$20=$S$6,CO2データ!N215,CO2データ!Q215))</f>
        <v>0.56699999999999995</v>
      </c>
      <c r="K39" s="2236"/>
      <c r="L39" s="2234">
        <f t="shared" si="8"/>
        <v>0</v>
      </c>
      <c r="M39" s="2236"/>
      <c r="N39" s="2234"/>
      <c r="O39" s="2238">
        <f t="shared" si="9"/>
        <v>0</v>
      </c>
      <c r="P39" t="s">
        <v>158</v>
      </c>
    </row>
    <row r="40" spans="2:21" hidden="1">
      <c r="B40" s="2232"/>
      <c r="C40" s="2162"/>
      <c r="D40" s="2162"/>
      <c r="E40" s="2162"/>
      <c r="F40" s="2208">
        <f>$F$38</f>
        <v>0.71801566579634468</v>
      </c>
      <c r="G40" s="2162"/>
      <c r="H40" s="2208">
        <f>IF(OR($F$20=$R$6,$F$20=$U$6),CO2データ!I216,IF($F$20=$S$6,CO2データ!L216,CO2データ!O216))</f>
        <v>0.13600000000000001</v>
      </c>
      <c r="I40" s="2208">
        <f>IF(OR($F$20=$R$6,$F$20=$U$6),CO2データ!J216,IF($F$20=$S$6,CO2データ!M216,CO2データ!P216))</f>
        <v>0</v>
      </c>
      <c r="J40" s="2208">
        <f>IF(OR($F$20=$R$6,$F$20=$U$6),CO2データ!K216,IF($F$20=$S$6,CO2データ!N216,CO2データ!Q216))</f>
        <v>0.13600000000000001</v>
      </c>
      <c r="K40" s="2236"/>
      <c r="L40" s="2234">
        <f t="shared" si="8"/>
        <v>9.5200000000000007E-2</v>
      </c>
      <c r="M40" s="2236"/>
      <c r="N40" s="2234"/>
      <c r="O40" s="2238">
        <f t="shared" si="9"/>
        <v>0.13600000000000001</v>
      </c>
      <c r="P40" t="s">
        <v>85</v>
      </c>
    </row>
    <row r="41" spans="2:21" hidden="1">
      <c r="B41" s="2232"/>
      <c r="C41" s="2162"/>
      <c r="D41" s="2162"/>
      <c r="E41" s="2162"/>
      <c r="F41" s="2208">
        <f>$F$38</f>
        <v>0.71801566579634468</v>
      </c>
      <c r="G41" s="2162"/>
      <c r="H41" s="2208">
        <f>IF(OR($F$20=$R$6,$F$20=$U$6),CO2データ!I217,IF($F$20=$S$6,CO2データ!L217,CO2データ!O217))</f>
        <v>0</v>
      </c>
      <c r="I41" s="2208">
        <f>IF(OR($F$20=$R$6,$F$20=$U$6),CO2データ!J217,IF($F$20=$S$6,CO2データ!M217,CO2データ!P217))</f>
        <v>0</v>
      </c>
      <c r="J41" s="2208">
        <f>IF(OR($F$20=$R$6,$F$20=$U$6),CO2データ!K217,IF($F$20=$S$6,CO2データ!N217,CO2データ!Q217))</f>
        <v>0</v>
      </c>
      <c r="K41" s="2236"/>
      <c r="L41" s="2234">
        <f t="shared" si="8"/>
        <v>0</v>
      </c>
      <c r="M41" s="2236"/>
      <c r="N41" s="2234"/>
      <c r="O41" s="2238">
        <f t="shared" si="9"/>
        <v>0</v>
      </c>
      <c r="P41" t="s">
        <v>85</v>
      </c>
    </row>
    <row r="42" spans="2:21" hidden="1">
      <c r="B42" s="2232"/>
      <c r="C42" s="2162"/>
      <c r="D42" s="2162"/>
      <c r="E42" s="2162"/>
      <c r="F42" s="2208">
        <f>$F$38</f>
        <v>0.71801566579634468</v>
      </c>
      <c r="G42" s="2162"/>
      <c r="H42" s="2208">
        <f>IF(OR($F$20=$R$6,$F$20=$U$6),CO2データ!I218,IF($F$20=$S$6,CO2データ!L218,CO2データ!O218))</f>
        <v>7.0000000000000007E-2</v>
      </c>
      <c r="I42" s="2208">
        <f>IF(OR($F$20=$R$6,$F$20=$U$6),CO2データ!J218,IF($F$20=$S$6,CO2データ!M218,CO2データ!P218))</f>
        <v>0</v>
      </c>
      <c r="J42" s="2208">
        <f>IF(OR($F$20=$R$6,$F$20=$U$6),CO2データ!K218,IF($F$20=$S$6,CO2データ!N218,CO2データ!Q218))</f>
        <v>7.0000000000000007E-2</v>
      </c>
      <c r="K42" s="2236"/>
      <c r="L42" s="2234">
        <f t="shared" si="8"/>
        <v>4.9000000000000002E-2</v>
      </c>
      <c r="M42" s="2236"/>
      <c r="N42" s="2234"/>
      <c r="O42" s="2238">
        <f t="shared" si="9"/>
        <v>7.0000000000000007E-2</v>
      </c>
      <c r="P42" t="s">
        <v>85</v>
      </c>
    </row>
    <row r="43" spans="2:21" hidden="1">
      <c r="B43" s="2232"/>
      <c r="C43" s="2162"/>
      <c r="D43" s="2162"/>
      <c r="E43" s="2162"/>
      <c r="F43" s="2208">
        <f>$F$38</f>
        <v>0.71801566579634468</v>
      </c>
      <c r="G43" s="2162"/>
      <c r="H43" s="2208">
        <f>IF(OR($F$20=$R$6,$F$20=$U$6),CO2データ!I219,IF($F$20=$S$6,CO2データ!L219,CO2データ!O219))</f>
        <v>5.0000000000000001E-3</v>
      </c>
      <c r="I43" s="2208">
        <f>IF(OR($F$20=$R$6,$F$20=$U$6),CO2データ!J219,IF($F$20=$S$6,CO2データ!M219,CO2データ!P219))</f>
        <v>0</v>
      </c>
      <c r="J43" s="2208">
        <f>IF(OR($F$20=$R$6,$F$20=$U$6),CO2データ!K219,IF($F$20=$S$6,CO2データ!N219,CO2データ!Q219))</f>
        <v>5.0000000000000001E-3</v>
      </c>
      <c r="K43" s="2236"/>
      <c r="L43" s="2234">
        <f t="shared" si="8"/>
        <v>3.5000000000000001E-3</v>
      </c>
      <c r="M43" s="2236"/>
      <c r="N43" s="2234"/>
      <c r="O43" s="2238">
        <f t="shared" si="9"/>
        <v>5.0000000000000001E-3</v>
      </c>
      <c r="P43" t="s">
        <v>85</v>
      </c>
    </row>
    <row r="44" spans="2:21" hidden="1">
      <c r="B44" s="2232"/>
      <c r="C44" s="2162"/>
      <c r="D44" s="2162" t="s">
        <v>159</v>
      </c>
      <c r="E44" s="2162"/>
      <c r="F44" s="2208">
        <f>F11</f>
        <v>0</v>
      </c>
      <c r="G44" s="2162"/>
      <c r="H44" s="2208">
        <f>IF(OR($F$20=$R$6,$F$20=$U$6),CO2データ!I220,IF($F$20=$S$6,CO2データ!L220,CO2データ!O220))</f>
        <v>0.35199999999999998</v>
      </c>
      <c r="I44" s="2208">
        <f>IF(OR($F$20=$R$6,$F$20=$U$6),CO2データ!J220,IF($F$20=$S$6,CO2データ!M220,CO2データ!P220))</f>
        <v>0</v>
      </c>
      <c r="J44" s="2208">
        <f>IF(OR($F$20=$R$6,$F$20=$U$6),CO2データ!K220,IF($F$20=$S$6,CO2データ!N220,CO2データ!Q220))</f>
        <v>0</v>
      </c>
      <c r="K44" s="2236"/>
      <c r="L44" s="2234">
        <f t="shared" si="8"/>
        <v>0.24640000000000001</v>
      </c>
      <c r="M44" s="2236"/>
      <c r="N44" s="2234"/>
      <c r="O44" s="2238">
        <f t="shared" si="9"/>
        <v>0.35199999999999998</v>
      </c>
      <c r="P44" t="s">
        <v>158</v>
      </c>
    </row>
    <row r="45" spans="2:21" hidden="1">
      <c r="B45" s="2232"/>
      <c r="C45" s="2162"/>
      <c r="D45" s="2162"/>
      <c r="E45" s="2162"/>
      <c r="F45" s="2208">
        <f>$F$44</f>
        <v>0</v>
      </c>
      <c r="G45" s="2162"/>
      <c r="H45" s="2208">
        <f>IF(OR($F$20=$R$6,$F$20=$U$6),CO2データ!I221,IF($F$20=$S$6,CO2データ!L221,CO2データ!O221))</f>
        <v>0</v>
      </c>
      <c r="I45" s="2208">
        <f>IF(OR($F$20=$R$6,$F$20=$U$6),CO2データ!J221,IF($F$20=$S$6,CO2データ!M221,CO2データ!P221))</f>
        <v>0</v>
      </c>
      <c r="J45" s="2208">
        <f>IF(OR($F$20=$R$6,$F$20=$U$6),CO2データ!K221,IF($F$20=$S$6,CO2データ!N221,CO2データ!Q221))</f>
        <v>0.35199999999999998</v>
      </c>
      <c r="K45" s="2236"/>
      <c r="L45" s="2234">
        <f t="shared" si="8"/>
        <v>0</v>
      </c>
      <c r="M45" s="2236"/>
      <c r="N45" s="2234"/>
      <c r="O45" s="2238">
        <f t="shared" si="9"/>
        <v>0</v>
      </c>
      <c r="P45" t="s">
        <v>158</v>
      </c>
    </row>
    <row r="46" spans="2:21" hidden="1">
      <c r="B46" s="2232"/>
      <c r="C46" s="2162"/>
      <c r="D46" s="2162"/>
      <c r="E46" s="2162"/>
      <c r="F46" s="2208">
        <f>$F$44</f>
        <v>0</v>
      </c>
      <c r="G46" s="2162"/>
      <c r="H46" s="2208">
        <f>IF(OR($F$20=$R$6,$F$20=$U$6),CO2データ!I222,IF($F$20=$S$6,CO2データ!L222,CO2データ!O222))</f>
        <v>0.105</v>
      </c>
      <c r="I46" s="2208">
        <f>IF(OR($F$20=$R$6,$F$20=$U$6),CO2データ!J222,IF($F$20=$S$6,CO2データ!M222,CO2データ!P222))</f>
        <v>0</v>
      </c>
      <c r="J46" s="2208">
        <f>IF(OR($F$20=$R$6,$F$20=$U$6),CO2データ!K222,IF($F$20=$S$6,CO2データ!N222,CO2データ!Q222))</f>
        <v>0.105</v>
      </c>
      <c r="K46" s="2236"/>
      <c r="L46" s="2234">
        <f t="shared" si="8"/>
        <v>7.3499999999999996E-2</v>
      </c>
      <c r="M46" s="2236"/>
      <c r="N46" s="2234"/>
      <c r="O46" s="2238">
        <f t="shared" si="9"/>
        <v>0.105</v>
      </c>
      <c r="P46" t="s">
        <v>85</v>
      </c>
    </row>
    <row r="47" spans="2:21" hidden="1">
      <c r="B47" s="2232"/>
      <c r="C47" s="2162"/>
      <c r="D47" s="2162"/>
      <c r="E47" s="2162"/>
      <c r="F47" s="2208">
        <f>$F$44</f>
        <v>0</v>
      </c>
      <c r="G47" s="2162"/>
      <c r="H47" s="2208">
        <f>IF(OR($F$20=$R$6,$F$20=$U$6),CO2データ!I223,IF($F$20=$S$6,CO2データ!L223,CO2データ!O223))</f>
        <v>0</v>
      </c>
      <c r="I47" s="2208">
        <f>IF(OR($F$20=$R$6,$F$20=$U$6),CO2データ!J223,IF($F$20=$S$6,CO2データ!M223,CO2データ!P223))</f>
        <v>0</v>
      </c>
      <c r="J47" s="2208">
        <f>IF(OR($F$20=$R$6,$F$20=$U$6),CO2データ!K223,IF($F$20=$S$6,CO2データ!N223,CO2データ!Q223))</f>
        <v>0</v>
      </c>
      <c r="K47" s="2236"/>
      <c r="L47" s="2234">
        <f t="shared" si="8"/>
        <v>0</v>
      </c>
      <c r="M47" s="2236"/>
      <c r="N47" s="2234"/>
      <c r="O47" s="2238">
        <f t="shared" si="9"/>
        <v>0</v>
      </c>
      <c r="P47" t="s">
        <v>85</v>
      </c>
    </row>
    <row r="48" spans="2:21" hidden="1">
      <c r="B48" s="2232"/>
      <c r="C48" s="2162"/>
      <c r="D48" s="2162"/>
      <c r="E48" s="2162"/>
      <c r="F48" s="2208">
        <f>$F$44</f>
        <v>0</v>
      </c>
      <c r="G48" s="2162"/>
      <c r="H48" s="2208">
        <f>IF(OR($F$20=$R$6,$F$20=$U$6),CO2データ!I224,IF($F$20=$S$6,CO2データ!L224,CO2データ!O224))</f>
        <v>4.4999999999999998E-2</v>
      </c>
      <c r="I48" s="2208">
        <f>IF(OR($F$20=$R$6,$F$20=$U$6),CO2データ!J224,IF($F$20=$S$6,CO2データ!M224,CO2データ!P224))</f>
        <v>0</v>
      </c>
      <c r="J48" s="2208">
        <f>IF(OR($F$20=$R$6,$F$20=$U$6),CO2データ!K224,IF($F$20=$S$6,CO2データ!N224,CO2データ!Q224))</f>
        <v>4.4999999999999998E-2</v>
      </c>
      <c r="K48" s="2236"/>
      <c r="L48" s="2234">
        <f t="shared" si="8"/>
        <v>3.15E-2</v>
      </c>
      <c r="M48" s="2236"/>
      <c r="N48" s="2234"/>
      <c r="O48" s="2238">
        <f t="shared" si="9"/>
        <v>4.4999999999999998E-2</v>
      </c>
      <c r="P48" t="s">
        <v>85</v>
      </c>
    </row>
    <row r="49" spans="2:16" hidden="1">
      <c r="B49" s="2232"/>
      <c r="C49" s="2162"/>
      <c r="D49" s="2162"/>
      <c r="E49" s="2162"/>
      <c r="F49" s="2208">
        <f>$F$44</f>
        <v>0</v>
      </c>
      <c r="G49" s="2162"/>
      <c r="H49" s="2208">
        <f>IF(OR($F$20=$R$6,$F$20=$U$6),CO2データ!I225,IF($F$20=$S$6,CO2データ!L225,CO2データ!O225))</f>
        <v>2E-3</v>
      </c>
      <c r="I49" s="2208">
        <f>IF(OR($F$20=$R$6,$F$20=$U$6),CO2データ!J225,IF($F$20=$S$6,CO2データ!M225,CO2データ!P225))</f>
        <v>0</v>
      </c>
      <c r="J49" s="2208">
        <f>IF(OR($F$20=$R$6,$F$20=$U$6),CO2データ!K225,IF($F$20=$S$6,CO2データ!N225,CO2データ!Q225))</f>
        <v>2.3999999999999998E-3</v>
      </c>
      <c r="K49" s="2236"/>
      <c r="L49" s="2234">
        <f t="shared" si="8"/>
        <v>1.4000000000000002E-3</v>
      </c>
      <c r="M49" s="2236"/>
      <c r="N49" s="2234"/>
      <c r="O49" s="2238">
        <f t="shared" si="9"/>
        <v>2E-3</v>
      </c>
      <c r="P49" t="s">
        <v>85</v>
      </c>
    </row>
    <row r="50" spans="2:16" hidden="1">
      <c r="B50" s="2232"/>
      <c r="C50" s="2162"/>
      <c r="D50" s="2162" t="s">
        <v>160</v>
      </c>
      <c r="E50" s="2162"/>
      <c r="F50" s="2208">
        <f>F12</f>
        <v>0</v>
      </c>
      <c r="G50" s="2162"/>
      <c r="H50" s="2208">
        <f>IF(OR($F$20=$R$6,$F$20=$U$6),CO2データ!I226,IF($F$20=$S$6,CO2データ!L226,CO2データ!O226))</f>
        <v>0.34200000000000003</v>
      </c>
      <c r="I50" s="2208">
        <f>IF(OR($F$20=$R$6,$F$20=$U$6),CO2データ!J226,IF($F$20=$S$6,CO2データ!M226,CO2データ!P226))</f>
        <v>0</v>
      </c>
      <c r="J50" s="2208">
        <f>IF(OR($F$20=$R$6,$F$20=$U$6),CO2データ!K226,IF($F$20=$S$6,CO2データ!N226,CO2データ!Q226))</f>
        <v>0</v>
      </c>
      <c r="K50" s="2236"/>
      <c r="L50" s="2234">
        <f t="shared" si="8"/>
        <v>0.2394</v>
      </c>
      <c r="M50" s="2236"/>
      <c r="N50" s="2234"/>
      <c r="O50" s="2238">
        <f t="shared" si="9"/>
        <v>0.34200000000000003</v>
      </c>
      <c r="P50" t="s">
        <v>1302</v>
      </c>
    </row>
    <row r="51" spans="2:16" hidden="1">
      <c r="B51" s="2232"/>
      <c r="C51" s="2162"/>
      <c r="D51" s="2162"/>
      <c r="E51" s="2162"/>
      <c r="F51" s="2208">
        <f>$F$50</f>
        <v>0</v>
      </c>
      <c r="G51" s="2162"/>
      <c r="H51" s="2208">
        <f>IF(OR($F$20=$R$6,$F$20=$U$6),CO2データ!I227,IF($F$20=$S$6,CO2データ!L227,CO2データ!O227))</f>
        <v>0</v>
      </c>
      <c r="I51" s="2208">
        <f>IF(OR($F$20=$R$6,$F$20=$U$6),CO2データ!J227,IF($F$20=$S$6,CO2データ!M227,CO2データ!P227))</f>
        <v>0</v>
      </c>
      <c r="J51" s="2208">
        <f>IF(OR($F$20=$R$6,$F$20=$U$6),CO2データ!K227,IF($F$20=$S$6,CO2データ!N227,CO2データ!Q227))</f>
        <v>0.34200000000000003</v>
      </c>
      <c r="K51" s="2236"/>
      <c r="L51" s="2234">
        <f t="shared" si="8"/>
        <v>0</v>
      </c>
      <c r="M51" s="2236"/>
      <c r="N51" s="2234"/>
      <c r="O51" s="2238">
        <f t="shared" si="9"/>
        <v>0</v>
      </c>
      <c r="P51" t="s">
        <v>158</v>
      </c>
    </row>
    <row r="52" spans="2:16" hidden="1">
      <c r="B52" s="2232"/>
      <c r="C52" s="2162"/>
      <c r="D52" s="2162"/>
      <c r="E52" s="2162"/>
      <c r="F52" s="2208">
        <f>$F$50</f>
        <v>0</v>
      </c>
      <c r="G52" s="2162"/>
      <c r="H52" s="2208">
        <f>IF(OR($F$20=$R$6,$F$20=$U$6),CO2データ!I228,IF($F$20=$S$6,CO2データ!L228,CO2データ!O228))</f>
        <v>7.1999999999999995E-2</v>
      </c>
      <c r="I52" s="2208">
        <f>IF(OR($F$20=$R$6,$F$20=$U$6),CO2データ!J228,IF($F$20=$S$6,CO2データ!M228,CO2データ!P228))</f>
        <v>0</v>
      </c>
      <c r="J52" s="2208">
        <f>IF(OR($F$20=$R$6,$F$20=$U$6),CO2データ!K228,IF($F$20=$S$6,CO2データ!N228,CO2データ!Q228))</f>
        <v>7.1999999999999995E-2</v>
      </c>
      <c r="K52" s="2236"/>
      <c r="L52" s="2234">
        <f t="shared" si="8"/>
        <v>5.04E-2</v>
      </c>
      <c r="M52" s="2236"/>
      <c r="N52" s="2234"/>
      <c r="O52" s="2238">
        <f t="shared" si="9"/>
        <v>7.1999999999999995E-2</v>
      </c>
      <c r="P52" t="s">
        <v>85</v>
      </c>
    </row>
    <row r="53" spans="2:16" hidden="1">
      <c r="B53" s="2232"/>
      <c r="C53" s="2162"/>
      <c r="D53" s="2162"/>
      <c r="E53" s="2162"/>
      <c r="F53" s="2208">
        <f>$F$50</f>
        <v>0</v>
      </c>
      <c r="G53" s="2162"/>
      <c r="H53" s="2208">
        <f>IF(OR($F$20=$R$6,$F$20=$U$6),CO2データ!I229,IF($F$20=$S$6,CO2データ!L229,CO2データ!O229))</f>
        <v>0</v>
      </c>
      <c r="I53" s="2208">
        <f>IF(OR($F$20=$R$6,$F$20=$U$6),CO2データ!J229,IF($F$20=$S$6,CO2データ!M229,CO2データ!P229))</f>
        <v>0</v>
      </c>
      <c r="J53" s="2208">
        <f>IF(OR($F$20=$R$6,$F$20=$U$6),CO2データ!K229,IF($F$20=$S$6,CO2データ!N229,CO2データ!Q229))</f>
        <v>0</v>
      </c>
      <c r="K53" s="2236"/>
      <c r="L53" s="2234">
        <f t="shared" si="8"/>
        <v>0</v>
      </c>
      <c r="M53" s="2236"/>
      <c r="N53" s="2234"/>
      <c r="O53" s="2238">
        <f t="shared" si="9"/>
        <v>0</v>
      </c>
      <c r="P53" t="s">
        <v>85</v>
      </c>
    </row>
    <row r="54" spans="2:16" hidden="1">
      <c r="B54" s="2232"/>
      <c r="C54" s="2162"/>
      <c r="D54" s="2162"/>
      <c r="E54" s="2162"/>
      <c r="F54" s="2208">
        <f>$F$50</f>
        <v>0</v>
      </c>
      <c r="G54" s="2162"/>
      <c r="H54" s="2208">
        <f>IF(OR($F$20=$R$6,$F$20=$U$6),CO2データ!I230,IF($F$20=$S$6,CO2データ!L230,CO2データ!O230))</f>
        <v>2.4E-2</v>
      </c>
      <c r="I54" s="2208">
        <f>IF(OR($F$20=$R$6,$F$20=$U$6),CO2データ!J230,IF($F$20=$S$6,CO2データ!M230,CO2データ!P230))</f>
        <v>0</v>
      </c>
      <c r="J54" s="2208">
        <f>IF(OR($F$20=$R$6,$F$20=$U$6),CO2データ!K230,IF($F$20=$S$6,CO2データ!N230,CO2データ!Q230))</f>
        <v>2.4E-2</v>
      </c>
      <c r="K54" s="2236"/>
      <c r="L54" s="2234">
        <f t="shared" si="8"/>
        <v>1.6800000000000002E-2</v>
      </c>
      <c r="M54" s="2236"/>
      <c r="N54" s="2234"/>
      <c r="O54" s="2238">
        <f t="shared" si="9"/>
        <v>2.4E-2</v>
      </c>
      <c r="P54" t="s">
        <v>85</v>
      </c>
    </row>
    <row r="55" spans="2:16" hidden="1">
      <c r="B55" s="2232"/>
      <c r="C55" s="2162"/>
      <c r="D55" s="2162"/>
      <c r="E55" s="2162"/>
      <c r="F55" s="2208">
        <f>$F$50</f>
        <v>0</v>
      </c>
      <c r="G55" s="2162"/>
      <c r="H55" s="2208">
        <f>IF(OR($F$20=$R$6,$F$20=$U$6),CO2データ!I231,IF($F$20=$S$6,CO2データ!L231,CO2データ!O231))</f>
        <v>2E-3</v>
      </c>
      <c r="I55" s="2208">
        <f>IF(OR($F$20=$R$6,$F$20=$U$6),CO2データ!J231,IF($F$20=$S$6,CO2データ!M231,CO2データ!P231))</f>
        <v>0</v>
      </c>
      <c r="J55" s="2208">
        <f>IF(OR($F$20=$R$6,$F$20=$U$6),CO2データ!K231,IF($F$20=$S$6,CO2データ!N231,CO2データ!Q231))</f>
        <v>1.8600000000000001E-3</v>
      </c>
      <c r="K55" s="2236"/>
      <c r="L55" s="2234">
        <f t="shared" si="8"/>
        <v>1.4000000000000002E-3</v>
      </c>
      <c r="M55" s="2236"/>
      <c r="N55" s="2234"/>
      <c r="O55" s="2238">
        <f t="shared" si="9"/>
        <v>2E-3</v>
      </c>
      <c r="P55" t="s">
        <v>85</v>
      </c>
    </row>
    <row r="56" spans="2:16" hidden="1">
      <c r="B56" s="2232"/>
      <c r="C56" s="2162"/>
      <c r="D56" s="2162" t="s">
        <v>162</v>
      </c>
      <c r="E56" s="2162"/>
      <c r="F56" s="2208">
        <f>F13</f>
        <v>0</v>
      </c>
      <c r="G56" s="2162"/>
      <c r="H56" s="2208">
        <f>IF(OR($F$20=$R$6,$F$20=$U$6),CO2データ!I232,IF($F$20=$S$6,CO2データ!L232,CO2データ!O232))</f>
        <v>0.34200000000000003</v>
      </c>
      <c r="I56" s="2208">
        <f>IF(OR($F$20=$R$6,$F$20=$U$6),CO2データ!J232,IF($F$20=$S$6,CO2データ!M232,CO2データ!P232))</f>
        <v>0</v>
      </c>
      <c r="J56" s="2208">
        <f>IF(OR($F$20=$R$6,$F$20=$U$6),CO2データ!K232,IF($F$20=$S$6,CO2データ!N232,CO2データ!Q232))</f>
        <v>0</v>
      </c>
      <c r="K56" s="2236"/>
      <c r="L56" s="2234">
        <f t="shared" si="8"/>
        <v>0.2394</v>
      </c>
      <c r="M56" s="2236"/>
      <c r="N56" s="2234"/>
      <c r="O56" s="2238">
        <f t="shared" si="9"/>
        <v>0.34200000000000003</v>
      </c>
      <c r="P56" t="s">
        <v>158</v>
      </c>
    </row>
    <row r="57" spans="2:16" hidden="1">
      <c r="B57" s="2232"/>
      <c r="C57" s="2162"/>
      <c r="D57" s="2162"/>
      <c r="E57" s="2162"/>
      <c r="F57" s="2208">
        <f>$F$56</f>
        <v>0</v>
      </c>
      <c r="G57" s="2162"/>
      <c r="H57" s="2208">
        <f>IF(OR($F$20=$R$6,$F$20=$U$6),CO2データ!I233,IF($F$20=$S$6,CO2データ!L233,CO2データ!O233))</f>
        <v>0</v>
      </c>
      <c r="I57" s="2208">
        <f>IF(OR($F$20=$R$6,$F$20=$U$6),CO2データ!J233,IF($F$20=$S$6,CO2データ!M233,CO2データ!P233))</f>
        <v>0</v>
      </c>
      <c r="J57" s="2208">
        <f>IF(OR($F$20=$R$6,$F$20=$U$6),CO2データ!K233,IF($F$20=$S$6,CO2データ!N233,CO2データ!Q233))</f>
        <v>0.34200000000000003</v>
      </c>
      <c r="K57" s="2236"/>
      <c r="L57" s="2234">
        <f t="shared" si="8"/>
        <v>0</v>
      </c>
      <c r="M57" s="2236"/>
      <c r="N57" s="2234"/>
      <c r="O57" s="2238">
        <f t="shared" si="9"/>
        <v>0</v>
      </c>
      <c r="P57" t="s">
        <v>158</v>
      </c>
    </row>
    <row r="58" spans="2:16" hidden="1">
      <c r="B58" s="2232"/>
      <c r="C58" s="2162"/>
      <c r="D58" s="2162"/>
      <c r="E58" s="2162"/>
      <c r="F58" s="2208">
        <f>$F$56</f>
        <v>0</v>
      </c>
      <c r="G58" s="2162"/>
      <c r="H58" s="2208">
        <f>IF(OR($F$20=$R$6,$F$20=$U$6),CO2データ!I234,IF($F$20=$S$6,CO2データ!L234,CO2データ!O234))</f>
        <v>7.1999999999999995E-2</v>
      </c>
      <c r="I58" s="2208">
        <f>IF(OR($F$20=$R$6,$F$20=$U$6),CO2データ!J234,IF($F$20=$S$6,CO2データ!M234,CO2データ!P234))</f>
        <v>0</v>
      </c>
      <c r="J58" s="2208">
        <f>IF(OR($F$20=$R$6,$F$20=$U$6),CO2データ!K234,IF($F$20=$S$6,CO2データ!N234,CO2データ!Q234))</f>
        <v>7.1999999999999995E-2</v>
      </c>
      <c r="K58" s="2236"/>
      <c r="L58" s="2234">
        <f t="shared" si="8"/>
        <v>5.04E-2</v>
      </c>
      <c r="M58" s="2236"/>
      <c r="N58" s="2234"/>
      <c r="O58" s="2238">
        <f t="shared" si="9"/>
        <v>7.1999999999999995E-2</v>
      </c>
      <c r="P58" t="s">
        <v>85</v>
      </c>
    </row>
    <row r="59" spans="2:16" hidden="1">
      <c r="B59" s="2232"/>
      <c r="C59" s="2162"/>
      <c r="D59" s="2162"/>
      <c r="E59" s="2162"/>
      <c r="F59" s="2208">
        <f>$F$56</f>
        <v>0</v>
      </c>
      <c r="G59" s="2162"/>
      <c r="H59" s="2208">
        <f>IF(OR($F$20=$R$6,$F$20=$U$6),CO2データ!I235,IF($F$20=$S$6,CO2データ!L235,CO2データ!O235))</f>
        <v>0</v>
      </c>
      <c r="I59" s="2208">
        <f>IF(OR($F$20=$R$6,$F$20=$U$6),CO2データ!J235,IF($F$20=$S$6,CO2データ!M235,CO2データ!P235))</f>
        <v>0</v>
      </c>
      <c r="J59" s="2208">
        <f>IF(OR($F$20=$R$6,$F$20=$U$6),CO2データ!K235,IF($F$20=$S$6,CO2データ!N235,CO2データ!Q235))</f>
        <v>0</v>
      </c>
      <c r="K59" s="2236"/>
      <c r="L59" s="2234">
        <f t="shared" si="8"/>
        <v>0</v>
      </c>
      <c r="M59" s="2236"/>
      <c r="N59" s="2234"/>
      <c r="O59" s="2238">
        <f t="shared" si="9"/>
        <v>0</v>
      </c>
      <c r="P59" t="s">
        <v>85</v>
      </c>
    </row>
    <row r="60" spans="2:16" hidden="1">
      <c r="B60" s="2232"/>
      <c r="C60" s="2162"/>
      <c r="D60" s="2162"/>
      <c r="E60" s="2162"/>
      <c r="F60" s="2208">
        <f>$F$56</f>
        <v>0</v>
      </c>
      <c r="G60" s="2162"/>
      <c r="H60" s="2208">
        <f>IF(OR($F$20=$R$6,$F$20=$U$6),CO2データ!I236,IF($F$20=$S$6,CO2データ!L236,CO2データ!O236))</f>
        <v>2.4E-2</v>
      </c>
      <c r="I60" s="2208">
        <f>IF(OR($F$20=$R$6,$F$20=$U$6),CO2データ!J236,IF($F$20=$S$6,CO2データ!M236,CO2データ!P236))</f>
        <v>0</v>
      </c>
      <c r="J60" s="2208">
        <f>IF(OR($F$20=$R$6,$F$20=$U$6),CO2データ!K236,IF($F$20=$S$6,CO2データ!N236,CO2データ!Q236))</f>
        <v>2.4E-2</v>
      </c>
      <c r="K60" s="2236"/>
      <c r="L60" s="2234">
        <f t="shared" si="8"/>
        <v>1.6800000000000002E-2</v>
      </c>
      <c r="M60" s="2236"/>
      <c r="N60" s="2234"/>
      <c r="O60" s="2238">
        <f t="shared" si="9"/>
        <v>2.4E-2</v>
      </c>
      <c r="P60" t="s">
        <v>85</v>
      </c>
    </row>
    <row r="61" spans="2:16" hidden="1">
      <c r="B61" s="2232"/>
      <c r="C61" s="2162"/>
      <c r="D61" s="2162"/>
      <c r="E61" s="2162"/>
      <c r="F61" s="2208">
        <f>$F$56</f>
        <v>0</v>
      </c>
      <c r="G61" s="2162"/>
      <c r="H61" s="2208">
        <f>IF(OR($F$20=$R$6,$F$20=$U$6),CO2データ!I237,IF($F$20=$S$6,CO2データ!L237,CO2データ!O237))</f>
        <v>2E-3</v>
      </c>
      <c r="I61" s="2208">
        <f>IF(OR($F$20=$R$6,$F$20=$U$6),CO2データ!J237,IF($F$20=$S$6,CO2データ!M237,CO2データ!P237))</f>
        <v>0</v>
      </c>
      <c r="J61" s="2208">
        <f>IF(OR($F$20=$R$6,$F$20=$U$6),CO2データ!K237,IF($F$20=$S$6,CO2データ!N237,CO2データ!Q237))</f>
        <v>1.8600000000000001E-3</v>
      </c>
      <c r="K61" s="2236"/>
      <c r="L61" s="2234">
        <f t="shared" si="8"/>
        <v>1.4000000000000002E-3</v>
      </c>
      <c r="M61" s="2236"/>
      <c r="N61" s="2234"/>
      <c r="O61" s="2238">
        <f t="shared" si="9"/>
        <v>2E-3</v>
      </c>
      <c r="P61" t="s">
        <v>85</v>
      </c>
    </row>
    <row r="62" spans="2:16" hidden="1">
      <c r="B62" s="2232"/>
      <c r="C62" s="2162"/>
      <c r="D62" s="2162" t="s">
        <v>163</v>
      </c>
      <c r="E62" s="2162"/>
      <c r="F62" s="2208">
        <f>F14</f>
        <v>0</v>
      </c>
      <c r="G62" s="2162"/>
      <c r="H62" s="2208">
        <f>IF(OR($F$20=$R$6,$F$20=$U$6),CO2データ!I238,IF($F$20=$S$6,CO2データ!L238,CO2データ!O238))</f>
        <v>0.34499999999999997</v>
      </c>
      <c r="I62" s="2208">
        <f>IF(OR($F$20=$R$6,$F$20=$U$6),CO2データ!J238,IF($F$20=$S$6,CO2データ!M238,CO2データ!P238))</f>
        <v>0</v>
      </c>
      <c r="J62" s="2208">
        <f>IF(OR($F$20=$R$6,$F$20=$U$6),CO2データ!K238,IF($F$20=$S$6,CO2データ!N238,CO2データ!Q238))</f>
        <v>0</v>
      </c>
      <c r="K62" s="2236"/>
      <c r="L62" s="2234">
        <f t="shared" si="8"/>
        <v>0.24149999999999999</v>
      </c>
      <c r="M62" s="2236"/>
      <c r="N62" s="2234"/>
      <c r="O62" s="2238">
        <f t="shared" si="9"/>
        <v>0.34499999999999997</v>
      </c>
      <c r="P62" t="s">
        <v>158</v>
      </c>
    </row>
    <row r="63" spans="2:16" hidden="1">
      <c r="B63" s="2232"/>
      <c r="C63" s="2162"/>
      <c r="D63" s="2162"/>
      <c r="E63" s="2162"/>
      <c r="F63" s="2208">
        <f>$F$62</f>
        <v>0</v>
      </c>
      <c r="G63" s="2162"/>
      <c r="H63" s="2208">
        <f>IF(OR($F$20=$R$6,$F$20=$U$6),CO2データ!I239,IF($F$20=$S$6,CO2データ!L239,CO2データ!O239))</f>
        <v>0</v>
      </c>
      <c r="I63" s="2208">
        <f>IF(OR($F$20=$R$6,$F$20=$U$6),CO2データ!J239,IF($F$20=$S$6,CO2データ!M239,CO2データ!P239))</f>
        <v>0</v>
      </c>
      <c r="J63" s="2208">
        <f>IF(OR($F$20=$R$6,$F$20=$U$6),CO2データ!K239,IF($F$20=$S$6,CO2データ!N239,CO2データ!Q239))</f>
        <v>0.34499999999999997</v>
      </c>
      <c r="K63" s="2236"/>
      <c r="L63" s="2234">
        <f t="shared" si="8"/>
        <v>0</v>
      </c>
      <c r="M63" s="2236"/>
      <c r="N63" s="2234"/>
      <c r="O63" s="2238">
        <f t="shared" si="9"/>
        <v>0</v>
      </c>
      <c r="P63" t="s">
        <v>158</v>
      </c>
    </row>
    <row r="64" spans="2:16" hidden="1">
      <c r="B64" s="2232"/>
      <c r="C64" s="2162"/>
      <c r="D64" s="2162"/>
      <c r="E64" s="2162"/>
      <c r="F64" s="2208">
        <f>$F$62</f>
        <v>0</v>
      </c>
      <c r="G64" s="2162"/>
      <c r="H64" s="2208">
        <f>IF(OR($F$20=$R$6,$F$20=$U$6),CO2データ!I240,IF($F$20=$S$6,CO2データ!L240,CO2データ!O240))</f>
        <v>0.13900000000000001</v>
      </c>
      <c r="I64" s="2208">
        <f>IF(OR($F$20=$R$6,$F$20=$U$6),CO2データ!J240,IF($F$20=$S$6,CO2データ!M240,CO2データ!P240))</f>
        <v>0</v>
      </c>
      <c r="J64" s="2208">
        <f>IF(OR($F$20=$R$6,$F$20=$U$6),CO2データ!K240,IF($F$20=$S$6,CO2データ!N240,CO2データ!Q240))</f>
        <v>0.13900000000000001</v>
      </c>
      <c r="K64" s="2236"/>
      <c r="L64" s="2234">
        <f t="shared" si="8"/>
        <v>9.7300000000000011E-2</v>
      </c>
      <c r="M64" s="2236"/>
      <c r="N64" s="2234"/>
      <c r="O64" s="2238">
        <f t="shared" si="9"/>
        <v>0.13900000000000001</v>
      </c>
      <c r="P64" t="s">
        <v>85</v>
      </c>
    </row>
    <row r="65" spans="2:16" hidden="1">
      <c r="B65" s="2232"/>
      <c r="C65" s="2162"/>
      <c r="D65" s="2162"/>
      <c r="E65" s="2162"/>
      <c r="F65" s="2208">
        <f>$F$62</f>
        <v>0</v>
      </c>
      <c r="G65" s="2162"/>
      <c r="H65" s="2208">
        <f>IF(OR($F$20=$R$6,$F$20=$U$6),CO2データ!I241,IF($F$20=$S$6,CO2データ!L241,CO2データ!O241))</f>
        <v>0</v>
      </c>
      <c r="I65" s="2208">
        <f>IF(OR($F$20=$R$6,$F$20=$U$6),CO2データ!J241,IF($F$20=$S$6,CO2データ!M241,CO2データ!P241))</f>
        <v>0</v>
      </c>
      <c r="J65" s="2208">
        <f>IF(OR($F$20=$R$6,$F$20=$U$6),CO2データ!K241,IF($F$20=$S$6,CO2データ!N241,CO2データ!Q241))</f>
        <v>0</v>
      </c>
      <c r="K65" s="2236"/>
      <c r="L65" s="2234">
        <f t="shared" si="8"/>
        <v>0</v>
      </c>
      <c r="M65" s="2236"/>
      <c r="N65" s="2234"/>
      <c r="O65" s="2238">
        <f t="shared" si="9"/>
        <v>0</v>
      </c>
      <c r="P65" t="s">
        <v>85</v>
      </c>
    </row>
    <row r="66" spans="2:16" hidden="1">
      <c r="B66" s="2232"/>
      <c r="C66" s="2162"/>
      <c r="D66" s="2162"/>
      <c r="E66" s="2162"/>
      <c r="F66" s="2208">
        <f>$F$62</f>
        <v>0</v>
      </c>
      <c r="G66" s="2162"/>
      <c r="H66" s="2208">
        <f>IF(OR($F$20=$R$6,$F$20=$U$6),CO2データ!I242,IF($F$20=$S$6,CO2データ!L242,CO2データ!O242))</f>
        <v>0.04</v>
      </c>
      <c r="I66" s="2208">
        <f>IF(OR($F$20=$R$6,$F$20=$U$6),CO2データ!J242,IF($F$20=$S$6,CO2データ!M242,CO2データ!P242))</f>
        <v>0</v>
      </c>
      <c r="J66" s="2208">
        <f>IF(OR($F$20=$R$6,$F$20=$U$6),CO2データ!K242,IF($F$20=$S$6,CO2データ!N242,CO2データ!Q242))</f>
        <v>0.04</v>
      </c>
      <c r="K66" s="2236"/>
      <c r="L66" s="2234">
        <f t="shared" si="8"/>
        <v>2.8000000000000001E-2</v>
      </c>
      <c r="M66" s="2236"/>
      <c r="N66" s="2234"/>
      <c r="O66" s="2238">
        <f t="shared" si="9"/>
        <v>0.04</v>
      </c>
      <c r="P66" t="s">
        <v>85</v>
      </c>
    </row>
    <row r="67" spans="2:16" hidden="1">
      <c r="B67" s="2232"/>
      <c r="C67" s="2162"/>
      <c r="D67" s="2162"/>
      <c r="E67" s="2162"/>
      <c r="F67" s="2208">
        <f>$F$62</f>
        <v>0</v>
      </c>
      <c r="G67" s="2162"/>
      <c r="H67" s="2208">
        <f>IF(OR($F$20=$R$6,$F$20=$U$6),CO2データ!I243,IF($F$20=$S$6,CO2データ!L243,CO2データ!O243))</f>
        <v>4.0000000000000001E-3</v>
      </c>
      <c r="I67" s="2208">
        <f>IF(OR($F$20=$R$6,$F$20=$U$6),CO2データ!J243,IF($F$20=$S$6,CO2データ!M243,CO2データ!P243))</f>
        <v>0</v>
      </c>
      <c r="J67" s="2208">
        <f>IF(OR($F$20=$R$6,$F$20=$U$6),CO2データ!K243,IF($F$20=$S$6,CO2データ!N243,CO2データ!Q243))</f>
        <v>4.3499999999999997E-3</v>
      </c>
      <c r="K67" s="2236"/>
      <c r="L67" s="2234">
        <f t="shared" si="8"/>
        <v>2.8000000000000004E-3</v>
      </c>
      <c r="M67" s="2236"/>
      <c r="N67" s="2234"/>
      <c r="O67" s="2238">
        <f t="shared" si="9"/>
        <v>4.0000000000000001E-3</v>
      </c>
      <c r="P67" t="s">
        <v>85</v>
      </c>
    </row>
    <row r="68" spans="2:16" hidden="1">
      <c r="B68" s="2232"/>
      <c r="C68" s="2162"/>
      <c r="D68" s="2162" t="s">
        <v>472</v>
      </c>
      <c r="E68" s="2162"/>
      <c r="F68" s="2208">
        <f>F15</f>
        <v>0.26109660574412535</v>
      </c>
      <c r="G68" s="2162"/>
      <c r="H68" s="2208">
        <f>IF(OR($F$20=$R$6,$F$20=$U$6),CO2データ!I244,IF($F$20=$S$6,CO2データ!L244,CO2データ!O244))</f>
        <v>0.35399999999999998</v>
      </c>
      <c r="I68" s="2208">
        <f>IF(OR($F$20=$R$6,$F$20=$U$6),CO2データ!J244,IF($F$20=$S$6,CO2データ!M244,CO2データ!P244))</f>
        <v>0</v>
      </c>
      <c r="J68" s="2208">
        <f>IF(OR($F$20=$R$6,$F$20=$U$6),CO2データ!K244,IF($F$20=$S$6,CO2データ!N244,CO2データ!Q244))</f>
        <v>0</v>
      </c>
      <c r="K68" s="2236"/>
      <c r="L68" s="2234">
        <f t="shared" si="8"/>
        <v>0.24779999999999999</v>
      </c>
      <c r="M68" s="2236"/>
      <c r="N68" s="2234"/>
      <c r="O68" s="2238">
        <f t="shared" si="9"/>
        <v>0.35399999999999998</v>
      </c>
      <c r="P68" t="s">
        <v>158</v>
      </c>
    </row>
    <row r="69" spans="2:16" hidden="1">
      <c r="B69" s="2232"/>
      <c r="C69" s="2162"/>
      <c r="D69" s="2162"/>
      <c r="E69" s="2162"/>
      <c r="F69" s="2208">
        <f>$F$68</f>
        <v>0.26109660574412535</v>
      </c>
      <c r="G69" s="2162"/>
      <c r="H69" s="2208">
        <f>IF(OR($F$20=$R$6,$F$20=$U$6),CO2データ!I245,IF($F$20=$S$6,CO2データ!L245,CO2データ!O245))</f>
        <v>0</v>
      </c>
      <c r="I69" s="2208">
        <f>IF(OR($F$20=$R$6,$F$20=$U$6),CO2データ!J245,IF($F$20=$S$6,CO2データ!M245,CO2データ!P245))</f>
        <v>0</v>
      </c>
      <c r="J69" s="2208">
        <f>IF(OR($F$20=$R$6,$F$20=$U$6),CO2データ!K245,IF($F$20=$S$6,CO2データ!N245,CO2データ!Q245))</f>
        <v>0.35399999999999998</v>
      </c>
      <c r="K69" s="2236"/>
      <c r="L69" s="2234">
        <f t="shared" si="8"/>
        <v>0</v>
      </c>
      <c r="M69" s="2236"/>
      <c r="N69" s="2234"/>
      <c r="O69" s="2238">
        <f t="shared" si="9"/>
        <v>0</v>
      </c>
      <c r="P69" t="s">
        <v>158</v>
      </c>
    </row>
    <row r="70" spans="2:16" hidden="1">
      <c r="B70" s="2232"/>
      <c r="C70" s="2162"/>
      <c r="D70" s="2162"/>
      <c r="E70" s="2162"/>
      <c r="F70" s="2208">
        <f>$F$68</f>
        <v>0.26109660574412535</v>
      </c>
      <c r="G70" s="2162"/>
      <c r="H70" s="2208">
        <f>IF(OR($F$20=$R$6,$F$20=$U$6),CO2データ!I246,IF($F$20=$S$6,CO2データ!L246,CO2データ!O246))</f>
        <v>8.7999999999999995E-2</v>
      </c>
      <c r="I70" s="2208">
        <f>IF(OR($F$20=$R$6,$F$20=$U$6),CO2データ!J246,IF($F$20=$S$6,CO2データ!M246,CO2データ!P246))</f>
        <v>0</v>
      </c>
      <c r="J70" s="2208">
        <f>IF(OR($F$20=$R$6,$F$20=$U$6),CO2データ!K246,IF($F$20=$S$6,CO2データ!N246,CO2データ!Q246))</f>
        <v>8.7999999999999995E-2</v>
      </c>
      <c r="K70" s="2236"/>
      <c r="L70" s="2234">
        <f t="shared" si="8"/>
        <v>6.1600000000000002E-2</v>
      </c>
      <c r="M70" s="2236"/>
      <c r="N70" s="2234"/>
      <c r="O70" s="2238">
        <f t="shared" si="9"/>
        <v>8.7999999999999995E-2</v>
      </c>
      <c r="P70" t="s">
        <v>85</v>
      </c>
    </row>
    <row r="71" spans="2:16" hidden="1">
      <c r="B71" s="2232"/>
      <c r="C71" s="2162"/>
      <c r="D71" s="2162"/>
      <c r="E71" s="2162"/>
      <c r="F71" s="2208">
        <f>$F$68</f>
        <v>0.26109660574412535</v>
      </c>
      <c r="G71" s="2162"/>
      <c r="H71" s="2208">
        <f>IF(OR($F$20=$R$6,$F$20=$U$6),CO2データ!I247,IF($F$20=$S$6,CO2データ!L247,CO2データ!O247))</f>
        <v>0</v>
      </c>
      <c r="I71" s="2208">
        <f>IF(OR($F$20=$R$6,$F$20=$U$6),CO2データ!J247,IF($F$20=$S$6,CO2データ!M247,CO2データ!P247))</f>
        <v>0</v>
      </c>
      <c r="J71" s="2208">
        <f>IF(OR($F$20=$R$6,$F$20=$U$6),CO2データ!K247,IF($F$20=$S$6,CO2データ!N247,CO2データ!Q247))</f>
        <v>0</v>
      </c>
      <c r="K71" s="2236"/>
      <c r="L71" s="2234">
        <f t="shared" si="8"/>
        <v>0</v>
      </c>
      <c r="M71" s="2236"/>
      <c r="N71" s="2234"/>
      <c r="O71" s="2238">
        <f t="shared" si="9"/>
        <v>0</v>
      </c>
      <c r="P71" t="s">
        <v>85</v>
      </c>
    </row>
    <row r="72" spans="2:16" hidden="1">
      <c r="B72" s="2232"/>
      <c r="C72" s="2162"/>
      <c r="D72" s="2162"/>
      <c r="E72" s="2162"/>
      <c r="F72" s="2208">
        <f>$F$68</f>
        <v>0.26109660574412535</v>
      </c>
      <c r="G72" s="2162"/>
      <c r="H72" s="2208">
        <f>IF(OR($F$20=$R$6,$F$20=$U$6),CO2データ!I248,IF($F$20=$S$6,CO2データ!L248,CO2データ!O248))</f>
        <v>3.1E-2</v>
      </c>
      <c r="I72" s="2208">
        <f>IF(OR($F$20=$R$6,$F$20=$U$6),CO2データ!J248,IF($F$20=$S$6,CO2データ!M248,CO2データ!P248))</f>
        <v>0</v>
      </c>
      <c r="J72" s="2208">
        <f>IF(OR($F$20=$R$6,$F$20=$U$6),CO2データ!K248,IF($F$20=$S$6,CO2データ!N248,CO2データ!Q248))</f>
        <v>3.1E-2</v>
      </c>
      <c r="K72" s="2236"/>
      <c r="L72" s="2234">
        <f t="shared" si="8"/>
        <v>2.1700000000000001E-2</v>
      </c>
      <c r="M72" s="2236"/>
      <c r="N72" s="2234"/>
      <c r="O72" s="2238">
        <f t="shared" si="9"/>
        <v>3.1E-2</v>
      </c>
      <c r="P72" t="s">
        <v>85</v>
      </c>
    </row>
    <row r="73" spans="2:16" hidden="1">
      <c r="B73" s="2232"/>
      <c r="C73" s="2162"/>
      <c r="D73" s="2162"/>
      <c r="E73" s="2162"/>
      <c r="F73" s="2208">
        <f>$F$68</f>
        <v>0.26109660574412535</v>
      </c>
      <c r="G73" s="2162"/>
      <c r="H73" s="2208">
        <f>IF(OR($F$20=$R$6,$F$20=$U$6),CO2データ!I249,IF($F$20=$S$6,CO2データ!L249,CO2データ!O249))</f>
        <v>2E-3</v>
      </c>
      <c r="I73" s="2208">
        <f>IF(OR($F$20=$R$6,$F$20=$U$6),CO2データ!J249,IF($F$20=$S$6,CO2データ!M249,CO2データ!P249))</f>
        <v>0</v>
      </c>
      <c r="J73" s="2208">
        <f>IF(OR($F$20=$R$6,$F$20=$U$6),CO2データ!K249,IF($F$20=$S$6,CO2データ!N249,CO2データ!Q249))</f>
        <v>2.0999999999999999E-3</v>
      </c>
      <c r="K73" s="2236"/>
      <c r="L73" s="2234">
        <f t="shared" si="8"/>
        <v>1.4000000000000002E-3</v>
      </c>
      <c r="M73" s="2236"/>
      <c r="N73" s="2234"/>
      <c r="O73" s="2238">
        <f t="shared" si="9"/>
        <v>2E-3</v>
      </c>
      <c r="P73" t="s">
        <v>85</v>
      </c>
    </row>
    <row r="74" spans="2:16" hidden="1">
      <c r="B74" s="2232"/>
      <c r="C74" s="2162"/>
      <c r="D74" s="2162" t="s">
        <v>164</v>
      </c>
      <c r="E74" s="2162"/>
      <c r="F74" s="2208">
        <f>F16</f>
        <v>0</v>
      </c>
      <c r="G74" s="2162"/>
      <c r="H74" s="2208">
        <f>IF(OR($F$20=$R$6,$F$20=$U$6),CO2データ!I250,IF($F$20=$S$6,CO2データ!L250,CO2データ!O250))</f>
        <v>0.317</v>
      </c>
      <c r="I74" s="2208">
        <f>IF(OR($F$20=$R$6,$F$20=$U$6),CO2データ!J250,IF($F$20=$S$6,CO2データ!M250,CO2データ!P250))</f>
        <v>0</v>
      </c>
      <c r="J74" s="2208">
        <f>IF(OR($F$20=$R$6,$F$20=$U$6),CO2データ!K250,IF($F$20=$S$6,CO2データ!N250,CO2データ!Q250))</f>
        <v>0</v>
      </c>
      <c r="K74" s="2236"/>
      <c r="L74" s="2234">
        <f t="shared" si="8"/>
        <v>0.22189999999999999</v>
      </c>
      <c r="M74" s="2236"/>
      <c r="N74" s="2234"/>
      <c r="O74" s="2238">
        <f t="shared" si="9"/>
        <v>0.317</v>
      </c>
      <c r="P74" t="s">
        <v>158</v>
      </c>
    </row>
    <row r="75" spans="2:16" hidden="1">
      <c r="B75" s="2232"/>
      <c r="C75" s="2162"/>
      <c r="D75" s="2162"/>
      <c r="E75" s="2162"/>
      <c r="F75" s="2208">
        <f>$F$74</f>
        <v>0</v>
      </c>
      <c r="G75" s="2162"/>
      <c r="H75" s="2208">
        <f>IF(OR($F$20=$R$6,$F$20=$U$6),CO2データ!I251,IF($F$20=$S$6,CO2データ!L251,CO2データ!O251))</f>
        <v>0</v>
      </c>
      <c r="I75" s="2208">
        <f>IF(OR($F$20=$R$6,$F$20=$U$6),CO2データ!J251,IF($F$20=$S$6,CO2データ!M251,CO2データ!P251))</f>
        <v>0</v>
      </c>
      <c r="J75" s="2208">
        <f>IF(OR($F$20=$R$6,$F$20=$U$6),CO2データ!K251,IF($F$20=$S$6,CO2データ!N251,CO2データ!Q251))</f>
        <v>0.317</v>
      </c>
      <c r="K75" s="2236"/>
      <c r="L75" s="2234">
        <f t="shared" si="8"/>
        <v>0</v>
      </c>
      <c r="M75" s="2236"/>
      <c r="N75" s="2234"/>
      <c r="O75" s="2238">
        <f t="shared" si="9"/>
        <v>0</v>
      </c>
      <c r="P75" t="s">
        <v>158</v>
      </c>
    </row>
    <row r="76" spans="2:16" hidden="1">
      <c r="B76" s="2232"/>
      <c r="C76" s="2162"/>
      <c r="D76" s="2162"/>
      <c r="E76" s="2162"/>
      <c r="F76" s="2208">
        <f>$F$74</f>
        <v>0</v>
      </c>
      <c r="G76" s="2162"/>
      <c r="H76" s="2208">
        <f>IF(OR($F$20=$R$6,$F$20=$U$6),CO2データ!I252,IF($F$20=$S$6,CO2データ!L252,CO2データ!O252))</f>
        <v>7.3999999999999996E-2</v>
      </c>
      <c r="I76" s="2208">
        <f>IF(OR($F$20=$R$6,$F$20=$U$6),CO2データ!J252,IF($F$20=$S$6,CO2データ!M252,CO2データ!P252))</f>
        <v>0</v>
      </c>
      <c r="J76" s="2208">
        <f>IF(OR($F$20=$R$6,$F$20=$U$6),CO2データ!K252,IF($F$20=$S$6,CO2データ!N252,CO2データ!Q252))</f>
        <v>7.3999999999999996E-2</v>
      </c>
      <c r="K76" s="2236"/>
      <c r="L76" s="2234">
        <f t="shared" si="8"/>
        <v>5.1799999999999999E-2</v>
      </c>
      <c r="M76" s="2236"/>
      <c r="N76" s="2234"/>
      <c r="O76" s="2238">
        <f t="shared" si="9"/>
        <v>7.3999999999999996E-2</v>
      </c>
      <c r="P76" t="s">
        <v>85</v>
      </c>
    </row>
    <row r="77" spans="2:16" hidden="1">
      <c r="B77" s="2232"/>
      <c r="C77" s="2162"/>
      <c r="D77" s="2162"/>
      <c r="E77" s="2162"/>
      <c r="F77" s="2208">
        <f>$F$74</f>
        <v>0</v>
      </c>
      <c r="G77" s="2162"/>
      <c r="H77" s="2208">
        <f>IF(OR($F$20=$R$6,$F$20=$U$6),CO2データ!I253,IF($F$20=$S$6,CO2データ!L253,CO2データ!O253))</f>
        <v>0</v>
      </c>
      <c r="I77" s="2208">
        <f>IF(OR($F$20=$R$6,$F$20=$U$6),CO2データ!J253,IF($F$20=$S$6,CO2データ!M253,CO2データ!P253))</f>
        <v>0</v>
      </c>
      <c r="J77" s="2208">
        <f>IF(OR($F$20=$R$6,$F$20=$U$6),CO2データ!K253,IF($F$20=$S$6,CO2データ!N253,CO2データ!Q253))</f>
        <v>0</v>
      </c>
      <c r="K77" s="2236"/>
      <c r="L77" s="2234">
        <f t="shared" si="8"/>
        <v>0</v>
      </c>
      <c r="M77" s="2236"/>
      <c r="N77" s="2234"/>
      <c r="O77" s="2238">
        <f t="shared" si="9"/>
        <v>0</v>
      </c>
      <c r="P77" t="s">
        <v>85</v>
      </c>
    </row>
    <row r="78" spans="2:16" hidden="1">
      <c r="B78" s="2232"/>
      <c r="C78" s="2162"/>
      <c r="D78" s="2162"/>
      <c r="E78" s="2162"/>
      <c r="F78" s="2208">
        <f>$F$74</f>
        <v>0</v>
      </c>
      <c r="G78" s="2162"/>
      <c r="H78" s="2208">
        <f>IF(OR($F$20=$R$6,$F$20=$U$6),CO2データ!I254,IF($F$20=$S$6,CO2データ!L254,CO2データ!O254))</f>
        <v>3.4000000000000002E-2</v>
      </c>
      <c r="I78" s="2208">
        <f>IF(OR($F$20=$R$6,$F$20=$U$6),CO2データ!J254,IF($F$20=$S$6,CO2データ!M254,CO2データ!P254))</f>
        <v>0</v>
      </c>
      <c r="J78" s="2208">
        <f>IF(OR($F$20=$R$6,$F$20=$U$6),CO2データ!K254,IF($F$20=$S$6,CO2データ!N254,CO2データ!Q254))</f>
        <v>3.4000000000000002E-2</v>
      </c>
      <c r="K78" s="2236"/>
      <c r="L78" s="2234">
        <f t="shared" si="8"/>
        <v>2.3800000000000002E-2</v>
      </c>
      <c r="M78" s="2236"/>
      <c r="N78" s="2234"/>
      <c r="O78" s="2238">
        <f t="shared" si="9"/>
        <v>3.4000000000000002E-2</v>
      </c>
      <c r="P78" t="s">
        <v>85</v>
      </c>
    </row>
    <row r="79" spans="2:16" hidden="1">
      <c r="B79" s="2232"/>
      <c r="C79" s="2162"/>
      <c r="D79" s="2162"/>
      <c r="E79" s="2162"/>
      <c r="F79" s="2208">
        <f>$F$74</f>
        <v>0</v>
      </c>
      <c r="G79" s="2162"/>
      <c r="H79" s="2208">
        <f>IF(OR($F$20=$R$6,$F$20=$U$6),CO2データ!I255,IF($F$20=$S$6,CO2データ!L255,CO2データ!O255))</f>
        <v>2E-3</v>
      </c>
      <c r="I79" s="2208">
        <f>IF(OR($F$20=$R$6,$F$20=$U$6),CO2データ!J255,IF($F$20=$S$6,CO2データ!M255,CO2データ!P255))</f>
        <v>0</v>
      </c>
      <c r="J79" s="2208">
        <f>IF(OR($F$20=$R$6,$F$20=$U$6),CO2データ!K255,IF($F$20=$S$6,CO2データ!N255,CO2データ!Q255))</f>
        <v>2E-3</v>
      </c>
      <c r="K79" s="2236"/>
      <c r="L79" s="2234">
        <f t="shared" si="8"/>
        <v>1.4000000000000002E-3</v>
      </c>
      <c r="M79" s="2236"/>
      <c r="N79" s="2234"/>
      <c r="O79" s="2238">
        <f t="shared" si="9"/>
        <v>2E-3</v>
      </c>
      <c r="P79" t="s">
        <v>85</v>
      </c>
    </row>
    <row r="80" spans="2:16" hidden="1">
      <c r="B80" s="2232"/>
      <c r="C80" s="2162"/>
      <c r="D80" s="2162" t="s">
        <v>1303</v>
      </c>
      <c r="E80" s="2162"/>
      <c r="F80" s="2208">
        <f>F17</f>
        <v>0</v>
      </c>
      <c r="G80" s="2162"/>
      <c r="H80" s="2208">
        <f>IF(OR($F$20=$R$6,$F$20=$U$6),CO2データ!I256,IF($F$20=$S$6,CO2データ!L256,CO2データ!O256))</f>
        <v>0.436</v>
      </c>
      <c r="I80" s="2208">
        <f>IF(OR($F$20=$R$6,$F$20=$U$6),CO2データ!J256,IF($F$20=$S$6,CO2データ!M256,CO2データ!P256))</f>
        <v>0</v>
      </c>
      <c r="J80" s="2208">
        <f>IF(OR($F$20=$R$6,$F$20=$U$6),CO2データ!K256,IF($F$20=$S$6,CO2データ!N256,CO2データ!Q256))</f>
        <v>0</v>
      </c>
      <c r="K80" s="2236"/>
      <c r="L80" s="2234">
        <f t="shared" si="8"/>
        <v>0.30520000000000003</v>
      </c>
      <c r="M80" s="2236"/>
      <c r="N80" s="2234"/>
      <c r="O80" s="2238">
        <f t="shared" si="9"/>
        <v>0.436</v>
      </c>
      <c r="P80" t="s">
        <v>158</v>
      </c>
    </row>
    <row r="81" spans="2:16" hidden="1">
      <c r="B81" s="2232"/>
      <c r="C81" s="2162"/>
      <c r="D81" s="2162"/>
      <c r="E81" s="2162"/>
      <c r="F81" s="2208">
        <f>$F$80</f>
        <v>0</v>
      </c>
      <c r="G81" s="2162"/>
      <c r="H81" s="2208">
        <f>IF(OR($F$20=$R$6,$F$20=$U$6),CO2データ!I257,IF($F$20=$S$6,CO2データ!L257,CO2データ!O257))</f>
        <v>0</v>
      </c>
      <c r="I81" s="2208">
        <f>IF(OR($F$20=$R$6,$F$20=$U$6),CO2データ!J257,IF($F$20=$S$6,CO2データ!M257,CO2データ!P257))</f>
        <v>0</v>
      </c>
      <c r="J81" s="2208">
        <f>IF(OR($F$20=$R$6,$F$20=$U$6),CO2データ!K257,IF($F$20=$S$6,CO2データ!N257,CO2データ!Q257))</f>
        <v>0.436</v>
      </c>
      <c r="K81" s="2236"/>
      <c r="L81" s="2234">
        <f t="shared" si="8"/>
        <v>0</v>
      </c>
      <c r="M81" s="2236"/>
      <c r="N81" s="2234"/>
      <c r="O81" s="2238">
        <f t="shared" si="9"/>
        <v>0</v>
      </c>
      <c r="P81" t="s">
        <v>158</v>
      </c>
    </row>
    <row r="82" spans="2:16" hidden="1">
      <c r="B82" s="2232"/>
      <c r="C82" s="2162"/>
      <c r="D82" s="2162"/>
      <c r="E82" s="2162"/>
      <c r="F82" s="2208">
        <f>$F$80</f>
        <v>0</v>
      </c>
      <c r="G82" s="2162"/>
      <c r="H82" s="2208">
        <f>IF(OR($F$20=$R$6,$F$20=$U$6),CO2データ!I258,IF($F$20=$S$6,CO2データ!L258,CO2データ!O258))</f>
        <v>0.10299999999999999</v>
      </c>
      <c r="I82" s="2208">
        <f>IF(OR($F$20=$R$6,$F$20=$U$6),CO2データ!J258,IF($F$20=$S$6,CO2データ!M258,CO2データ!P258))</f>
        <v>0</v>
      </c>
      <c r="J82" s="2208">
        <f>IF(OR($F$20=$R$6,$F$20=$U$6),CO2データ!K258,IF($F$20=$S$6,CO2データ!N258,CO2データ!Q258))</f>
        <v>0.10299999999999999</v>
      </c>
      <c r="K82" s="2236"/>
      <c r="L82" s="2234">
        <f t="shared" si="8"/>
        <v>7.2099999999999997E-2</v>
      </c>
      <c r="M82" s="2236"/>
      <c r="N82" s="2234"/>
      <c r="O82" s="2238">
        <f t="shared" si="9"/>
        <v>0.10299999999999999</v>
      </c>
      <c r="P82" t="s">
        <v>85</v>
      </c>
    </row>
    <row r="83" spans="2:16" hidden="1">
      <c r="B83" s="2232"/>
      <c r="C83" s="2162"/>
      <c r="D83" s="2162"/>
      <c r="E83" s="2162"/>
      <c r="F83" s="2208">
        <f>$F$80</f>
        <v>0</v>
      </c>
      <c r="G83" s="2162"/>
      <c r="H83" s="2208">
        <f>IF(OR($F$20=$R$6,$F$20=$U$6),CO2データ!I259,IF($F$20=$S$6,CO2データ!L259,CO2データ!O259))</f>
        <v>0</v>
      </c>
      <c r="I83" s="2208">
        <f>IF(OR($F$20=$R$6,$F$20=$U$6),CO2データ!J259,IF($F$20=$S$6,CO2データ!M259,CO2データ!P259))</f>
        <v>0</v>
      </c>
      <c r="J83" s="2208">
        <f>IF(OR($F$20=$R$6,$F$20=$U$6),CO2データ!K259,IF($F$20=$S$6,CO2データ!N259,CO2データ!Q259))</f>
        <v>0</v>
      </c>
      <c r="K83" s="2236"/>
      <c r="L83" s="2234">
        <f t="shared" si="8"/>
        <v>0</v>
      </c>
      <c r="M83" s="2236"/>
      <c r="N83" s="2234"/>
      <c r="O83" s="2238">
        <f t="shared" si="9"/>
        <v>0</v>
      </c>
      <c r="P83" t="s">
        <v>85</v>
      </c>
    </row>
    <row r="84" spans="2:16" hidden="1">
      <c r="B84" s="2232"/>
      <c r="C84" s="2162"/>
      <c r="D84" s="2162"/>
      <c r="E84" s="2162"/>
      <c r="F84" s="2208">
        <f>$F$80</f>
        <v>0</v>
      </c>
      <c r="G84" s="2162"/>
      <c r="H84" s="2208">
        <f>IF(OR($F$20=$R$6,$F$20=$U$6),CO2データ!I260,IF($F$20=$S$6,CO2データ!L260,CO2データ!O260))</f>
        <v>3.4000000000000002E-2</v>
      </c>
      <c r="I84" s="2208">
        <f>IF(OR($F$20=$R$6,$F$20=$U$6),CO2データ!J260,IF($F$20=$S$6,CO2データ!M260,CO2データ!P260))</f>
        <v>0</v>
      </c>
      <c r="J84" s="2208">
        <f>IF(OR($F$20=$R$6,$F$20=$U$6),CO2データ!K260,IF($F$20=$S$6,CO2データ!N260,CO2データ!Q260))</f>
        <v>3.4000000000000002E-2</v>
      </c>
      <c r="K84" s="2236"/>
      <c r="L84" s="2234">
        <f t="shared" si="8"/>
        <v>2.3800000000000002E-2</v>
      </c>
      <c r="M84" s="2236"/>
      <c r="N84" s="2234"/>
      <c r="O84" s="2238">
        <f t="shared" si="9"/>
        <v>3.4000000000000002E-2</v>
      </c>
      <c r="P84" t="s">
        <v>85</v>
      </c>
    </row>
    <row r="85" spans="2:16" hidden="1">
      <c r="B85" s="2232"/>
      <c r="C85" s="2162"/>
      <c r="D85" s="2162"/>
      <c r="E85" s="2162"/>
      <c r="F85" s="2208">
        <f>$F$80</f>
        <v>0</v>
      </c>
      <c r="G85" s="2162"/>
      <c r="H85" s="2208">
        <f>IF(OR($F$20=$R$6,$F$20=$U$6),CO2データ!I261,IF($F$20=$S$6,CO2データ!L261,CO2データ!O261))</f>
        <v>5.0000000000000001E-3</v>
      </c>
      <c r="I85" s="2208">
        <f>IF(OR($F$20=$R$6,$F$20=$U$6),CO2データ!J261,IF($F$20=$S$6,CO2データ!M261,CO2データ!P261))</f>
        <v>0</v>
      </c>
      <c r="J85" s="2208">
        <f>IF(OR($F$20=$R$6,$F$20=$U$6),CO2データ!K261,IF($F$20=$S$6,CO2データ!N261,CO2データ!Q261))</f>
        <v>4.7099999999999998E-3</v>
      </c>
      <c r="K85" s="2236"/>
      <c r="L85" s="2234">
        <f t="shared" si="8"/>
        <v>3.5000000000000001E-3</v>
      </c>
      <c r="M85" s="2236"/>
      <c r="N85" s="2234"/>
      <c r="O85" s="2238">
        <f t="shared" si="9"/>
        <v>5.0000000000000001E-3</v>
      </c>
      <c r="P85" t="s">
        <v>85</v>
      </c>
    </row>
    <row r="86" spans="2:16" hidden="1">
      <c r="B86" s="2232"/>
      <c r="C86" s="2162"/>
      <c r="D86" s="2162" t="s">
        <v>763</v>
      </c>
      <c r="E86" s="2162"/>
      <c r="F86" s="2208">
        <f>F18</f>
        <v>2.0887728459530026E-2</v>
      </c>
      <c r="G86" s="2162"/>
      <c r="H86" s="2208">
        <f>IF(OR($F$20=$R$6,$F$20=$U$6),CO2データ!I262,IF($F$20=$S$6,CO2データ!L262,CO2データ!O262))</f>
        <v>0.32300000000000001</v>
      </c>
      <c r="I86" s="2208">
        <f>IF(OR($F$20=$R$6,$F$20=$U$6),CO2データ!J262,IF($F$20=$S$6,CO2データ!M262,CO2データ!P262))</f>
        <v>0</v>
      </c>
      <c r="J86" s="2208">
        <f>IF(OR($F$20=$R$6,$F$20=$U$6),CO2データ!K262,IF($F$20=$S$6,CO2データ!N262,CO2データ!Q262))</f>
        <v>0</v>
      </c>
      <c r="K86" s="2236"/>
      <c r="L86" s="2234">
        <f t="shared" si="8"/>
        <v>0.22610000000000002</v>
      </c>
      <c r="M86" s="2236"/>
      <c r="N86" s="2234"/>
      <c r="O86" s="2238">
        <f t="shared" si="9"/>
        <v>0.32300000000000001</v>
      </c>
      <c r="P86" t="s">
        <v>158</v>
      </c>
    </row>
    <row r="87" spans="2:16" hidden="1">
      <c r="B87" s="2232"/>
      <c r="C87" s="2162"/>
      <c r="D87" s="2162"/>
      <c r="E87" s="2162"/>
      <c r="F87" s="2208">
        <f>$F$86</f>
        <v>2.0887728459530026E-2</v>
      </c>
      <c r="G87" s="2162"/>
      <c r="H87" s="2208">
        <f>IF(OR($F$20=$R$6,$F$20=$U$6),CO2データ!I263,IF($F$20=$S$6,CO2データ!L263,CO2データ!O263))</f>
        <v>0</v>
      </c>
      <c r="I87" s="2208">
        <f>IF(OR($F$20=$R$6,$F$20=$U$6),CO2データ!J263,IF($F$20=$S$6,CO2データ!M263,CO2データ!P263))</f>
        <v>0</v>
      </c>
      <c r="J87" s="2208">
        <f>IF(OR($F$20=$R$6,$F$20=$U$6),CO2データ!K263,IF($F$20=$S$6,CO2データ!N263,CO2データ!Q263))</f>
        <v>0.32300000000000001</v>
      </c>
      <c r="K87" s="2236"/>
      <c r="L87" s="2234">
        <f t="shared" si="8"/>
        <v>0</v>
      </c>
      <c r="M87" s="2236"/>
      <c r="N87" s="2234"/>
      <c r="O87" s="2238">
        <f t="shared" si="9"/>
        <v>0</v>
      </c>
      <c r="P87" t="s">
        <v>158</v>
      </c>
    </row>
    <row r="88" spans="2:16" hidden="1">
      <c r="B88" s="2232"/>
      <c r="C88" s="2162"/>
      <c r="D88" s="2162"/>
      <c r="E88" s="2162"/>
      <c r="F88" s="2208">
        <f>$F$86</f>
        <v>2.0887728459530026E-2</v>
      </c>
      <c r="G88" s="2162"/>
      <c r="H88" s="2208">
        <f>IF(OR($F$20=$R$6,$F$20=$U$6),CO2データ!I264,IF($F$20=$S$6,CO2データ!L264,CO2データ!O264))</f>
        <v>4.8000000000000001E-2</v>
      </c>
      <c r="I88" s="2208">
        <f>IF(OR($F$20=$R$6,$F$20=$U$6),CO2データ!J264,IF($F$20=$S$6,CO2データ!M264,CO2データ!P264))</f>
        <v>0</v>
      </c>
      <c r="J88" s="2208">
        <f>IF(OR($F$20=$R$6,$F$20=$U$6),CO2データ!K264,IF($F$20=$S$6,CO2データ!N264,CO2データ!Q264))</f>
        <v>4.8000000000000001E-2</v>
      </c>
      <c r="K88" s="2236"/>
      <c r="L88" s="2234">
        <f t="shared" si="8"/>
        <v>3.3600000000000005E-2</v>
      </c>
      <c r="M88" s="2236"/>
      <c r="N88" s="2234"/>
      <c r="O88" s="2238">
        <f t="shared" si="9"/>
        <v>4.8000000000000001E-2</v>
      </c>
      <c r="P88" t="s">
        <v>85</v>
      </c>
    </row>
    <row r="89" spans="2:16" hidden="1">
      <c r="B89" s="2232"/>
      <c r="C89" s="2162"/>
      <c r="D89" s="2162"/>
      <c r="E89" s="2162"/>
      <c r="F89" s="2208">
        <f>$F$86</f>
        <v>2.0887728459530026E-2</v>
      </c>
      <c r="G89" s="2162"/>
      <c r="H89" s="2208">
        <f>IF(OR($F$20=$R$6,$F$20=$U$6),CO2データ!I265,IF($F$20=$S$6,CO2データ!L265,CO2データ!O265))</f>
        <v>0</v>
      </c>
      <c r="I89" s="2208">
        <f>IF(OR($F$20=$R$6,$F$20=$U$6),CO2データ!J265,IF($F$20=$S$6,CO2データ!M265,CO2データ!P265))</f>
        <v>0</v>
      </c>
      <c r="J89" s="2208">
        <f>IF(OR($F$20=$R$6,$F$20=$U$6),CO2データ!K265,IF($F$20=$S$6,CO2データ!N265,CO2データ!Q265))</f>
        <v>0</v>
      </c>
      <c r="K89" s="2236"/>
      <c r="L89" s="2234">
        <f t="shared" si="8"/>
        <v>0</v>
      </c>
      <c r="M89" s="2236"/>
      <c r="N89" s="2234"/>
      <c r="O89" s="2238">
        <f t="shared" si="9"/>
        <v>0</v>
      </c>
      <c r="P89" t="s">
        <v>85</v>
      </c>
    </row>
    <row r="90" spans="2:16" hidden="1">
      <c r="B90" s="2232"/>
      <c r="C90" s="2162"/>
      <c r="D90" s="2162"/>
      <c r="E90" s="2162"/>
      <c r="F90" s="2208">
        <f>$F$86</f>
        <v>2.0887728459530026E-2</v>
      </c>
      <c r="G90" s="2162"/>
      <c r="H90" s="2208">
        <f>IF(OR($F$20=$R$6,$F$20=$U$6),CO2データ!I266,IF($F$20=$S$6,CO2データ!L266,CO2データ!O266))</f>
        <v>1.9E-2</v>
      </c>
      <c r="I90" s="2208">
        <f>IF(OR($F$20=$R$6,$F$20=$U$6),CO2データ!J266,IF($F$20=$S$6,CO2データ!M266,CO2データ!P266))</f>
        <v>0</v>
      </c>
      <c r="J90" s="2208">
        <f>IF(OR($F$20=$R$6,$F$20=$U$6),CO2データ!K266,IF($F$20=$S$6,CO2データ!N266,CO2データ!Q266))</f>
        <v>1.9E-2</v>
      </c>
      <c r="K90" s="2236"/>
      <c r="L90" s="2234">
        <f t="shared" si="8"/>
        <v>1.3299999999999999E-2</v>
      </c>
      <c r="M90" s="2236"/>
      <c r="N90" s="2234"/>
      <c r="O90" s="2238">
        <f t="shared" si="9"/>
        <v>1.9E-2</v>
      </c>
      <c r="P90" t="s">
        <v>85</v>
      </c>
    </row>
    <row r="91" spans="2:16" hidden="1">
      <c r="B91" s="2232"/>
      <c r="C91" s="2162"/>
      <c r="D91" s="2162"/>
      <c r="E91" s="2162"/>
      <c r="F91" s="2208">
        <f>$F$86</f>
        <v>2.0887728459530026E-2</v>
      </c>
      <c r="G91" s="2162"/>
      <c r="H91" s="2208">
        <f>IF(OR($F$20=$R$6,$F$20=$U$6),CO2データ!I267,IF($F$20=$S$6,CO2データ!L267,CO2データ!O267))</f>
        <v>2E-3</v>
      </c>
      <c r="I91" s="2208">
        <f>IF(OR($F$20=$R$6,$F$20=$U$6),CO2データ!J267,IF($F$20=$S$6,CO2データ!M267,CO2データ!P267))</f>
        <v>0</v>
      </c>
      <c r="J91" s="2208">
        <f>IF(OR($F$20=$R$6,$F$20=$U$6),CO2データ!K267,IF($F$20=$S$6,CO2データ!N267,CO2データ!Q267))</f>
        <v>1.98E-3</v>
      </c>
      <c r="K91" s="2236"/>
      <c r="L91" s="2234">
        <f t="shared" si="8"/>
        <v>1.4000000000000002E-3</v>
      </c>
      <c r="M91" s="2236"/>
      <c r="N91" s="2234"/>
      <c r="O91" s="2238">
        <f t="shared" si="9"/>
        <v>2E-3</v>
      </c>
      <c r="P91" t="s">
        <v>85</v>
      </c>
    </row>
    <row r="92" spans="2:16" ht="14.25" hidden="1" thickBot="1">
      <c r="B92" s="2221"/>
      <c r="C92" s="2112"/>
      <c r="D92" s="2112"/>
      <c r="E92" s="2112"/>
      <c r="F92" s="2112"/>
      <c r="G92" s="2112"/>
      <c r="H92" s="2112"/>
      <c r="I92" s="2112"/>
      <c r="J92" s="2112"/>
      <c r="K92" s="2112"/>
      <c r="L92" s="2112"/>
      <c r="M92" s="2112"/>
      <c r="N92" s="2112"/>
      <c r="O92" s="2113"/>
    </row>
    <row r="93" spans="2:16" hidden="1">
      <c r="B93" s="2232"/>
      <c r="C93" s="2162" t="s">
        <v>1304</v>
      </c>
      <c r="D93" s="2162" t="s">
        <v>474</v>
      </c>
      <c r="E93" s="2162"/>
      <c r="F93" s="2112"/>
      <c r="G93" s="2112"/>
      <c r="H93" s="2112"/>
      <c r="I93" s="2112"/>
      <c r="J93" s="2112"/>
      <c r="K93" s="2236"/>
      <c r="L93" s="2239">
        <f t="shared" ref="L93:L98" si="10">$F38*L38+$F44*L44+$F50*L50+$F56*L56+$F62*L62+$F68*L68+$F74*L74+$F80*L80+$F86*L86</f>
        <v>0.35440287206266319</v>
      </c>
      <c r="M93" s="2236"/>
      <c r="N93" s="2240"/>
      <c r="O93" s="2239">
        <f t="shared" ref="O93:O98" si="11">$F38*O38+$F44*O44+$F50*O50+$F56*O56+$F62*O62+$F68*O68+$F74*O74+$F80*O80+$F86*O86</f>
        <v>0.50628981723237598</v>
      </c>
      <c r="P93" t="s">
        <v>158</v>
      </c>
    </row>
    <row r="94" spans="2:16" hidden="1">
      <c r="B94" s="2232"/>
      <c r="C94" s="2162"/>
      <c r="D94" s="2162"/>
      <c r="E94" s="2162"/>
      <c r="F94" s="2112"/>
      <c r="G94" s="2112"/>
      <c r="H94" s="2112"/>
      <c r="I94" s="2112"/>
      <c r="J94" s="2112"/>
      <c r="K94" s="2236"/>
      <c r="L94" s="2241">
        <f t="shared" si="10"/>
        <v>0</v>
      </c>
      <c r="M94" s="2236"/>
      <c r="N94" s="2240"/>
      <c r="O94" s="2241">
        <f t="shared" si="11"/>
        <v>0</v>
      </c>
      <c r="P94" t="s">
        <v>158</v>
      </c>
    </row>
    <row r="95" spans="2:16" hidden="1">
      <c r="B95" s="2232"/>
      <c r="C95" s="2162"/>
      <c r="D95" s="2162"/>
      <c r="E95" s="2162"/>
      <c r="F95" s="2112"/>
      <c r="G95" s="2112"/>
      <c r="H95" s="2112"/>
      <c r="I95" s="2112"/>
      <c r="J95" s="2112"/>
      <c r="K95" s="2236"/>
      <c r="L95" s="2241">
        <f t="shared" si="10"/>
        <v>8.514046997389034E-2</v>
      </c>
      <c r="M95" s="2236"/>
      <c r="N95" s="2240"/>
      <c r="O95" s="2241">
        <f t="shared" si="11"/>
        <v>0.12162924281984336</v>
      </c>
      <c r="P95" t="s">
        <v>85</v>
      </c>
    </row>
    <row r="96" spans="2:16" hidden="1">
      <c r="B96" s="2232"/>
      <c r="C96" s="2162"/>
      <c r="D96" s="2162"/>
      <c r="E96" s="2162"/>
      <c r="F96" s="2112"/>
      <c r="G96" s="2112"/>
      <c r="H96" s="2112"/>
      <c r="I96" s="2112"/>
      <c r="J96" s="2112"/>
      <c r="K96" s="2236"/>
      <c r="L96" s="2241">
        <f t="shared" si="10"/>
        <v>0</v>
      </c>
      <c r="M96" s="2236"/>
      <c r="N96" s="2240"/>
      <c r="O96" s="2241">
        <f t="shared" si="11"/>
        <v>0</v>
      </c>
      <c r="P96" t="s">
        <v>85</v>
      </c>
    </row>
    <row r="97" spans="2:16" hidden="1">
      <c r="B97" s="2232"/>
      <c r="C97" s="2162"/>
      <c r="D97" s="2162"/>
      <c r="E97" s="2162"/>
      <c r="F97" s="2112"/>
      <c r="G97" s="2112"/>
      <c r="H97" s="2112"/>
      <c r="I97" s="2112"/>
      <c r="J97" s="2112"/>
      <c r="K97" s="2236"/>
      <c r="L97" s="2241">
        <f t="shared" si="10"/>
        <v>4.1126370757180161E-2</v>
      </c>
      <c r="M97" s="2236"/>
      <c r="N97" s="2240"/>
      <c r="O97" s="2241">
        <f t="shared" si="11"/>
        <v>5.8751958224543092E-2</v>
      </c>
      <c r="P97" t="s">
        <v>85</v>
      </c>
    </row>
    <row r="98" spans="2:16" ht="14.25" hidden="1" thickBot="1">
      <c r="B98" s="2232"/>
      <c r="C98" s="2162"/>
      <c r="D98" s="2162"/>
      <c r="E98" s="2162"/>
      <c r="F98" s="2112"/>
      <c r="G98" s="2112"/>
      <c r="H98" s="2112"/>
      <c r="I98" s="2112"/>
      <c r="J98" s="2112"/>
      <c r="K98" s="2236"/>
      <c r="L98" s="2242">
        <f t="shared" si="10"/>
        <v>2.9078328981723242E-3</v>
      </c>
      <c r="M98" s="2236"/>
      <c r="N98" s="2240"/>
      <c r="O98" s="2242">
        <f t="shared" si="11"/>
        <v>4.154046997389034E-3</v>
      </c>
      <c r="P98" t="s">
        <v>85</v>
      </c>
    </row>
    <row r="99" spans="2:16" hidden="1">
      <c r="B99" s="2221"/>
      <c r="C99" s="2112"/>
      <c r="D99" s="2112"/>
      <c r="E99" s="2112"/>
      <c r="F99" s="2112"/>
      <c r="G99" s="2112"/>
      <c r="H99" s="2112"/>
      <c r="I99" s="2112"/>
      <c r="J99" s="2112"/>
      <c r="K99" s="2112"/>
      <c r="L99" s="2112"/>
      <c r="M99" s="2112"/>
      <c r="N99" s="2112"/>
      <c r="O99" s="2113"/>
    </row>
    <row r="100" spans="2:16" ht="16.5">
      <c r="B100" s="1344" t="s">
        <v>165</v>
      </c>
      <c r="C100" s="1354"/>
      <c r="D100" s="1357"/>
      <c r="E100" s="1354"/>
      <c r="F100" s="2112"/>
      <c r="G100" s="2112"/>
      <c r="H100" s="1345"/>
      <c r="I100" s="1346"/>
      <c r="J100" s="1346"/>
      <c r="K100" s="1346"/>
      <c r="L100" s="1346"/>
      <c r="M100" s="1346"/>
      <c r="N100" s="1346"/>
      <c r="O100" s="1360"/>
    </row>
    <row r="101" spans="2:16" ht="14.25">
      <c r="B101" s="1344"/>
      <c r="C101" s="1348" t="s">
        <v>166</v>
      </c>
      <c r="D101" s="1357"/>
      <c r="E101" s="1354"/>
      <c r="F101" s="2112"/>
      <c r="G101" s="2112"/>
      <c r="H101" s="1345"/>
      <c r="I101" s="1346"/>
      <c r="J101" s="1345" t="s">
        <v>140</v>
      </c>
      <c r="K101" s="1346"/>
      <c r="L101" s="1345" t="s">
        <v>140</v>
      </c>
      <c r="M101" s="1346"/>
      <c r="N101" s="1346"/>
      <c r="O101" s="1347" t="s">
        <v>140</v>
      </c>
    </row>
    <row r="102" spans="2:16">
      <c r="B102" s="2111"/>
      <c r="C102" s="1357"/>
      <c r="D102" s="1357" t="s">
        <v>147</v>
      </c>
      <c r="E102" s="1354"/>
      <c r="F102" s="2207" t="s">
        <v>142</v>
      </c>
      <c r="G102" s="1354"/>
      <c r="H102" s="1351" t="s">
        <v>143</v>
      </c>
      <c r="I102" s="1351" t="s">
        <v>144</v>
      </c>
      <c r="J102" s="1351" t="s">
        <v>145</v>
      </c>
      <c r="K102" s="1352" t="s">
        <v>146</v>
      </c>
      <c r="L102" s="1353" t="s">
        <v>71</v>
      </c>
      <c r="M102" s="1354"/>
      <c r="N102" s="1352" t="s">
        <v>146</v>
      </c>
      <c r="O102" s="1355" t="s">
        <v>71</v>
      </c>
    </row>
    <row r="103" spans="2:16">
      <c r="B103" s="2111"/>
      <c r="C103" s="1357"/>
      <c r="D103" s="1357"/>
      <c r="E103" s="1357" t="s">
        <v>456</v>
      </c>
      <c r="F103" s="2208">
        <f t="shared" ref="F103:F111" si="12">F10</f>
        <v>0.71801566579634468</v>
      </c>
      <c r="G103" s="1354"/>
      <c r="H103" s="2208">
        <f>IF(OR($F$20=$R$6,$F$20=$U$6),CO2データ!I67,IF($F$20=$S$6,CO2データ!L67,CO2データ!O67))</f>
        <v>15.990999999999998</v>
      </c>
      <c r="I103" s="2208">
        <f>IF(OR($F$20=$R$6,$F$20=$U$6),CO2データ!J67,IF($F$20=$S$6,CO2データ!M67,CO2データ!P67))</f>
        <v>15.990999999999998</v>
      </c>
      <c r="J103" s="2208">
        <f>IF(OR($F$20=$R$6,$F$20=$U$6),CO2データ!K67,IF($F$20=$S$6,CO2データ!N67,CO2データ!Q67))</f>
        <v>15.990999999999998</v>
      </c>
      <c r="K103" s="2192">
        <f>スコア表示!M80</f>
        <v>3</v>
      </c>
      <c r="L103" s="2210">
        <f t="shared" ref="L103:L111" si="13">IF(K103&gt;=5,$J103,IF(K103&gt;=4,$I103,$H103))</f>
        <v>15.990999999999998</v>
      </c>
      <c r="M103" s="1354"/>
      <c r="N103" s="2192">
        <v>3</v>
      </c>
      <c r="O103" s="2211">
        <f>IF(OR($F$20=$R$6,$F$20=$U$6),CO2データ!I65,IF($F$20=$S$6,CO2データ!L65,CO2データ!O65))</f>
        <v>15.990999999999998</v>
      </c>
    </row>
    <row r="104" spans="2:16">
      <c r="B104" s="2111"/>
      <c r="C104" s="1354"/>
      <c r="D104" s="1357"/>
      <c r="E104" s="1357" t="s">
        <v>458</v>
      </c>
      <c r="F104" s="2208">
        <f t="shared" si="12"/>
        <v>0</v>
      </c>
      <c r="G104" s="1354"/>
      <c r="H104" s="2208">
        <f>IF(OR($F$20=$R$6,$F$20=$U$6),CO2データ!I70,IF($F$20=$S$6,CO2データ!L70,CO2データ!O70))</f>
        <v>11.802</v>
      </c>
      <c r="I104" s="2208">
        <f>IF(OR($F$20=$R$6,$F$20=$U$6),CO2データ!J70,IF($F$20=$S$6,CO2データ!M70,CO2データ!P70))</f>
        <v>11.802</v>
      </c>
      <c r="J104" s="2208">
        <f>IF(OR($F$20=$R$6,$F$20=$U$6),CO2データ!K70,IF($F$20=$S$6,CO2データ!N70,CO2データ!Q70))</f>
        <v>11.802</v>
      </c>
      <c r="K104" s="2192">
        <f t="shared" ref="K104:K111" si="14">K$103</f>
        <v>3</v>
      </c>
      <c r="L104" s="2210">
        <f t="shared" si="13"/>
        <v>11.802</v>
      </c>
      <c r="M104" s="1354"/>
      <c r="N104" s="2192">
        <v>3</v>
      </c>
      <c r="O104" s="2211">
        <f>IF(OR($F$20=$R$6,$F$20=$U$6),CO2データ!I68,IF($F$20=$S$6,CO2データ!L68,CO2データ!O68))</f>
        <v>11.802</v>
      </c>
    </row>
    <row r="105" spans="2:16">
      <c r="B105" s="2111"/>
      <c r="C105" s="1354"/>
      <c r="D105" s="2112"/>
      <c r="E105" s="1357" t="s">
        <v>460</v>
      </c>
      <c r="F105" s="2208">
        <f t="shared" si="12"/>
        <v>0</v>
      </c>
      <c r="G105" s="1354"/>
      <c r="H105" s="2208">
        <f>IF(OR($F$20=$R$6,$F$20=$U$6),CO2データ!I73,IF($F$20=$S$6,CO2データ!L73,CO2データ!O73))</f>
        <v>6.88</v>
      </c>
      <c r="I105" s="2208">
        <f>IF(OR($F$20=$R$6,$F$20=$U$6),CO2データ!J73,IF($F$20=$S$6,CO2データ!M73,CO2データ!P73))</f>
        <v>6.88</v>
      </c>
      <c r="J105" s="2208">
        <f>IF(OR($F$20=$R$6,$F$20=$U$6),CO2データ!K73,IF($F$20=$S$6,CO2データ!N73,CO2データ!Q73))</f>
        <v>6.88</v>
      </c>
      <c r="K105" s="2192">
        <f t="shared" si="14"/>
        <v>3</v>
      </c>
      <c r="L105" s="2210">
        <f t="shared" si="13"/>
        <v>6.88</v>
      </c>
      <c r="M105" s="1354"/>
      <c r="N105" s="2192">
        <v>3</v>
      </c>
      <c r="O105" s="2211">
        <f>IF(OR($F$20=$R$6,$F$20=$U$6),CO2データ!I71,IF($F$20=$S$6,CO2データ!L71,CO2データ!O71))</f>
        <v>6.88</v>
      </c>
    </row>
    <row r="106" spans="2:16">
      <c r="B106" s="2111"/>
      <c r="C106" s="1354"/>
      <c r="D106" s="1357"/>
      <c r="E106" s="1357" t="s">
        <v>462</v>
      </c>
      <c r="F106" s="2208">
        <f t="shared" si="12"/>
        <v>0</v>
      </c>
      <c r="G106" s="1354"/>
      <c r="H106" s="2208">
        <f>IF(OR($F$20=$R$6,$F$20=$U$6),CO2データ!I76,IF($F$20=$S$6,CO2データ!L76,CO2データ!O76))</f>
        <v>6.88</v>
      </c>
      <c r="I106" s="2208">
        <f>IF(OR($F$20=$R$6,$F$20=$U$6),CO2データ!J76,IF($F$20=$S$6,CO2データ!M76,CO2データ!P76))</f>
        <v>6.88</v>
      </c>
      <c r="J106" s="2208">
        <f>IF(OR($F$20=$R$6,$F$20=$U$6),CO2データ!K76,IF($F$20=$S$6,CO2データ!N76,CO2データ!Q76))</f>
        <v>6.88</v>
      </c>
      <c r="K106" s="2192">
        <f t="shared" si="14"/>
        <v>3</v>
      </c>
      <c r="L106" s="2210">
        <f t="shared" si="13"/>
        <v>6.88</v>
      </c>
      <c r="M106" s="1354"/>
      <c r="N106" s="2192">
        <v>3</v>
      </c>
      <c r="O106" s="2211">
        <f>IF(OR($F$20=$R$6,$F$20=$U$6),CO2データ!I74,IF($F$20=$S$6,CO2データ!L74,CO2データ!O74))</f>
        <v>6.88</v>
      </c>
    </row>
    <row r="107" spans="2:16">
      <c r="B107" s="2111"/>
      <c r="C107" s="2112"/>
      <c r="D107" s="2112"/>
      <c r="E107" s="151" t="s">
        <v>766</v>
      </c>
      <c r="F107" s="2208">
        <f t="shared" si="12"/>
        <v>0</v>
      </c>
      <c r="G107" s="1354"/>
      <c r="H107" s="2208">
        <f>IF(OR($F$20=$R$6,$F$20=$U$6),CO2データ!I79,IF($F$20=$S$6,CO2データ!L79,CO2データ!O79))</f>
        <v>12.809999999999999</v>
      </c>
      <c r="I107" s="2208">
        <f>IF(OR($F$20=$R$6,$F$20=$U$6),CO2データ!J79,IF($F$20=$S$6,CO2データ!M79,CO2データ!P79))</f>
        <v>12.809999999999999</v>
      </c>
      <c r="J107" s="2208">
        <f>IF(OR($F$20=$R$6,$F$20=$U$6),CO2データ!K79,IF($F$20=$S$6,CO2データ!N79,CO2データ!Q79))</f>
        <v>12.809999999999999</v>
      </c>
      <c r="K107" s="2192">
        <f t="shared" si="14"/>
        <v>3</v>
      </c>
      <c r="L107" s="2210">
        <f t="shared" si="13"/>
        <v>12.809999999999999</v>
      </c>
      <c r="M107" s="1354"/>
      <c r="N107" s="2192">
        <v>3</v>
      </c>
      <c r="O107" s="2211">
        <f>IF(OR($F$20=$R$6,$F$20=$U$6),CO2データ!I77,IF($F$20=$S$6,CO2データ!L77,CO2データ!O77))</f>
        <v>12.809999999999999</v>
      </c>
    </row>
    <row r="108" spans="2:16">
      <c r="B108" s="2111"/>
      <c r="C108" s="2112"/>
      <c r="D108" s="2112"/>
      <c r="E108" s="151" t="s">
        <v>472</v>
      </c>
      <c r="F108" s="2208">
        <f t="shared" si="12"/>
        <v>0.26109660574412535</v>
      </c>
      <c r="G108" s="1354"/>
      <c r="H108" s="2208">
        <f>IF(OR($F$20=$R$6,$F$20=$U$6),CO2データ!I82,IF($F$20=$S$6,CO2データ!L82,CO2データ!O82))</f>
        <v>8.6499999999999986</v>
      </c>
      <c r="I108" s="2208">
        <f>IF(OR($F$20=$R$6,$F$20=$U$6),CO2データ!J82,IF($F$20=$S$6,CO2データ!M82,CO2データ!P82))</f>
        <v>8.6499999999999986</v>
      </c>
      <c r="J108" s="2208">
        <f>IF(OR($F$20=$R$6,$F$20=$U$6),CO2データ!K82,IF($F$20=$S$6,CO2データ!N82,CO2データ!Q82))</f>
        <v>8.6499999999999986</v>
      </c>
      <c r="K108" s="2192">
        <f t="shared" si="14"/>
        <v>3</v>
      </c>
      <c r="L108" s="2210">
        <f t="shared" si="13"/>
        <v>8.6499999999999986</v>
      </c>
      <c r="M108" s="1354"/>
      <c r="N108" s="2192">
        <v>3</v>
      </c>
      <c r="O108" s="2211">
        <f>IF(OR($F$20=$R$6,$F$20=$U$6),CO2データ!I80,IF($F$20=$S$6,CO2データ!L80,CO2データ!O80))</f>
        <v>8.6499999999999986</v>
      </c>
    </row>
    <row r="109" spans="2:16">
      <c r="B109" s="2111"/>
      <c r="C109" s="2112"/>
      <c r="D109" s="2112"/>
      <c r="E109" s="151" t="s">
        <v>466</v>
      </c>
      <c r="F109" s="2208">
        <f t="shared" si="12"/>
        <v>0</v>
      </c>
      <c r="G109" s="1354"/>
      <c r="H109" s="2208">
        <f>IF(OR($F$20=$R$6,$F$20=$U$6),CO2データ!I85,IF($F$20=$S$6,CO2データ!L85,CO2データ!O85))</f>
        <v>15.425999999999998</v>
      </c>
      <c r="I109" s="2208">
        <f>IF(OR($F$20=$R$6,$F$20=$U$6),CO2データ!J85,IF($F$20=$S$6,CO2データ!M85,CO2データ!P85))</f>
        <v>15.425999999999998</v>
      </c>
      <c r="J109" s="2208">
        <f>IF(OR($F$20=$R$6,$F$20=$U$6),CO2データ!K85,IF($F$20=$S$6,CO2データ!N85,CO2データ!Q85))</f>
        <v>15.425999999999998</v>
      </c>
      <c r="K109" s="2192">
        <f t="shared" si="14"/>
        <v>3</v>
      </c>
      <c r="L109" s="2210">
        <f t="shared" si="13"/>
        <v>15.425999999999998</v>
      </c>
      <c r="M109" s="1354"/>
      <c r="N109" s="2192">
        <v>3</v>
      </c>
      <c r="O109" s="2211">
        <f>IF(OR($F$20=$R$6,$F$20=$U$6),CO2データ!I83,IF($F$20=$S$6,CO2データ!L83,CO2データ!O83))</f>
        <v>15.425999999999998</v>
      </c>
    </row>
    <row r="110" spans="2:16">
      <c r="B110" s="2111"/>
      <c r="C110" s="2112"/>
      <c r="D110" s="2112"/>
      <c r="E110" s="151" t="s">
        <v>767</v>
      </c>
      <c r="F110" s="2208">
        <f t="shared" si="12"/>
        <v>0</v>
      </c>
      <c r="G110" s="1354"/>
      <c r="H110" s="2208">
        <f>IF(OR($F$20=$R$6,$F$20=$U$6),CO2データ!I88,IF($F$20=$S$6,CO2データ!L88,CO2データ!O88))</f>
        <v>13.297999999999998</v>
      </c>
      <c r="I110" s="2208">
        <f>IF(OR($F$20=$R$6,$F$20=$U$6),CO2データ!J88,IF($F$20=$S$6,CO2データ!M88,CO2データ!P88))</f>
        <v>13.297999999999998</v>
      </c>
      <c r="J110" s="2208">
        <f>IF(OR($F$20=$R$6,$F$20=$U$6),CO2データ!K88,IF($F$20=$S$6,CO2データ!N88,CO2データ!Q88))</f>
        <v>13.297999999999998</v>
      </c>
      <c r="K110" s="2192">
        <f t="shared" si="14"/>
        <v>3</v>
      </c>
      <c r="L110" s="2210">
        <f t="shared" si="13"/>
        <v>13.297999999999998</v>
      </c>
      <c r="M110" s="1354"/>
      <c r="N110" s="2192">
        <v>3</v>
      </c>
      <c r="O110" s="2211">
        <f>IF(OR($F$20=$R$6,$F$20=$U$6),CO2データ!I86,IF($F$20=$S$6,CO2データ!L86,CO2データ!O86))</f>
        <v>13.297999999999998</v>
      </c>
    </row>
    <row r="111" spans="2:16">
      <c r="B111" s="2111"/>
      <c r="C111" s="2112"/>
      <c r="D111" s="2112"/>
      <c r="E111" s="151" t="s">
        <v>470</v>
      </c>
      <c r="F111" s="2208">
        <f t="shared" si="12"/>
        <v>2.0887728459530026E-2</v>
      </c>
      <c r="G111" s="1354"/>
      <c r="H111" s="2208">
        <f>IF(OR($F$20=$R$6,$F$20=$U$6),CO2データ!I91,IF($F$20=$S$6,CO2データ!L91,CO2データ!O91))</f>
        <v>8.0190000000000001</v>
      </c>
      <c r="I111" s="2208">
        <f>IF(OR($F$20=$R$6,$F$20=$U$6),CO2データ!J91,IF($F$20=$S$6,CO2データ!M91,CO2データ!P91))</f>
        <v>9.7210000000000001</v>
      </c>
      <c r="J111" s="2208">
        <f>IF(OR($F$20=$R$6,$F$20=$U$6),CO2データ!K91,IF($F$20=$S$6,CO2データ!N91,CO2データ!Q91))</f>
        <v>10.979000000000001</v>
      </c>
      <c r="K111" s="2192">
        <f t="shared" si="14"/>
        <v>3</v>
      </c>
      <c r="L111" s="2210">
        <f t="shared" si="13"/>
        <v>8.0190000000000001</v>
      </c>
      <c r="M111" s="1354"/>
      <c r="N111" s="2192">
        <v>3</v>
      </c>
      <c r="O111" s="2211">
        <f>IF(OR($F$20=$R$6,$F$20=$U$6),CO2データ!I89,IF($F$20=$S$6,CO2データ!L89,CO2データ!O89))</f>
        <v>8.0190000000000001</v>
      </c>
    </row>
    <row r="112" spans="2:16" ht="14.25" thickBot="1">
      <c r="B112" s="2111"/>
      <c r="C112" s="2112"/>
      <c r="D112" s="2112"/>
      <c r="E112" s="2112"/>
      <c r="F112" s="2112"/>
      <c r="G112" s="2112"/>
      <c r="H112" s="2112"/>
      <c r="I112" s="2112"/>
      <c r="J112" s="2112"/>
      <c r="K112" s="2112"/>
      <c r="L112" s="2112"/>
      <c r="M112" s="2112"/>
      <c r="N112" s="2112"/>
      <c r="O112" s="2113"/>
    </row>
    <row r="113" spans="2:18" ht="14.25" thickBot="1">
      <c r="B113" s="2221"/>
      <c r="C113" s="1348" t="s">
        <v>167</v>
      </c>
      <c r="D113" s="1357"/>
      <c r="E113" s="151"/>
      <c r="F113" s="2112"/>
      <c r="G113" s="2112"/>
      <c r="H113" s="2112"/>
      <c r="I113" s="2112"/>
      <c r="J113" s="2112"/>
      <c r="K113" s="2112"/>
      <c r="L113" s="2224">
        <f>SUMPRODUCT(F103:F111,L103:L111)</f>
        <v>13.907772845953003</v>
      </c>
      <c r="M113" s="2112"/>
      <c r="N113" s="2112"/>
      <c r="O113" s="2224">
        <f>SUMPRODUCT(F103:F111,O103:O111)</f>
        <v>13.907772845953003</v>
      </c>
    </row>
    <row r="114" spans="2:18">
      <c r="B114" s="2111"/>
      <c r="C114" s="2112"/>
      <c r="D114" s="2112"/>
      <c r="E114" s="2112"/>
      <c r="F114" s="2112"/>
      <c r="G114" s="2112"/>
      <c r="H114" s="2112"/>
      <c r="I114" s="2112"/>
      <c r="J114" s="2112"/>
      <c r="K114" s="2112"/>
      <c r="L114" s="2112"/>
      <c r="M114" s="2112"/>
      <c r="N114" s="2112"/>
      <c r="O114" s="2113"/>
    </row>
    <row r="115" spans="2:18" ht="17.25" thickBot="1">
      <c r="B115" s="1344" t="s">
        <v>168</v>
      </c>
      <c r="C115" s="2112"/>
      <c r="D115" s="2112"/>
      <c r="E115" s="2112"/>
      <c r="F115" s="2112"/>
      <c r="G115" s="2112"/>
      <c r="H115" s="2112"/>
      <c r="I115" s="2112"/>
      <c r="J115" s="2112"/>
      <c r="K115" s="2112"/>
      <c r="L115" s="1345" t="s">
        <v>140</v>
      </c>
      <c r="M115" s="1354"/>
      <c r="N115" s="1354"/>
      <c r="O115" s="1347" t="s">
        <v>140</v>
      </c>
      <c r="R115" t="s">
        <v>1305</v>
      </c>
    </row>
    <row r="116" spans="2:18" ht="14.25" thickBot="1">
      <c r="B116" s="1344"/>
      <c r="C116" s="1348" t="s">
        <v>1032</v>
      </c>
      <c r="D116" s="2112"/>
      <c r="E116" s="2112"/>
      <c r="F116" s="2112" t="s">
        <v>1211</v>
      </c>
      <c r="G116" s="2112"/>
      <c r="H116" s="2112" t="s">
        <v>1306</v>
      </c>
      <c r="I116" s="2112"/>
      <c r="J116" s="2112" t="s">
        <v>1113</v>
      </c>
      <c r="K116" s="2112"/>
      <c r="L116" s="1888" t="e">
        <f>SUM(L118:L121)</f>
        <v>#VALUE!</v>
      </c>
      <c r="M116" s="1354"/>
      <c r="N116" s="1889" t="s">
        <v>1033</v>
      </c>
      <c r="O116" s="1888" t="e">
        <f>SUM(O118:O121)</f>
        <v>#VALUE!</v>
      </c>
    </row>
    <row r="117" spans="2:18">
      <c r="B117" s="1344"/>
      <c r="C117" s="1348"/>
      <c r="D117" s="2112"/>
      <c r="E117" s="2112"/>
      <c r="F117" s="2243" t="s">
        <v>1213</v>
      </c>
      <c r="G117" s="2112"/>
      <c r="H117" s="1341" t="s">
        <v>1307</v>
      </c>
      <c r="I117" s="1341" t="s">
        <v>1308</v>
      </c>
      <c r="J117" s="1357" t="s">
        <v>1309</v>
      </c>
      <c r="K117" s="2112"/>
      <c r="L117" s="1894"/>
      <c r="M117" s="1354"/>
      <c r="N117" s="1889"/>
      <c r="O117" s="2189"/>
    </row>
    <row r="118" spans="2:18">
      <c r="B118" s="1344"/>
      <c r="C118" s="1348"/>
      <c r="D118" s="2112"/>
      <c r="E118" s="2112" t="s">
        <v>1280</v>
      </c>
      <c r="F118" s="2244">
        <f>省エネ_後!I52</f>
        <v>15000</v>
      </c>
      <c r="G118" s="2112"/>
      <c r="H118" s="2244">
        <f>省エネ_後!Q97</f>
        <v>23222</v>
      </c>
      <c r="I118" s="2244" t="e">
        <f>省エネ_後!N97</f>
        <v>#VALUE!</v>
      </c>
      <c r="J118" s="2120" t="e">
        <f>省エネ_後!L117</f>
        <v>#VALUE!</v>
      </c>
      <c r="K118" s="2112"/>
      <c r="L118" s="2245" t="e">
        <f>IF(F118=0,0,I118*J118/F118*1000)</f>
        <v>#VALUE!</v>
      </c>
      <c r="M118" s="1354"/>
      <c r="N118" s="1889"/>
      <c r="O118" s="2246" t="e">
        <f>IF(F118=0,0,H118*J118/F118*1000)</f>
        <v>#VALUE!</v>
      </c>
    </row>
    <row r="119" spans="2:18" hidden="1">
      <c r="B119" s="1344"/>
      <c r="C119" s="1348"/>
      <c r="D119" s="2112"/>
      <c r="E119" s="2112"/>
      <c r="F119" s="2244"/>
      <c r="G119" s="2112"/>
      <c r="H119" s="2244"/>
      <c r="I119" s="2244"/>
      <c r="J119" s="2120"/>
      <c r="K119" s="2112"/>
      <c r="L119" s="2245"/>
      <c r="M119" s="1354"/>
      <c r="N119" s="1889"/>
      <c r="O119" s="2246"/>
    </row>
    <row r="120" spans="2:18">
      <c r="B120" s="1344"/>
      <c r="C120" s="1348"/>
      <c r="D120" s="2112"/>
      <c r="E120" s="2112" t="s">
        <v>1310</v>
      </c>
      <c r="F120" s="2244">
        <f>省エネ_後!N52</f>
        <v>300</v>
      </c>
      <c r="G120" s="2112"/>
      <c r="H120" s="2244">
        <f>省エネ_後!Q131</f>
        <v>0</v>
      </c>
      <c r="I120" s="2244" t="str">
        <f>省エネ_後!N131</f>
        <v>-</v>
      </c>
      <c r="J120" s="2120" t="e">
        <f>CO2データ!R168</f>
        <v>#VALUE!</v>
      </c>
      <c r="K120" s="2112"/>
      <c r="L120" s="2245" t="e">
        <f>IF(F120=0,0,I120*J120/F120*1000)</f>
        <v>#VALUE!</v>
      </c>
      <c r="M120" s="1354"/>
      <c r="N120" s="1889"/>
      <c r="O120" s="2246" t="e">
        <f>IF(F120=0,0,H120*J120/F120*1000)</f>
        <v>#VALUE!</v>
      </c>
    </row>
    <row r="121" spans="2:18">
      <c r="B121" s="1344"/>
      <c r="C121" s="1348"/>
      <c r="D121" s="2112"/>
      <c r="E121" s="2112" t="s">
        <v>1311</v>
      </c>
      <c r="F121" s="2244">
        <f>省エネ_後!M52</f>
        <v>20</v>
      </c>
      <c r="G121" s="2112"/>
      <c r="H121" s="2244">
        <f>省エネ_後!Q135</f>
        <v>0</v>
      </c>
      <c r="I121" s="2244" t="str">
        <f>省エネ_後!N135</f>
        <v>-</v>
      </c>
      <c r="J121" s="2120" t="e">
        <f>CO2データ!R169</f>
        <v>#VALUE!</v>
      </c>
      <c r="K121" s="2112"/>
      <c r="L121" s="2245" t="e">
        <f>IF(F121=0,0,I121*J121/F121*1000)</f>
        <v>#VALUE!</v>
      </c>
      <c r="M121" s="1354"/>
      <c r="N121" s="1889"/>
      <c r="O121" s="2246" t="e">
        <f>IF(F121=0,0,H121*J121/F121*1000)</f>
        <v>#VALUE!</v>
      </c>
    </row>
    <row r="122" spans="2:18" ht="14.25" thickBot="1">
      <c r="B122" s="1344"/>
      <c r="C122" s="2112"/>
      <c r="D122" s="2112"/>
      <c r="E122" s="2112"/>
      <c r="F122" s="2112"/>
      <c r="G122" s="2112"/>
      <c r="H122" s="2112"/>
      <c r="I122" s="2112"/>
      <c r="J122" s="2112"/>
      <c r="K122" s="2112"/>
      <c r="L122" s="1345"/>
      <c r="M122" s="1354"/>
      <c r="N122" s="1354"/>
      <c r="O122" s="1347"/>
    </row>
    <row r="123" spans="2:18" ht="14.25" thickBot="1">
      <c r="B123" s="2111"/>
      <c r="C123" s="1348" t="s">
        <v>1034</v>
      </c>
      <c r="D123" s="2112"/>
      <c r="E123" s="2112"/>
      <c r="F123" s="2112" t="s">
        <v>1211</v>
      </c>
      <c r="G123" s="2112"/>
      <c r="H123" s="2112" t="s">
        <v>1306</v>
      </c>
      <c r="I123" s="2112"/>
      <c r="J123" s="2112" t="s">
        <v>1113</v>
      </c>
      <c r="K123" s="2112"/>
      <c r="L123" s="1888" t="e">
        <f>SUM(L125:L127)</f>
        <v>#VALUE!</v>
      </c>
      <c r="M123" s="2112"/>
      <c r="N123" s="2112"/>
      <c r="O123" s="2113"/>
    </row>
    <row r="124" spans="2:18">
      <c r="B124" s="2111"/>
      <c r="C124" s="1348"/>
      <c r="D124" s="2112"/>
      <c r="E124" s="2112"/>
      <c r="F124" s="2118" t="s">
        <v>1213</v>
      </c>
      <c r="G124" s="2112"/>
      <c r="H124" s="2247" t="s">
        <v>1312</v>
      </c>
      <c r="I124" s="1341" t="s">
        <v>1313</v>
      </c>
      <c r="J124" s="1357" t="s">
        <v>1309</v>
      </c>
      <c r="K124" s="2112"/>
      <c r="L124" s="2112"/>
      <c r="M124" s="2112"/>
      <c r="N124" s="2112"/>
      <c r="O124" s="2113"/>
    </row>
    <row r="125" spans="2:18">
      <c r="B125" s="2111"/>
      <c r="C125" s="1348"/>
      <c r="D125" s="2112"/>
      <c r="E125" s="2112" t="s">
        <v>1280</v>
      </c>
      <c r="F125" s="2244">
        <f>F118</f>
        <v>15000</v>
      </c>
      <c r="G125" s="2112"/>
      <c r="H125" s="2244">
        <f>省エネ_後!I66</f>
        <v>0</v>
      </c>
      <c r="I125" s="2244" t="e">
        <f>I118-H125</f>
        <v>#VALUE!</v>
      </c>
      <c r="J125" s="2120" t="e">
        <f>J118</f>
        <v>#VALUE!</v>
      </c>
      <c r="K125" s="2112"/>
      <c r="L125" s="2245" t="e">
        <f>IF(F125=0,0,I125*J125/F125*1000)</f>
        <v>#VALUE!</v>
      </c>
      <c r="M125" s="2112"/>
      <c r="N125" s="2112"/>
      <c r="O125" s="2113"/>
    </row>
    <row r="126" spans="2:18">
      <c r="B126" s="2111"/>
      <c r="C126" s="1348"/>
      <c r="D126" s="2112"/>
      <c r="E126" s="2112" t="s">
        <v>1310</v>
      </c>
      <c r="F126" s="2244">
        <f>F120</f>
        <v>300</v>
      </c>
      <c r="G126" s="2112"/>
      <c r="H126" s="2244">
        <f>省エネ_後!N66</f>
        <v>0</v>
      </c>
      <c r="I126" s="2244" t="e">
        <f>I120-H126</f>
        <v>#VALUE!</v>
      </c>
      <c r="J126" s="2120" t="e">
        <f>J120</f>
        <v>#VALUE!</v>
      </c>
      <c r="K126" s="2112"/>
      <c r="L126" s="2245" t="e">
        <f>IF(F126=0,0,I126*J126/F126*1000)</f>
        <v>#VALUE!</v>
      </c>
      <c r="M126" s="2112"/>
      <c r="N126" s="2112"/>
      <c r="O126" s="2113"/>
    </row>
    <row r="127" spans="2:18">
      <c r="B127" s="2111"/>
      <c r="C127" s="1348"/>
      <c r="D127" s="2112"/>
      <c r="E127" s="2112" t="s">
        <v>1311</v>
      </c>
      <c r="F127" s="2244">
        <f>F121</f>
        <v>20</v>
      </c>
      <c r="G127" s="2112"/>
      <c r="H127" s="2244">
        <f>省エネ_後!M66</f>
        <v>0</v>
      </c>
      <c r="I127" s="2244" t="e">
        <f>I121-H127</f>
        <v>#VALUE!</v>
      </c>
      <c r="J127" s="2120" t="e">
        <f>J121</f>
        <v>#VALUE!</v>
      </c>
      <c r="K127" s="2112"/>
      <c r="L127" s="2245" t="e">
        <f>IF(F127=0,0,I127*J127/F127*1000)</f>
        <v>#VALUE!</v>
      </c>
      <c r="M127" s="2112"/>
      <c r="N127" s="2112"/>
      <c r="O127" s="2113"/>
    </row>
    <row r="128" spans="2:18">
      <c r="B128" s="2111"/>
      <c r="C128" s="1348"/>
      <c r="D128" s="2112"/>
      <c r="E128" s="2112"/>
      <c r="F128" s="2112"/>
      <c r="G128" s="2112"/>
      <c r="H128" s="2112"/>
      <c r="I128" s="2112"/>
      <c r="J128" s="2112"/>
      <c r="K128" s="2112"/>
      <c r="L128" s="2112"/>
      <c r="M128" s="2112"/>
      <c r="N128" s="2112"/>
      <c r="O128" s="2113"/>
    </row>
    <row r="129" spans="2:15" hidden="1">
      <c r="B129" s="2111"/>
      <c r="C129" s="1348"/>
      <c r="D129" s="2112"/>
      <c r="E129" s="2112"/>
      <c r="F129" s="2112" t="s">
        <v>1036</v>
      </c>
      <c r="G129" s="2112"/>
      <c r="H129" s="2244"/>
      <c r="I129" s="2120"/>
      <c r="J129" s="2167"/>
      <c r="K129" s="2112"/>
      <c r="L129" s="2112"/>
      <c r="M129" s="2112"/>
      <c r="N129" s="2112"/>
      <c r="O129" s="2113"/>
    </row>
    <row r="130" spans="2:15" hidden="1">
      <c r="B130" s="2111"/>
      <c r="C130" s="1348"/>
      <c r="D130" s="2112"/>
      <c r="E130" s="2112"/>
      <c r="F130" s="2112"/>
      <c r="G130" s="2112"/>
      <c r="H130" s="1354"/>
      <c r="I130" s="2112"/>
      <c r="J130" s="2112"/>
      <c r="K130" s="2112"/>
      <c r="L130" s="2202"/>
      <c r="M130" s="2112"/>
      <c r="N130" s="2112"/>
      <c r="O130" s="2113"/>
    </row>
    <row r="131" spans="2:15" ht="16.5">
      <c r="B131" s="1344" t="s">
        <v>169</v>
      </c>
      <c r="C131" s="1354"/>
      <c r="D131" s="1357"/>
      <c r="E131" s="1354"/>
      <c r="F131" s="1346"/>
      <c r="G131" s="1354"/>
      <c r="H131" s="1354"/>
      <c r="I131" s="1354"/>
      <c r="J131" s="1354"/>
      <c r="K131" s="2248"/>
      <c r="L131" s="1345" t="s">
        <v>140</v>
      </c>
      <c r="M131" s="1354"/>
      <c r="N131" s="1354"/>
      <c r="O131" s="1347" t="s">
        <v>140</v>
      </c>
    </row>
    <row r="132" spans="2:15">
      <c r="B132" s="2160"/>
      <c r="C132" s="1354"/>
      <c r="D132" s="1357"/>
      <c r="E132" s="1354"/>
      <c r="F132" s="1346"/>
      <c r="G132" s="1354"/>
      <c r="H132" s="1354"/>
      <c r="I132" s="1354"/>
      <c r="J132" s="1354"/>
      <c r="K132" s="2248"/>
      <c r="L132" s="1353" t="s">
        <v>71</v>
      </c>
      <c r="M132" s="1354"/>
      <c r="N132" s="1361"/>
      <c r="O132" s="1355" t="s">
        <v>71</v>
      </c>
    </row>
    <row r="133" spans="2:15">
      <c r="B133" s="2160"/>
      <c r="C133" s="1362" t="s">
        <v>916</v>
      </c>
      <c r="D133" s="1363"/>
      <c r="E133" s="1363"/>
      <c r="F133" s="1364"/>
      <c r="G133" s="1354"/>
      <c r="H133" s="1354"/>
      <c r="I133" s="1354"/>
      <c r="J133" s="1354"/>
      <c r="K133" s="2248"/>
      <c r="L133" s="1365">
        <f>L24</f>
        <v>13.071952219321147</v>
      </c>
      <c r="M133" s="1354"/>
      <c r="N133" s="1354"/>
      <c r="O133" s="1366">
        <f>O24</f>
        <v>15.490086161879896</v>
      </c>
    </row>
    <row r="134" spans="2:15">
      <c r="B134" s="2160"/>
      <c r="C134" s="1362" t="s">
        <v>170</v>
      </c>
      <c r="D134" s="1363"/>
      <c r="E134" s="1363"/>
      <c r="F134" s="1364"/>
      <c r="G134" s="1354"/>
      <c r="H134" s="1354"/>
      <c r="I134" s="1354"/>
      <c r="J134" s="1354"/>
      <c r="K134" s="2248"/>
      <c r="L134" s="1365">
        <f>L113</f>
        <v>13.907772845953003</v>
      </c>
      <c r="M134" s="1354"/>
      <c r="N134" s="1354"/>
      <c r="O134" s="1366">
        <f>O113</f>
        <v>13.907772845953003</v>
      </c>
    </row>
    <row r="135" spans="2:15">
      <c r="B135" s="2160"/>
      <c r="C135" s="1362" t="s">
        <v>918</v>
      </c>
      <c r="D135" s="1363"/>
      <c r="E135" s="1363"/>
      <c r="F135" s="1364"/>
      <c r="G135" s="1354"/>
      <c r="H135" s="1354"/>
      <c r="I135" s="1354"/>
      <c r="J135" s="1354"/>
      <c r="K135" s="2248"/>
      <c r="L135" s="1367" t="e">
        <f>L123</f>
        <v>#VALUE!</v>
      </c>
      <c r="M135" s="1354"/>
      <c r="N135" s="1354"/>
      <c r="O135" s="2249" t="e">
        <f>O116</f>
        <v>#VALUE!</v>
      </c>
    </row>
    <row r="136" spans="2:15">
      <c r="B136" s="2160"/>
      <c r="C136" s="1368" t="s">
        <v>474</v>
      </c>
      <c r="D136" s="1369"/>
      <c r="E136" s="1370"/>
      <c r="F136" s="2287"/>
      <c r="G136" s="1354"/>
      <c r="H136" s="1354"/>
      <c r="I136" s="1354"/>
      <c r="J136" s="1354"/>
      <c r="K136" s="2248"/>
      <c r="L136" s="1371" t="e">
        <f>IF(COUNTIF(L133:L135,$R$115)&gt;0,$R$115,SUM(L133:L135))</f>
        <v>#VALUE!</v>
      </c>
      <c r="M136" s="1354"/>
      <c r="N136" s="1354"/>
      <c r="O136" s="1372" t="e">
        <f>IF(COUNTIF(O133:O135,$R$115)&gt;0,$R$115,SUM(O133:O135))</f>
        <v>#VALUE!</v>
      </c>
    </row>
    <row r="137" spans="2:15">
      <c r="B137" s="1344"/>
      <c r="C137" s="2284" t="s">
        <v>171</v>
      </c>
      <c r="D137" s="2285"/>
      <c r="E137" s="2285"/>
      <c r="F137" s="2286"/>
      <c r="G137" s="1354"/>
      <c r="H137" s="1354"/>
      <c r="I137" s="1354"/>
      <c r="J137" s="1354"/>
      <c r="K137" s="2248"/>
      <c r="L137" s="1373" t="e">
        <f>IF(O136=R115,R115,L136/O136)</f>
        <v>#VALUE!</v>
      </c>
      <c r="M137" s="1354"/>
      <c r="N137" s="1354"/>
      <c r="O137" s="1374">
        <v>1</v>
      </c>
    </row>
    <row r="138" spans="2:15" ht="14.25" thickBot="1">
      <c r="B138" s="1344"/>
      <c r="C138" s="1350"/>
      <c r="D138" s="1350"/>
      <c r="E138" s="1350"/>
      <c r="F138" s="1350"/>
      <c r="G138" s="1354"/>
      <c r="H138" s="1354"/>
      <c r="I138" s="1354"/>
      <c r="J138" s="1354"/>
      <c r="K138" s="2248"/>
      <c r="L138" s="2282"/>
      <c r="M138" s="1354"/>
      <c r="N138" s="1354"/>
      <c r="O138" s="1375"/>
    </row>
    <row r="139" spans="2:15" ht="17.25" thickBot="1">
      <c r="B139" s="1344" t="s">
        <v>174</v>
      </c>
      <c r="C139" s="1350"/>
      <c r="D139" s="1350"/>
      <c r="E139" s="1350"/>
      <c r="F139" s="1350"/>
      <c r="G139" s="1350"/>
      <c r="H139" s="1350"/>
      <c r="I139" s="1350"/>
      <c r="J139" s="1350"/>
      <c r="K139" s="1376" t="s">
        <v>175</v>
      </c>
      <c r="L139" s="1891" t="e">
        <f>ROUNDDOWN(IF(L137=R115,0,IF(L137&lt;0.5,5,IF(L137&gt;1.25,1,IF(L137&gt;1,-8*L137+11,3+(1-L137)*4)))),1)</f>
        <v>#VALUE!</v>
      </c>
      <c r="M139" s="1354"/>
      <c r="N139" s="1350"/>
      <c r="O139" s="1375"/>
    </row>
    <row r="140" spans="2:15" ht="14.25" thickBot="1">
      <c r="B140" s="1377"/>
      <c r="C140" s="1378"/>
      <c r="D140" s="1378"/>
      <c r="E140" s="1378"/>
      <c r="F140" s="1378"/>
      <c r="G140" s="1378"/>
      <c r="H140" s="1378"/>
      <c r="I140" s="1378"/>
      <c r="J140" s="1378"/>
      <c r="K140" s="1378"/>
      <c r="L140" s="1378"/>
      <c r="M140" s="1378"/>
      <c r="N140" s="1378"/>
      <c r="O140" s="1379"/>
    </row>
    <row r="141" spans="2:15"/>
    <row r="142" spans="2:15"/>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sheetData>
  <sheetProtection password="82B4" sheet="1" objects="1" scenarios="1"/>
  <mergeCells count="4">
    <mergeCell ref="L2:M2"/>
    <mergeCell ref="N2:O2"/>
    <mergeCell ref="L3:M3"/>
    <mergeCell ref="B3:E3"/>
  </mergeCells>
  <phoneticPr fontId="20"/>
  <conditionalFormatting sqref="E135 E133">
    <cfRule type="cellIs" dxfId="20" priority="4" stopIfTrue="1" operator="equal">
      <formula>5</formula>
    </cfRule>
    <cfRule type="cellIs" dxfId="19" priority="5" stopIfTrue="1" operator="equal">
      <formula>4</formula>
    </cfRule>
    <cfRule type="cellIs" dxfId="18" priority="6" stopIfTrue="1" operator="equal">
      <formula>2</formula>
    </cfRule>
  </conditionalFormatting>
  <conditionalFormatting sqref="E137">
    <cfRule type="cellIs" dxfId="17" priority="1" stopIfTrue="1" operator="equal">
      <formula>5</formula>
    </cfRule>
    <cfRule type="cellIs" dxfId="16" priority="2" stopIfTrue="1" operator="equal">
      <formula>4</formula>
    </cfRule>
    <cfRule type="cellIs" dxfId="15"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&amp;L&amp;F&amp;R&amp;A</oddHeader>
    <oddFooter>&amp;C&amp;P/&amp;N</oddFooter>
  </headerFooter>
</worksheet>
</file>

<file path=xl/worksheets/sheet22.xml><?xml version="1.0" encoding="utf-8"?>
<worksheet xmlns="http://schemas.openxmlformats.org/spreadsheetml/2006/main" xmlns:r="http://schemas.openxmlformats.org/officeDocument/2006/relationships">
  <sheetPr codeName="Sheet18">
    <pageSetUpPr fitToPage="1"/>
  </sheetPr>
  <dimension ref="A1:AA184"/>
  <sheetViews>
    <sheetView showGridLines="0" workbookViewId="0">
      <selection activeCell="I7" sqref="I7"/>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4.625" customWidth="1"/>
    <col min="17" max="18" width="4.625" hidden="1" customWidth="1"/>
    <col min="19" max="19" width="5.75" hidden="1" customWidth="1"/>
    <col min="20" max="20" width="6.875" hidden="1" customWidth="1"/>
    <col min="21" max="21" width="15.625" hidden="1" customWidth="1"/>
    <col min="22" max="22" width="5" hidden="1" customWidth="1"/>
    <col min="23" max="23" width="6.125" hidden="1" customWidth="1"/>
    <col min="24" max="24" width="8" hidden="1" customWidth="1"/>
    <col min="25" max="25" width="6.375" hidden="1" customWidth="1"/>
    <col min="26" max="26" width="5" hidden="1" customWidth="1"/>
    <col min="27" max="27" width="5.25" hidden="1" customWidth="1"/>
    <col min="28" max="16384" width="9" hidden="1"/>
  </cols>
  <sheetData>
    <row r="1" spans="1:21" ht="14.25" thickBot="1">
      <c r="A1" s="1815"/>
    </row>
    <row r="2" spans="1:21" ht="14.25">
      <c r="B2" s="1322" t="str">
        <f>メイン!C6</f>
        <v>CASBEE大阪みらい編（改修）</v>
      </c>
      <c r="C2" s="1323"/>
      <c r="D2" s="1324"/>
      <c r="E2" s="1325"/>
      <c r="F2" s="1827"/>
      <c r="G2" s="1827"/>
      <c r="H2" s="1827"/>
      <c r="I2" s="1827"/>
      <c r="J2" s="1827"/>
      <c r="K2" s="1827"/>
      <c r="L2" s="2977" t="s">
        <v>392</v>
      </c>
      <c r="M2" s="2977"/>
      <c r="N2" s="2978" t="str">
        <f>メイン!C6</f>
        <v>CASBEE大阪みらい編（改修）</v>
      </c>
      <c r="O2" s="2979"/>
    </row>
    <row r="3" spans="1:21" ht="14.25" thickBot="1">
      <c r="B3" s="2981" t="str">
        <f>メイン!C11</f>
        <v>旧ビル</v>
      </c>
      <c r="C3" s="2982"/>
      <c r="D3" s="2982"/>
      <c r="E3" s="2983"/>
      <c r="F3" s="1827"/>
      <c r="G3" s="1827"/>
      <c r="H3" s="1827"/>
      <c r="I3" s="1827"/>
      <c r="J3" s="1827"/>
      <c r="K3" s="1827"/>
      <c r="L3" s="2977" t="s">
        <v>862</v>
      </c>
      <c r="M3" s="2980"/>
      <c r="N3" s="2204" t="str">
        <f>メイン!C5</f>
        <v>「CASBEE大阪みらい 改修」2015年版　CASBEE-BD_RN_2015(v.1.0)</v>
      </c>
      <c r="O3" s="2205"/>
    </row>
    <row r="4" spans="1:21" ht="6.75" customHeight="1" thickBot="1">
      <c r="B4" s="1827"/>
      <c r="C4" s="1827"/>
      <c r="D4" s="1827"/>
      <c r="E4" s="1827"/>
      <c r="F4" s="1827"/>
      <c r="G4" s="1827"/>
      <c r="H4" s="1827"/>
      <c r="I4" s="1827"/>
      <c r="J4" s="1827"/>
      <c r="K4" s="1827"/>
      <c r="L4" s="1827"/>
      <c r="M4" s="1827"/>
      <c r="N4" s="1827"/>
      <c r="O4" s="1827"/>
    </row>
    <row r="5" spans="1:21" ht="18.75">
      <c r="B5" s="1326" t="s">
        <v>137</v>
      </c>
      <c r="C5" s="1327"/>
      <c r="D5" s="1328"/>
      <c r="E5" s="1329"/>
      <c r="F5" s="1330"/>
      <c r="G5" s="1330"/>
      <c r="H5" s="1330"/>
      <c r="I5" s="1330"/>
      <c r="J5" s="1330"/>
      <c r="K5" s="1327"/>
      <c r="L5" s="1331"/>
      <c r="M5" s="1332"/>
      <c r="N5" s="1333"/>
      <c r="O5" s="1334"/>
    </row>
    <row r="6" spans="1:21" ht="14.25">
      <c r="B6" s="1336"/>
      <c r="C6" s="1337"/>
      <c r="D6" s="1338"/>
      <c r="E6" s="1339"/>
      <c r="F6" s="1340"/>
      <c r="G6" s="1340"/>
      <c r="H6" s="1340"/>
      <c r="I6" s="1340"/>
      <c r="J6" s="1340"/>
      <c r="K6" s="1337"/>
      <c r="L6" s="2117" t="s">
        <v>65</v>
      </c>
      <c r="M6" s="1342"/>
      <c r="N6" s="1343"/>
      <c r="O6" s="2206" t="s">
        <v>138</v>
      </c>
      <c r="R6" t="s">
        <v>420</v>
      </c>
      <c r="S6" t="s">
        <v>421</v>
      </c>
      <c r="T6" t="s">
        <v>422</v>
      </c>
      <c r="U6" t="s">
        <v>264</v>
      </c>
    </row>
    <row r="7" spans="1:21" ht="16.5">
      <c r="B7" s="1344" t="s">
        <v>139</v>
      </c>
      <c r="C7" s="1337"/>
      <c r="D7" s="1338"/>
      <c r="E7" s="1339"/>
      <c r="F7" s="1340"/>
      <c r="G7" s="1340"/>
      <c r="H7" s="1340"/>
      <c r="I7" s="1340"/>
      <c r="J7" s="1340"/>
      <c r="K7" s="1337"/>
      <c r="L7" s="1345"/>
      <c r="M7" s="1342"/>
      <c r="N7" s="1343"/>
      <c r="O7" s="1347"/>
    </row>
    <row r="8" spans="1:21" ht="14.25">
      <c r="B8" s="2111"/>
      <c r="C8" s="1348" t="s">
        <v>141</v>
      </c>
      <c r="D8" s="1349"/>
      <c r="E8" s="1339"/>
      <c r="F8" s="1340"/>
      <c r="G8" s="1340"/>
      <c r="H8" s="1345"/>
      <c r="I8" s="1346"/>
      <c r="J8" s="1345" t="s">
        <v>140</v>
      </c>
      <c r="K8" s="1346"/>
      <c r="L8" s="1345" t="s">
        <v>140</v>
      </c>
      <c r="M8" s="1346"/>
      <c r="N8" s="1346"/>
      <c r="O8" s="1347" t="s">
        <v>140</v>
      </c>
    </row>
    <row r="9" spans="1:21">
      <c r="B9" s="2111"/>
      <c r="C9" s="1357"/>
      <c r="D9" s="1357" t="s">
        <v>147</v>
      </c>
      <c r="E9" s="1354"/>
      <c r="F9" s="2207" t="s">
        <v>142</v>
      </c>
      <c r="G9" s="1354"/>
      <c r="H9" s="1351" t="s">
        <v>143</v>
      </c>
      <c r="I9" s="1351" t="s">
        <v>144</v>
      </c>
      <c r="J9" s="1351" t="s">
        <v>145</v>
      </c>
      <c r="K9" s="1352" t="s">
        <v>146</v>
      </c>
      <c r="L9" s="1353" t="s">
        <v>71</v>
      </c>
      <c r="M9" s="1354"/>
      <c r="N9" s="1352" t="s">
        <v>146</v>
      </c>
      <c r="O9" s="1355" t="s">
        <v>71</v>
      </c>
    </row>
    <row r="10" spans="1:21">
      <c r="B10" s="2160"/>
      <c r="C10" s="1357"/>
      <c r="D10" s="1357"/>
      <c r="E10" s="1357" t="s">
        <v>456</v>
      </c>
      <c r="F10" s="2208">
        <f>メイン!P52</f>
        <v>0.71801566579634468</v>
      </c>
      <c r="G10" s="1354"/>
      <c r="H10" s="2208">
        <f>IF(OR($F$20=$R$6,$F$20=$U$6),CO2データ!I12,IF($F$20=$S$6,CO2データ!L12,CO2データ!O12))</f>
        <v>11.739099999999999</v>
      </c>
      <c r="I10" s="2208">
        <f>IF(OR($F$20=$R$6,$F$20=$U$6),CO2データ!J12,IF($F$20=$S$6,CO2データ!M12,CO2データ!P12))</f>
        <v>11.739099999999999</v>
      </c>
      <c r="J10" s="2209">
        <f>IF(OR($F$20=$R$6,$F$20=$U$6),CO2データ!K12,IF($F$20=$S$6,CO2データ!N12,CO2データ!Q12))</f>
        <v>11.739099999999999</v>
      </c>
      <c r="K10" s="2192">
        <f>スコア表示!L80</f>
        <v>3</v>
      </c>
      <c r="L10" s="2210">
        <f t="shared" ref="L10:L18" si="0">IF(K10&gt;=5,$J10,IF(K10&gt;=4,$I10,$H10))</f>
        <v>11.739099999999999</v>
      </c>
      <c r="M10" s="1354"/>
      <c r="N10" s="2192">
        <v>3</v>
      </c>
      <c r="O10" s="2211">
        <f>IF(OR($F$20=$R$6,$F$20=$U$6),CO2データ!I7,IF($F$20=$S$6,CO2データ!L7,CO2データ!O7))</f>
        <v>14.004999999999999</v>
      </c>
    </row>
    <row r="11" spans="1:21">
      <c r="B11" s="2160"/>
      <c r="C11" s="1357"/>
      <c r="D11" s="2212"/>
      <c r="E11" s="1357" t="s">
        <v>159</v>
      </c>
      <c r="F11" s="2208">
        <f>メイン!P54</f>
        <v>0</v>
      </c>
      <c r="G11" s="1354"/>
      <c r="H11" s="2208">
        <f>IF(OR($F$20=$R$6,$F$20=$U$6),CO2データ!I18,IF($F$20=$S$6,CO2データ!L18,CO2データ!O18))</f>
        <v>8.8994999999999997</v>
      </c>
      <c r="I11" s="2208">
        <f>IF(OR($F$20=$R$6,$F$20=$U$6),CO2データ!J18,IF($F$20=$S$6,CO2データ!M18,CO2データ!P18))</f>
        <v>8.8994999999999997</v>
      </c>
      <c r="J11" s="2209">
        <f>IF(OR($F$20=$R$6,$F$20=$U$6),CO2データ!K18,IF($F$20=$S$6,CO2データ!N18,CO2データ!Q18))</f>
        <v>8.8994999999999997</v>
      </c>
      <c r="K11" s="2192">
        <f t="shared" ref="K11:K18" si="1">K$10</f>
        <v>3</v>
      </c>
      <c r="L11" s="2210">
        <f t="shared" si="0"/>
        <v>8.8994999999999997</v>
      </c>
      <c r="M11" s="1354"/>
      <c r="N11" s="2192">
        <f t="shared" ref="N11:N18" si="2">N$10</f>
        <v>3</v>
      </c>
      <c r="O11" s="2211">
        <f>IF(OR($F$20=$R$6,$F$20=$U$6),CO2データ!I13,IF($F$20=$S$6,CO2データ!L13,CO2データ!O13))</f>
        <v>10.473000000000001</v>
      </c>
    </row>
    <row r="12" spans="1:21">
      <c r="B12" s="2160"/>
      <c r="C12" s="1357"/>
      <c r="D12" s="1357"/>
      <c r="E12" s="1357" t="s">
        <v>460</v>
      </c>
      <c r="F12" s="2208">
        <f>メイン!P59</f>
        <v>0</v>
      </c>
      <c r="G12" s="1354"/>
      <c r="H12" s="2208">
        <f>IF(OR($F$20=$R$6,$F$20=$U$6),CO2データ!I24,IF($F$20=$S$6,CO2データ!L24,CO2データ!O24))</f>
        <v>14.121600000000003</v>
      </c>
      <c r="I12" s="2208">
        <f>IF(OR($F$20=$R$6,$F$20=$U$6),CO2データ!J24,IF($F$20=$S$6,CO2データ!M24,CO2データ!P24))</f>
        <v>14.121600000000003</v>
      </c>
      <c r="J12" s="2209">
        <f>IF(OR($F$20=$R$6,$F$20=$U$6),CO2データ!K24,IF($F$20=$S$6,CO2データ!N24,CO2データ!Q24))</f>
        <v>14.121600000000003</v>
      </c>
      <c r="K12" s="2192">
        <f t="shared" si="1"/>
        <v>3</v>
      </c>
      <c r="L12" s="2210">
        <f t="shared" si="0"/>
        <v>14.121600000000003</v>
      </c>
      <c r="M12" s="1354"/>
      <c r="N12" s="2192">
        <f t="shared" si="2"/>
        <v>3</v>
      </c>
      <c r="O12" s="2211">
        <f>IF(OR($F$20=$R$6,$F$20=$U$6),CO2データ!I19,IF($F$20=$S$6,CO2データ!L19,CO2データ!O19))</f>
        <v>16.572000000000003</v>
      </c>
    </row>
    <row r="13" spans="1:21">
      <c r="B13" s="2160"/>
      <c r="C13" s="1357"/>
      <c r="D13" s="1357"/>
      <c r="E13" s="1357" t="s">
        <v>462</v>
      </c>
      <c r="F13" s="2208">
        <f>メイン!P61</f>
        <v>0.26109660574412535</v>
      </c>
      <c r="G13" s="1354"/>
      <c r="H13" s="2208">
        <f>IF(OR($F$20=$R$6,$F$20=$U$6),CO2データ!I30,IF($F$20=$S$6,CO2データ!L30,CO2データ!O30))</f>
        <v>14.121599999999999</v>
      </c>
      <c r="I13" s="2208">
        <f>IF(OR($F$20=$R$6,$F$20=$U$6),CO2データ!J30,IF($F$20=$S$6,CO2データ!M30,CO2データ!P30))</f>
        <v>14.121600000000003</v>
      </c>
      <c r="J13" s="2209">
        <f>IF(OR($F$20=$R$6,$F$20=$U$6),CO2データ!K30,IF($F$20=$S$6,CO2データ!N30,CO2データ!Q30))</f>
        <v>14.121600000000003</v>
      </c>
      <c r="K13" s="2192">
        <f t="shared" si="1"/>
        <v>3</v>
      </c>
      <c r="L13" s="2210">
        <f t="shared" si="0"/>
        <v>14.121599999999999</v>
      </c>
      <c r="M13" s="1354"/>
      <c r="N13" s="2192">
        <f t="shared" si="2"/>
        <v>3</v>
      </c>
      <c r="O13" s="2211">
        <f>IF(OR($F$20=$R$6,$F$20=$U$6),CO2データ!I25,IF($F$20=$S$6,CO2データ!L25,CO2データ!O25))</f>
        <v>16.571999999999999</v>
      </c>
    </row>
    <row r="14" spans="1:21">
      <c r="B14" s="2160"/>
      <c r="C14" s="1357"/>
      <c r="D14" s="1357"/>
      <c r="E14" s="151" t="s">
        <v>766</v>
      </c>
      <c r="F14" s="2208">
        <f>メイン!P62</f>
        <v>0</v>
      </c>
      <c r="G14" s="1354"/>
      <c r="H14" s="2208">
        <f>IF(OR($F$20=$R$6,$F$20=$U$6),CO2データ!I36,IF($F$20=$S$6,CO2データ!L36,CO2データ!O36))</f>
        <v>9.7101000000000006</v>
      </c>
      <c r="I14" s="2208">
        <f>IF(OR($F$20=$R$6,$F$20=$U$6),CO2データ!J36,IF($F$20=$S$6,CO2データ!M36,CO2データ!P36))</f>
        <v>9.7101000000000006</v>
      </c>
      <c r="J14" s="2209">
        <f>IF(OR($F$20=$R$6,$F$20=$U$6),CO2データ!K36,IF($F$20=$S$6,CO2データ!N36,CO2データ!Q36))</f>
        <v>9.7101000000000006</v>
      </c>
      <c r="K14" s="2192">
        <f t="shared" si="1"/>
        <v>3</v>
      </c>
      <c r="L14" s="2210">
        <f t="shared" si="0"/>
        <v>9.7101000000000006</v>
      </c>
      <c r="M14" s="1354"/>
      <c r="N14" s="2192">
        <f t="shared" si="2"/>
        <v>3</v>
      </c>
      <c r="O14" s="2211">
        <f>IF(OR($F$20=$R$6,$F$20=$U$6),CO2データ!I31,IF($F$20=$S$6,CO2データ!L31,CO2データ!O31))</f>
        <v>11.535</v>
      </c>
    </row>
    <row r="15" spans="1:21">
      <c r="B15" s="2160"/>
      <c r="C15" s="1357"/>
      <c r="D15" s="1357"/>
      <c r="E15" s="151" t="s">
        <v>472</v>
      </c>
      <c r="F15" s="2208">
        <f>メイン!P68</f>
        <v>0</v>
      </c>
      <c r="G15" s="1354"/>
      <c r="H15" s="2208">
        <f>IF(OR($F$20=$R$6,$F$20=$U$6),CO2データ!I42,IF($F$20=$S$6,CO2データ!L42,CO2データ!O42))</f>
        <v>16.688899999999997</v>
      </c>
      <c r="I15" s="2208">
        <f>IF(OR($F$20=$R$6,$F$20=$U$6),CO2データ!J42,IF($F$20=$S$6,CO2データ!M42,CO2データ!P42))</f>
        <v>16.688899999999997</v>
      </c>
      <c r="J15" s="2209">
        <f>IF(OR($F$20=$R$6,$F$20=$U$6),CO2データ!K42,IF($F$20=$S$6,CO2データ!N42,CO2データ!Q42))</f>
        <v>16.688899999999997</v>
      </c>
      <c r="K15" s="2192">
        <f t="shared" si="1"/>
        <v>3</v>
      </c>
      <c r="L15" s="2210">
        <f t="shared" si="0"/>
        <v>16.688899999999997</v>
      </c>
      <c r="M15" s="1354"/>
      <c r="N15" s="2192">
        <f t="shared" si="2"/>
        <v>3</v>
      </c>
      <c r="O15" s="2211">
        <f>IF(OR($F$20=$R$6,$F$20=$U$6),CO2データ!I37,IF($F$20=$S$6,CO2データ!L37,CO2データ!O37))</f>
        <v>19.561999999999998</v>
      </c>
    </row>
    <row r="16" spans="1:21">
      <c r="B16" s="2160"/>
      <c r="C16" s="1357"/>
      <c r="D16" s="1357"/>
      <c r="E16" s="151" t="s">
        <v>466</v>
      </c>
      <c r="F16" s="2208">
        <f>メイン!P65</f>
        <v>0</v>
      </c>
      <c r="G16" s="1354"/>
      <c r="H16" s="2208">
        <f>IF(OR($F$20=$R$6,$F$20=$U$6),CO2データ!I48,IF($F$20=$S$6,CO2データ!L48,CO2データ!O48))</f>
        <v>9.1732000000000014</v>
      </c>
      <c r="I16" s="2208">
        <f>IF(OR($F$20=$R$6,$F$20=$U$6),CO2データ!J48,IF($F$20=$S$6,CO2データ!M48,CO2データ!P48))</f>
        <v>9.1732000000000014</v>
      </c>
      <c r="J16" s="2209">
        <f>IF(OR($F$20=$R$6,$F$20=$U$6),CO2データ!K48,IF($F$20=$S$6,CO2データ!N48,CO2データ!Q48))</f>
        <v>9.1732000000000014</v>
      </c>
      <c r="K16" s="2192">
        <f t="shared" si="1"/>
        <v>3</v>
      </c>
      <c r="L16" s="2210">
        <f t="shared" si="0"/>
        <v>9.1732000000000014</v>
      </c>
      <c r="M16" s="1354"/>
      <c r="N16" s="2192">
        <f t="shared" si="2"/>
        <v>3</v>
      </c>
      <c r="O16" s="2211">
        <f>IF(OR($F$20=$R$6,$F$20=$U$6),CO2データ!I43,IF($F$20=$S$6,CO2データ!L43,CO2データ!O43))</f>
        <v>10.405000000000001</v>
      </c>
    </row>
    <row r="17" spans="2:21">
      <c r="B17" s="2160"/>
      <c r="C17" s="1357"/>
      <c r="D17" s="1357"/>
      <c r="E17" s="151" t="s">
        <v>767</v>
      </c>
      <c r="F17" s="2208">
        <f>メイン!P66</f>
        <v>0</v>
      </c>
      <c r="G17" s="1354"/>
      <c r="H17" s="2208">
        <f>IF(OR($F$20=$R$6,$F$20=$U$6),CO2データ!I54,IF($F$20=$S$6,CO2データ!L54,CO2データ!O54))</f>
        <v>9.4504000000000019</v>
      </c>
      <c r="I17" s="2208">
        <f>IF(OR($F$20=$R$6,$F$20=$U$6),CO2データ!J54,IF($F$20=$S$6,CO2データ!M54,CO2データ!P54))</f>
        <v>9.4504000000000019</v>
      </c>
      <c r="J17" s="2209">
        <f>IF(OR($F$20=$R$6,$F$20=$U$6),CO2データ!K54,IF($F$20=$S$6,CO2データ!N54,CO2データ!Q54))</f>
        <v>9.4504000000000019</v>
      </c>
      <c r="K17" s="2192">
        <f t="shared" si="1"/>
        <v>3</v>
      </c>
      <c r="L17" s="2210">
        <f t="shared" si="0"/>
        <v>9.4504000000000019</v>
      </c>
      <c r="M17" s="1354"/>
      <c r="N17" s="2192">
        <f t="shared" si="2"/>
        <v>3</v>
      </c>
      <c r="O17" s="2211">
        <f>IF(OR($F$20=$R$6,$F$20=$U$6),CO2データ!I49,IF($F$20=$S$6,CO2データ!L49,CO2データ!O49))</f>
        <v>11.119000000000002</v>
      </c>
    </row>
    <row r="18" spans="2:21">
      <c r="B18" s="2160"/>
      <c r="C18" s="1357"/>
      <c r="D18" s="1357"/>
      <c r="E18" s="151" t="s">
        <v>1301</v>
      </c>
      <c r="F18" s="2208">
        <f>メイン!P67</f>
        <v>2.0887728459530026E-2</v>
      </c>
      <c r="G18" s="1354"/>
      <c r="H18" s="2208">
        <f>IF(OR($F$20=$R$6,$F$20=$U$6),CO2データ!I60,IF($F$20=$S$6,CO2データ!L60,CO2データ!O60))</f>
        <v>13.6769</v>
      </c>
      <c r="I18" s="2208">
        <f>IF(OR($F$20=$R$6,$F$20=$U$6),CO2データ!J60,IF($F$20=$S$6,CO2データ!M60,CO2データ!P60))</f>
        <v>6.8385000000000007</v>
      </c>
      <c r="J18" s="2209">
        <f>IF(OR($F$20=$R$6,$F$20=$U$6),CO2データ!K60,IF($F$20=$S$6,CO2データ!N60,CO2データ!Q60))</f>
        <v>4.5590999999999999</v>
      </c>
      <c r="K18" s="2192">
        <f t="shared" si="1"/>
        <v>3</v>
      </c>
      <c r="L18" s="2210">
        <f t="shared" si="0"/>
        <v>13.6769</v>
      </c>
      <c r="M18" s="1354"/>
      <c r="N18" s="2192">
        <f t="shared" si="2"/>
        <v>3</v>
      </c>
      <c r="O18" s="2211">
        <f>IF(OR($F$20=$R$6,$F$20=$U$6),CO2データ!I55,IF($F$20=$S$6,CO2データ!L55,CO2データ!O55))</f>
        <v>15.641</v>
      </c>
    </row>
    <row r="19" spans="2:21">
      <c r="B19" s="2160"/>
      <c r="C19" s="1357"/>
      <c r="D19" s="1357"/>
      <c r="E19" s="1357"/>
      <c r="F19" s="1357"/>
      <c r="G19" s="1357"/>
      <c r="H19" s="1357"/>
      <c r="I19" s="2213"/>
      <c r="J19" s="2213"/>
      <c r="K19" s="2214"/>
      <c r="L19" s="2215"/>
      <c r="M19" s="1354"/>
      <c r="N19" s="2214"/>
      <c r="O19" s="2216"/>
    </row>
    <row r="20" spans="2:21">
      <c r="B20" s="2160"/>
      <c r="C20" s="1354"/>
      <c r="D20" s="1354" t="s">
        <v>150</v>
      </c>
      <c r="E20" s="1354"/>
      <c r="F20" s="2217" t="str">
        <f>メイン!C23</f>
        <v>S造</v>
      </c>
      <c r="G20" s="1354"/>
      <c r="H20" s="2218"/>
      <c r="I20" s="2218"/>
      <c r="J20" s="2218"/>
      <c r="K20" s="2219"/>
      <c r="L20" s="1354"/>
      <c r="M20" s="1354"/>
      <c r="N20" s="2219"/>
      <c r="O20" s="2220"/>
    </row>
    <row r="21" spans="2:21">
      <c r="B21" s="2221"/>
      <c r="C21" s="2112"/>
      <c r="D21" s="2112" t="s">
        <v>151</v>
      </c>
      <c r="E21" s="2112"/>
      <c r="F21" s="2222">
        <f>'条件(標準)_後'!E31</f>
        <v>0.3</v>
      </c>
      <c r="G21" s="2112"/>
      <c r="H21" s="2112"/>
      <c r="I21" s="2112"/>
      <c r="J21" s="2112"/>
      <c r="K21" s="2112"/>
      <c r="L21" s="2112"/>
      <c r="M21" s="2112"/>
      <c r="N21" s="2223">
        <v>0</v>
      </c>
      <c r="O21" s="2113"/>
    </row>
    <row r="22" spans="2:21">
      <c r="B22" s="2221"/>
      <c r="C22" s="2112"/>
      <c r="D22" s="2112" t="s">
        <v>152</v>
      </c>
      <c r="E22" s="2112"/>
      <c r="F22" s="2222">
        <f>'条件(標準)_後'!E30</f>
        <v>0</v>
      </c>
      <c r="G22" s="2112"/>
      <c r="H22" s="2112"/>
      <c r="I22" s="2112"/>
      <c r="J22" s="2112"/>
      <c r="K22" s="2112"/>
      <c r="L22" s="2112"/>
      <c r="M22" s="2112"/>
      <c r="N22" s="2223">
        <v>0</v>
      </c>
      <c r="O22" s="2113"/>
    </row>
    <row r="23" spans="2:21" ht="5.25" customHeight="1" thickBot="1">
      <c r="B23" s="2221"/>
      <c r="C23" s="2112"/>
      <c r="D23" s="2112"/>
      <c r="E23" s="2112"/>
      <c r="F23" s="2112"/>
      <c r="G23" s="2112"/>
      <c r="H23" s="2112"/>
      <c r="I23" s="2112"/>
      <c r="J23" s="2112"/>
      <c r="K23" s="2112"/>
      <c r="L23" s="2112"/>
      <c r="M23" s="2112"/>
      <c r="N23" s="2112"/>
      <c r="O23" s="2113"/>
    </row>
    <row r="24" spans="2:21" ht="14.25" thickBot="1">
      <c r="B24" s="2221"/>
      <c r="C24" s="1348" t="s">
        <v>153</v>
      </c>
      <c r="D24" s="1357"/>
      <c r="E24" s="1354"/>
      <c r="F24" s="2112"/>
      <c r="G24" s="2112"/>
      <c r="H24" s="2112"/>
      <c r="I24" s="2112"/>
      <c r="J24" s="2112"/>
      <c r="K24" s="2112"/>
      <c r="L24" s="2224">
        <f>SUMPRODUCT(F10:F18,L10:L18)</f>
        <v>12.401638903394257</v>
      </c>
      <c r="M24" s="2112"/>
      <c r="N24" s="2112"/>
      <c r="O24" s="2224">
        <f>SUMPRODUCT(F10:F18,O10:O18)</f>
        <v>14.709407310704961</v>
      </c>
    </row>
    <row r="25" spans="2:21">
      <c r="B25" s="2221"/>
      <c r="C25" s="1354"/>
      <c r="D25" s="1357"/>
      <c r="E25" s="151"/>
      <c r="F25" s="2112"/>
      <c r="G25" s="2112"/>
      <c r="H25" s="2112"/>
      <c r="I25" s="2112"/>
      <c r="J25" s="2112"/>
      <c r="K25" s="2112"/>
      <c r="L25" s="2225"/>
      <c r="M25" s="2112"/>
      <c r="N25" s="2112"/>
      <c r="O25" s="2226"/>
    </row>
    <row r="26" spans="2:21" hidden="1">
      <c r="B26" s="2221"/>
      <c r="C26" s="1354" t="s">
        <v>154</v>
      </c>
      <c r="D26" s="2112"/>
      <c r="E26" s="1357" t="s">
        <v>456</v>
      </c>
      <c r="F26" s="2308">
        <f>メイン!R52</f>
        <v>1</v>
      </c>
      <c r="G26" s="2112"/>
      <c r="H26" s="2208">
        <f>IF(OR($F$20=$R$6,$F$20=$U$6),CO2データ!I203,IF($F$20=$S$6,CO2データ!L203,CO2データ!O203))</f>
        <v>60</v>
      </c>
      <c r="I26" s="2208">
        <f>IF(OR($F$20=$R$6,$F$20=$U$6),CO2データ!J203,IF($F$20=$S$6,CO2データ!M203,CO2データ!P203))</f>
        <v>60</v>
      </c>
      <c r="J26" s="2208">
        <f>IF(OR($F$20=$R$6,$F$20=$U$6),CO2データ!K203,IF($F$20=$S$6,CO2データ!N203,CO2データ!Q203))</f>
        <v>60</v>
      </c>
      <c r="K26" s="2227">
        <f t="shared" ref="K26:K34" si="3">K10</f>
        <v>3</v>
      </c>
      <c r="L26" s="2228">
        <f>IF($F26=1,IF($K26&lt;4,$H26,IF($K26&lt;5,$I26,$J26)),0)</f>
        <v>60</v>
      </c>
      <c r="M26" s="2112"/>
      <c r="N26" s="2192">
        <v>3</v>
      </c>
      <c r="O26" s="2229">
        <f t="shared" ref="O26:O34" si="4">IF($F26=1,IF($N26&lt;4,$H26,IF($N26&lt;5,$I26,$J26)),0)</f>
        <v>60</v>
      </c>
      <c r="R26" t="str">
        <f t="shared" ref="R26:R34" si="5">IF($F26&lt;&gt;1,"",$E26&amp;"部分"&amp;L26&amp;"年,")</f>
        <v>事務所部分60年,</v>
      </c>
      <c r="U26" t="str">
        <f t="shared" ref="U26:U34" si="6">IF($F26&lt;&gt;1,"",$E26&amp;"部分"&amp;O26&amp;"年,")</f>
        <v>事務所部分60年,</v>
      </c>
    </row>
    <row r="27" spans="2:21" hidden="1">
      <c r="B27" s="2221"/>
      <c r="C27" s="1354"/>
      <c r="D27" s="2112"/>
      <c r="E27" s="1357" t="s">
        <v>458</v>
      </c>
      <c r="F27" s="2308">
        <f>メイン!R54</f>
        <v>0</v>
      </c>
      <c r="G27" s="2112"/>
      <c r="H27" s="2208">
        <f>IF(OR($F$20=$R$6,$F$20=$U$6),CO2データ!I204,IF($F$20=$S$6,CO2データ!L204,CO2データ!O204))</f>
        <v>60</v>
      </c>
      <c r="I27" s="2208">
        <f>IF(OR($F$20=$R$6,$F$20=$U$6),CO2データ!J204,IF($F$20=$S$6,CO2データ!M204,CO2データ!P204))</f>
        <v>60</v>
      </c>
      <c r="J27" s="2208">
        <f>IF(OR($F$20=$R$6,$F$20=$U$6),CO2データ!K204,IF($F$20=$S$6,CO2データ!N204,CO2データ!Q204))</f>
        <v>60</v>
      </c>
      <c r="K27" s="2227">
        <f t="shared" si="3"/>
        <v>3</v>
      </c>
      <c r="L27" s="2228">
        <f t="shared" ref="L27:L34" si="7">IF($F27=1,IF($K27&lt;4,$H27,IF($K27&lt;5,$I27,$J27)),0)</f>
        <v>0</v>
      </c>
      <c r="M27" s="2112"/>
      <c r="N27" s="2192">
        <v>3</v>
      </c>
      <c r="O27" s="2229">
        <f t="shared" si="4"/>
        <v>0</v>
      </c>
      <c r="R27" t="str">
        <f t="shared" si="5"/>
        <v/>
      </c>
      <c r="U27" t="str">
        <f t="shared" si="6"/>
        <v/>
      </c>
    </row>
    <row r="28" spans="2:21" hidden="1">
      <c r="B28" s="2221"/>
      <c r="C28" s="1354"/>
      <c r="D28" s="2112"/>
      <c r="E28" s="1357" t="s">
        <v>460</v>
      </c>
      <c r="F28" s="2308">
        <f>メイン!R59</f>
        <v>0</v>
      </c>
      <c r="G28" s="2112"/>
      <c r="H28" s="2208">
        <f>IF(OR($F$20=$R$6,$F$20=$U$6),CO2データ!I205,IF($F$20=$S$6,CO2データ!L205,CO2データ!O205))</f>
        <v>30</v>
      </c>
      <c r="I28" s="2208">
        <f>IF(OR($F$20=$R$6,$F$20=$U$6),CO2データ!J205,IF($F$20=$S$6,CO2データ!M205,CO2データ!P205))</f>
        <v>30</v>
      </c>
      <c r="J28" s="2208">
        <f>IF(OR($F$20=$R$6,$F$20=$U$6),CO2データ!K205,IF($F$20=$S$6,CO2データ!N205,CO2データ!Q205))</f>
        <v>30</v>
      </c>
      <c r="K28" s="2227">
        <f t="shared" si="3"/>
        <v>3</v>
      </c>
      <c r="L28" s="2228">
        <f t="shared" si="7"/>
        <v>0</v>
      </c>
      <c r="M28" s="2112"/>
      <c r="N28" s="2192">
        <v>3</v>
      </c>
      <c r="O28" s="2229">
        <f t="shared" si="4"/>
        <v>0</v>
      </c>
      <c r="R28" t="str">
        <f t="shared" si="5"/>
        <v/>
      </c>
      <c r="U28" t="str">
        <f t="shared" si="6"/>
        <v/>
      </c>
    </row>
    <row r="29" spans="2:21" hidden="1">
      <c r="B29" s="2221"/>
      <c r="C29" s="1354"/>
      <c r="D29" s="2112"/>
      <c r="E29" s="1357" t="s">
        <v>462</v>
      </c>
      <c r="F29" s="2308">
        <f>メイン!R61</f>
        <v>2</v>
      </c>
      <c r="G29" s="2112"/>
      <c r="H29" s="2208">
        <f>IF(OR($F$20=$R$6,$F$20=$U$6),CO2データ!I206,IF($F$20=$S$6,CO2データ!L206,CO2データ!O206))</f>
        <v>30</v>
      </c>
      <c r="I29" s="2208">
        <f>IF(OR($F$20=$R$6,$F$20=$U$6),CO2データ!J206,IF($F$20=$S$6,CO2データ!M206,CO2データ!P206))</f>
        <v>30</v>
      </c>
      <c r="J29" s="2208">
        <f>IF(OR($F$20=$R$6,$F$20=$U$6),CO2データ!K206,IF($F$20=$S$6,CO2データ!N206,CO2データ!Q206))</f>
        <v>30</v>
      </c>
      <c r="K29" s="2227">
        <f t="shared" si="3"/>
        <v>3</v>
      </c>
      <c r="L29" s="2228">
        <f t="shared" si="7"/>
        <v>0</v>
      </c>
      <c r="M29" s="2112"/>
      <c r="N29" s="2192">
        <v>3</v>
      </c>
      <c r="O29" s="2229">
        <f t="shared" si="4"/>
        <v>0</v>
      </c>
      <c r="R29" t="str">
        <f t="shared" si="5"/>
        <v/>
      </c>
      <c r="U29" t="str">
        <f t="shared" si="6"/>
        <v/>
      </c>
    </row>
    <row r="30" spans="2:21" hidden="1">
      <c r="B30" s="2221"/>
      <c r="C30" s="1354"/>
      <c r="D30" s="2112"/>
      <c r="E30" s="151" t="s">
        <v>766</v>
      </c>
      <c r="F30" s="2308">
        <f>メイン!R62</f>
        <v>0</v>
      </c>
      <c r="G30" s="2112"/>
      <c r="H30" s="2208">
        <f>IF(OR($F$20=$R$6,$F$20=$U$6),CO2データ!I207,IF($F$20=$S$6,CO2データ!L207,CO2データ!O207))</f>
        <v>60</v>
      </c>
      <c r="I30" s="2208">
        <f>IF(OR($F$20=$R$6,$F$20=$U$6),CO2データ!J207,IF($F$20=$S$6,CO2データ!M207,CO2データ!P207))</f>
        <v>60</v>
      </c>
      <c r="J30" s="2208">
        <f>IF(OR($F$20=$R$6,$F$20=$U$6),CO2データ!K207,IF($F$20=$S$6,CO2データ!N207,CO2データ!Q207))</f>
        <v>60</v>
      </c>
      <c r="K30" s="2227">
        <f t="shared" si="3"/>
        <v>3</v>
      </c>
      <c r="L30" s="2228">
        <f t="shared" si="7"/>
        <v>0</v>
      </c>
      <c r="M30" s="2112"/>
      <c r="N30" s="2192">
        <v>3</v>
      </c>
      <c r="O30" s="2229">
        <f t="shared" si="4"/>
        <v>0</v>
      </c>
      <c r="R30" t="str">
        <f t="shared" si="5"/>
        <v/>
      </c>
      <c r="U30" t="str">
        <f t="shared" si="6"/>
        <v/>
      </c>
    </row>
    <row r="31" spans="2:21" hidden="1">
      <c r="B31" s="2221"/>
      <c r="C31" s="1354"/>
      <c r="D31" s="2112"/>
      <c r="E31" s="151" t="s">
        <v>472</v>
      </c>
      <c r="F31" s="2308">
        <f>メイン!R68</f>
        <v>0</v>
      </c>
      <c r="G31" s="2112"/>
      <c r="H31" s="2208">
        <f>IF(OR($F$20=$R$6,$F$20=$U$6),CO2データ!I208,IF($F$20=$S$6,CO2データ!L208,CO2データ!O208))</f>
        <v>30</v>
      </c>
      <c r="I31" s="2208">
        <f>IF(OR($F$20=$R$6,$F$20=$U$6),CO2データ!J208,IF($F$20=$S$6,CO2データ!M208,CO2データ!P208))</f>
        <v>30</v>
      </c>
      <c r="J31" s="2208">
        <f>IF(OR($F$20=$R$6,$F$20=$U$6),CO2データ!K208,IF($F$20=$S$6,CO2データ!N208,CO2データ!Q208))</f>
        <v>30</v>
      </c>
      <c r="K31" s="2227">
        <f t="shared" si="3"/>
        <v>3</v>
      </c>
      <c r="L31" s="2228">
        <f t="shared" si="7"/>
        <v>0</v>
      </c>
      <c r="M31" s="2112"/>
      <c r="N31" s="2192">
        <v>3</v>
      </c>
      <c r="O31" s="2229">
        <f t="shared" si="4"/>
        <v>0</v>
      </c>
      <c r="R31" t="str">
        <f t="shared" si="5"/>
        <v/>
      </c>
      <c r="U31" t="str">
        <f t="shared" si="6"/>
        <v/>
      </c>
    </row>
    <row r="32" spans="2:21" hidden="1">
      <c r="B32" s="2221"/>
      <c r="C32" s="1354"/>
      <c r="D32" s="2112"/>
      <c r="E32" s="151" t="s">
        <v>466</v>
      </c>
      <c r="F32" s="2308">
        <f>メイン!R65</f>
        <v>0</v>
      </c>
      <c r="G32" s="2112"/>
      <c r="H32" s="2208">
        <f>IF(OR($F$20=$R$6,$F$20=$U$6),CO2データ!I209,IF($F$20=$S$6,CO2データ!L209,CO2データ!O209))</f>
        <v>60</v>
      </c>
      <c r="I32" s="2208">
        <f>IF(OR($F$20=$R$6,$F$20=$U$6),CO2データ!J209,IF($F$20=$S$6,CO2データ!M209,CO2データ!P209))</f>
        <v>60</v>
      </c>
      <c r="J32" s="2208">
        <f>IF(OR($F$20=$R$6,$F$20=$U$6),CO2データ!K209,IF($F$20=$S$6,CO2データ!N209,CO2データ!Q209))</f>
        <v>60</v>
      </c>
      <c r="K32" s="2227">
        <f t="shared" si="3"/>
        <v>3</v>
      </c>
      <c r="L32" s="2228">
        <f t="shared" si="7"/>
        <v>0</v>
      </c>
      <c r="M32" s="2112"/>
      <c r="N32" s="2192">
        <v>3</v>
      </c>
      <c r="O32" s="2229">
        <f t="shared" si="4"/>
        <v>0</v>
      </c>
      <c r="R32" t="str">
        <f t="shared" si="5"/>
        <v/>
      </c>
      <c r="U32" t="str">
        <f t="shared" si="6"/>
        <v/>
      </c>
    </row>
    <row r="33" spans="2:21" hidden="1">
      <c r="B33" s="2221"/>
      <c r="C33" s="1354"/>
      <c r="D33" s="2112"/>
      <c r="E33" s="151" t="s">
        <v>767</v>
      </c>
      <c r="F33" s="2308">
        <f>メイン!R66</f>
        <v>0</v>
      </c>
      <c r="G33" s="2112"/>
      <c r="H33" s="2208">
        <f>IF(OR($F$20=$R$6,$F$20=$U$6),CO2データ!I210,IF($F$20=$S$6,CO2データ!L210,CO2データ!O210))</f>
        <v>60</v>
      </c>
      <c r="I33" s="2208">
        <f>IF(OR($F$20=$R$6,$F$20=$U$6),CO2データ!J210,IF($F$20=$S$6,CO2データ!M210,CO2データ!P210))</f>
        <v>60</v>
      </c>
      <c r="J33" s="2208">
        <f>IF(OR($F$20=$R$6,$F$20=$U$6),CO2データ!K210,IF($F$20=$S$6,CO2データ!N210,CO2データ!Q210))</f>
        <v>60</v>
      </c>
      <c r="K33" s="2227">
        <f t="shared" si="3"/>
        <v>3</v>
      </c>
      <c r="L33" s="2228">
        <f t="shared" si="7"/>
        <v>0</v>
      </c>
      <c r="M33" s="2112"/>
      <c r="N33" s="2192">
        <v>3</v>
      </c>
      <c r="O33" s="2229">
        <f t="shared" si="4"/>
        <v>0</v>
      </c>
      <c r="R33" t="str">
        <f t="shared" si="5"/>
        <v/>
      </c>
      <c r="U33" t="str">
        <f t="shared" si="6"/>
        <v/>
      </c>
    </row>
    <row r="34" spans="2:21" ht="14.25" hidden="1" thickBot="1">
      <c r="B34" s="2221"/>
      <c r="C34" s="1354"/>
      <c r="D34" s="2112"/>
      <c r="E34" s="151" t="s">
        <v>470</v>
      </c>
      <c r="F34" s="2308">
        <f>メイン!R67</f>
        <v>3</v>
      </c>
      <c r="G34" s="2112"/>
      <c r="H34" s="2208">
        <f>IF(OR($F$20=$R$6,$F$20=$U$6),CO2データ!I211,IF($F$20=$S$6,CO2データ!L211,CO2データ!O211))</f>
        <v>30</v>
      </c>
      <c r="I34" s="2208">
        <f>IF(OR($F$20=$R$6,$F$20=$U$6),CO2データ!J211,IF($F$20=$S$6,CO2データ!M211,CO2データ!P211))</f>
        <v>60</v>
      </c>
      <c r="J34" s="2208">
        <f>IF(OR($F$20=$R$6,$F$20=$U$6),CO2データ!K211,IF($F$20=$S$6,CO2データ!N211,CO2データ!Q211))</f>
        <v>90</v>
      </c>
      <c r="K34" s="2227">
        <f t="shared" si="3"/>
        <v>3</v>
      </c>
      <c r="L34" s="2228">
        <f t="shared" si="7"/>
        <v>0</v>
      </c>
      <c r="M34" s="2112"/>
      <c r="N34" s="2192">
        <v>3</v>
      </c>
      <c r="O34" s="2229">
        <f t="shared" si="4"/>
        <v>0</v>
      </c>
      <c r="R34" t="str">
        <f t="shared" si="5"/>
        <v/>
      </c>
      <c r="U34" t="str">
        <f t="shared" si="6"/>
        <v/>
      </c>
    </row>
    <row r="35" spans="2:21" ht="14.25" hidden="1" thickBot="1">
      <c r="B35" s="2221"/>
      <c r="C35" s="1354"/>
      <c r="D35" s="2112"/>
      <c r="E35" s="151"/>
      <c r="F35" s="151"/>
      <c r="G35" s="151"/>
      <c r="H35" s="151"/>
      <c r="I35" s="151"/>
      <c r="J35" s="151"/>
      <c r="K35" s="151"/>
      <c r="L35" s="2230" t="str">
        <f>R26&amp;R27&amp;R28&amp;R29&amp;R30&amp;R31&amp;R32&amp;R33&amp;R34&amp;R35</f>
        <v>事務所部分60年,他</v>
      </c>
      <c r="M35" s="151"/>
      <c r="N35" s="151"/>
      <c r="O35" s="2230" t="str">
        <f>U26&amp;U27&amp;U28&amp;U29&amp;U30&amp;U31&amp;U32&amp;U33&amp;U34&amp;U35</f>
        <v>事務所部分60年,他</v>
      </c>
      <c r="R35" t="str">
        <f>IF(SUM(F26:F34)&gt;1,"他","")</f>
        <v>他</v>
      </c>
      <c r="U35" t="str">
        <f>IF(SUM(F26:F34)&gt;1,"他","")</f>
        <v>他</v>
      </c>
    </row>
    <row r="36" spans="2:21" hidden="1">
      <c r="B36" s="2221"/>
      <c r="C36" s="1354"/>
      <c r="D36" s="2112"/>
      <c r="E36" s="151"/>
      <c r="F36" s="151"/>
      <c r="G36" s="151"/>
      <c r="H36" s="151"/>
      <c r="I36" s="151"/>
      <c r="J36" s="151"/>
      <c r="K36" s="151"/>
      <c r="L36" s="151"/>
      <c r="M36" s="151"/>
      <c r="N36" s="151"/>
      <c r="O36" s="2231"/>
    </row>
    <row r="37" spans="2:21" hidden="1">
      <c r="B37" s="2232"/>
      <c r="C37" s="2233" t="s">
        <v>80</v>
      </c>
      <c r="D37" s="2233"/>
      <c r="E37" s="2162"/>
      <c r="F37" s="2162"/>
      <c r="G37" s="2162"/>
      <c r="H37" s="2234"/>
      <c r="I37" s="2235" t="s">
        <v>155</v>
      </c>
      <c r="J37" s="2235" t="s">
        <v>156</v>
      </c>
      <c r="K37" s="2236"/>
      <c r="L37" s="2236"/>
      <c r="M37" s="2236"/>
      <c r="N37" s="2236"/>
      <c r="O37" s="2237"/>
    </row>
    <row r="38" spans="2:21" hidden="1">
      <c r="B38" s="2232"/>
      <c r="C38" s="2162"/>
      <c r="D38" s="2162" t="s">
        <v>157</v>
      </c>
      <c r="E38" s="2162"/>
      <c r="F38" s="2208">
        <f>F10</f>
        <v>0.71801566579634468</v>
      </c>
      <c r="G38" s="2162"/>
      <c r="H38" s="2208">
        <f>IF(OR($F$20=$R$6,$F$20=$U$6),CO2データ!I214,IF($F$20=$S$6,CO2データ!L214,CO2データ!O214))</f>
        <v>0.56699999999999995</v>
      </c>
      <c r="I38" s="2208">
        <f>IF(OR($F$20=$R$6,$F$20=$U$6),CO2データ!J214,IF($F$20=$S$6,CO2データ!M214,CO2データ!P214))</f>
        <v>0</v>
      </c>
      <c r="J38" s="2208">
        <f>IF(OR($F$20=$R$6,$F$20=$U$6),CO2データ!K214,IF($F$20=$S$6,CO2データ!N214,CO2データ!Q214))</f>
        <v>0</v>
      </c>
      <c r="K38" s="2236"/>
      <c r="L38" s="2234">
        <f t="shared" ref="L38:L91" si="8">H38-(H38-I38)*$F$21-(H38-J38)*$F$22</f>
        <v>0.39689999999999998</v>
      </c>
      <c r="M38" s="2236"/>
      <c r="N38" s="2234"/>
      <c r="O38" s="2238">
        <f t="shared" ref="O38:O91" si="9">H38</f>
        <v>0.56699999999999995</v>
      </c>
      <c r="P38" t="s">
        <v>158</v>
      </c>
    </row>
    <row r="39" spans="2:21" hidden="1">
      <c r="B39" s="2232"/>
      <c r="C39" s="2162"/>
      <c r="D39" s="2162"/>
      <c r="E39" s="2162"/>
      <c r="F39" s="2208">
        <f>$F$38</f>
        <v>0.71801566579634468</v>
      </c>
      <c r="G39" s="2162"/>
      <c r="H39" s="2208">
        <f>IF(OR($F$20=$R$6,$F$20=$U$6),CO2データ!I215,IF($F$20=$S$6,CO2データ!L215,CO2データ!O215))</f>
        <v>0</v>
      </c>
      <c r="I39" s="2208">
        <f>IF(OR($F$20=$R$6,$F$20=$U$6),CO2データ!J215,IF($F$20=$S$6,CO2データ!M215,CO2データ!P215))</f>
        <v>0</v>
      </c>
      <c r="J39" s="2208">
        <f>IF(OR($F$20=$R$6,$F$20=$U$6),CO2データ!K215,IF($F$20=$S$6,CO2データ!N215,CO2データ!Q215))</f>
        <v>0.56699999999999995</v>
      </c>
      <c r="K39" s="2236"/>
      <c r="L39" s="2234">
        <f t="shared" si="8"/>
        <v>0</v>
      </c>
      <c r="M39" s="2236"/>
      <c r="N39" s="2234"/>
      <c r="O39" s="2238">
        <f t="shared" si="9"/>
        <v>0</v>
      </c>
      <c r="P39" t="s">
        <v>158</v>
      </c>
    </row>
    <row r="40" spans="2:21" hidden="1">
      <c r="B40" s="2232"/>
      <c r="C40" s="2162"/>
      <c r="D40" s="2162"/>
      <c r="E40" s="2162"/>
      <c r="F40" s="2208">
        <f>$F$38</f>
        <v>0.71801566579634468</v>
      </c>
      <c r="G40" s="2162"/>
      <c r="H40" s="2208">
        <f>IF(OR($F$20=$R$6,$F$20=$U$6),CO2データ!I216,IF($F$20=$S$6,CO2データ!L216,CO2データ!O216))</f>
        <v>0.13600000000000001</v>
      </c>
      <c r="I40" s="2208">
        <f>IF(OR($F$20=$R$6,$F$20=$U$6),CO2データ!J216,IF($F$20=$S$6,CO2データ!M216,CO2データ!P216))</f>
        <v>0</v>
      </c>
      <c r="J40" s="2208">
        <f>IF(OR($F$20=$R$6,$F$20=$U$6),CO2データ!K216,IF($F$20=$S$6,CO2データ!N216,CO2データ!Q216))</f>
        <v>0.13600000000000001</v>
      </c>
      <c r="K40" s="2236"/>
      <c r="L40" s="2234">
        <f t="shared" si="8"/>
        <v>9.5200000000000007E-2</v>
      </c>
      <c r="M40" s="2236"/>
      <c r="N40" s="2234"/>
      <c r="O40" s="2238">
        <f t="shared" si="9"/>
        <v>0.13600000000000001</v>
      </c>
      <c r="P40" t="s">
        <v>85</v>
      </c>
    </row>
    <row r="41" spans="2:21" hidden="1">
      <c r="B41" s="2232"/>
      <c r="C41" s="2162"/>
      <c r="D41" s="2162"/>
      <c r="E41" s="2162"/>
      <c r="F41" s="2208">
        <f>$F$38</f>
        <v>0.71801566579634468</v>
      </c>
      <c r="G41" s="2162"/>
      <c r="H41" s="2208">
        <f>IF(OR($F$20=$R$6,$F$20=$U$6),CO2データ!I217,IF($F$20=$S$6,CO2データ!L217,CO2データ!O217))</f>
        <v>0</v>
      </c>
      <c r="I41" s="2208">
        <f>IF(OR($F$20=$R$6,$F$20=$U$6),CO2データ!J217,IF($F$20=$S$6,CO2データ!M217,CO2データ!P217))</f>
        <v>0</v>
      </c>
      <c r="J41" s="2208">
        <f>IF(OR($F$20=$R$6,$F$20=$U$6),CO2データ!K217,IF($F$20=$S$6,CO2データ!N217,CO2データ!Q217))</f>
        <v>0</v>
      </c>
      <c r="K41" s="2236"/>
      <c r="L41" s="2234">
        <f t="shared" si="8"/>
        <v>0</v>
      </c>
      <c r="M41" s="2236"/>
      <c r="N41" s="2234"/>
      <c r="O41" s="2238">
        <f t="shared" si="9"/>
        <v>0</v>
      </c>
      <c r="P41" t="s">
        <v>85</v>
      </c>
    </row>
    <row r="42" spans="2:21" hidden="1">
      <c r="B42" s="2232"/>
      <c r="C42" s="2162"/>
      <c r="D42" s="2162"/>
      <c r="E42" s="2162"/>
      <c r="F42" s="2208">
        <f>$F$38</f>
        <v>0.71801566579634468</v>
      </c>
      <c r="G42" s="2162"/>
      <c r="H42" s="2208">
        <f>IF(OR($F$20=$R$6,$F$20=$U$6),CO2データ!I218,IF($F$20=$S$6,CO2データ!L218,CO2データ!O218))</f>
        <v>7.0000000000000007E-2</v>
      </c>
      <c r="I42" s="2208">
        <f>IF(OR($F$20=$R$6,$F$20=$U$6),CO2データ!J218,IF($F$20=$S$6,CO2データ!M218,CO2データ!P218))</f>
        <v>0</v>
      </c>
      <c r="J42" s="2208">
        <f>IF(OR($F$20=$R$6,$F$20=$U$6),CO2データ!K218,IF($F$20=$S$6,CO2データ!N218,CO2データ!Q218))</f>
        <v>7.0000000000000007E-2</v>
      </c>
      <c r="K42" s="2236"/>
      <c r="L42" s="2234">
        <f t="shared" si="8"/>
        <v>4.9000000000000002E-2</v>
      </c>
      <c r="M42" s="2236"/>
      <c r="N42" s="2234"/>
      <c r="O42" s="2238">
        <f t="shared" si="9"/>
        <v>7.0000000000000007E-2</v>
      </c>
      <c r="P42" t="s">
        <v>85</v>
      </c>
    </row>
    <row r="43" spans="2:21" hidden="1">
      <c r="B43" s="2232"/>
      <c r="C43" s="2162"/>
      <c r="D43" s="2162"/>
      <c r="E43" s="2162"/>
      <c r="F43" s="2208">
        <f>$F$38</f>
        <v>0.71801566579634468</v>
      </c>
      <c r="G43" s="2162"/>
      <c r="H43" s="2208">
        <f>IF(OR($F$20=$R$6,$F$20=$U$6),CO2データ!I219,IF($F$20=$S$6,CO2データ!L219,CO2データ!O219))</f>
        <v>5.0000000000000001E-3</v>
      </c>
      <c r="I43" s="2208">
        <f>IF(OR($F$20=$R$6,$F$20=$U$6),CO2データ!J219,IF($F$20=$S$6,CO2データ!M219,CO2データ!P219))</f>
        <v>0</v>
      </c>
      <c r="J43" s="2208">
        <f>IF(OR($F$20=$R$6,$F$20=$U$6),CO2データ!K219,IF($F$20=$S$6,CO2データ!N219,CO2データ!Q219))</f>
        <v>5.0000000000000001E-3</v>
      </c>
      <c r="K43" s="2236"/>
      <c r="L43" s="2234">
        <f t="shared" si="8"/>
        <v>3.5000000000000001E-3</v>
      </c>
      <c r="M43" s="2236"/>
      <c r="N43" s="2234"/>
      <c r="O43" s="2238">
        <f t="shared" si="9"/>
        <v>5.0000000000000001E-3</v>
      </c>
      <c r="P43" t="s">
        <v>85</v>
      </c>
    </row>
    <row r="44" spans="2:21" hidden="1">
      <c r="B44" s="2232"/>
      <c r="C44" s="2162"/>
      <c r="D44" s="2162" t="s">
        <v>159</v>
      </c>
      <c r="E44" s="2162"/>
      <c r="F44" s="2208">
        <f>F11</f>
        <v>0</v>
      </c>
      <c r="G44" s="2162"/>
      <c r="H44" s="2208">
        <f>IF(OR($F$20=$R$6,$F$20=$U$6),CO2データ!I220,IF($F$20=$S$6,CO2データ!L220,CO2データ!O220))</f>
        <v>0.35199999999999998</v>
      </c>
      <c r="I44" s="2208">
        <f>IF(OR($F$20=$R$6,$F$20=$U$6),CO2データ!J220,IF($F$20=$S$6,CO2データ!M220,CO2データ!P220))</f>
        <v>0</v>
      </c>
      <c r="J44" s="2208">
        <f>IF(OR($F$20=$R$6,$F$20=$U$6),CO2データ!K220,IF($F$20=$S$6,CO2データ!N220,CO2データ!Q220))</f>
        <v>0</v>
      </c>
      <c r="K44" s="2236"/>
      <c r="L44" s="2234">
        <f t="shared" si="8"/>
        <v>0.24640000000000001</v>
      </c>
      <c r="M44" s="2236"/>
      <c r="N44" s="2234"/>
      <c r="O44" s="2238">
        <f t="shared" si="9"/>
        <v>0.35199999999999998</v>
      </c>
      <c r="P44" t="s">
        <v>158</v>
      </c>
    </row>
    <row r="45" spans="2:21" hidden="1">
      <c r="B45" s="2232"/>
      <c r="C45" s="2162"/>
      <c r="D45" s="2162"/>
      <c r="E45" s="2162"/>
      <c r="F45" s="2208">
        <f>$F$44</f>
        <v>0</v>
      </c>
      <c r="G45" s="2162"/>
      <c r="H45" s="2208">
        <f>IF(OR($F$20=$R$6,$F$20=$U$6),CO2データ!I221,IF($F$20=$S$6,CO2データ!L221,CO2データ!O221))</f>
        <v>0</v>
      </c>
      <c r="I45" s="2208">
        <f>IF(OR($F$20=$R$6,$F$20=$U$6),CO2データ!J221,IF($F$20=$S$6,CO2データ!M221,CO2データ!P221))</f>
        <v>0</v>
      </c>
      <c r="J45" s="2208">
        <f>IF(OR($F$20=$R$6,$F$20=$U$6),CO2データ!K221,IF($F$20=$S$6,CO2データ!N221,CO2データ!Q221))</f>
        <v>0.35199999999999998</v>
      </c>
      <c r="K45" s="2236"/>
      <c r="L45" s="2234">
        <f t="shared" si="8"/>
        <v>0</v>
      </c>
      <c r="M45" s="2236"/>
      <c r="N45" s="2234"/>
      <c r="O45" s="2238">
        <f t="shared" si="9"/>
        <v>0</v>
      </c>
      <c r="P45" t="s">
        <v>158</v>
      </c>
    </row>
    <row r="46" spans="2:21" hidden="1">
      <c r="B46" s="2232"/>
      <c r="C46" s="2162"/>
      <c r="D46" s="2162"/>
      <c r="E46" s="2162"/>
      <c r="F46" s="2208">
        <f>$F$44</f>
        <v>0</v>
      </c>
      <c r="G46" s="2162"/>
      <c r="H46" s="2208">
        <f>IF(OR($F$20=$R$6,$F$20=$U$6),CO2データ!I222,IF($F$20=$S$6,CO2データ!L222,CO2データ!O222))</f>
        <v>0.105</v>
      </c>
      <c r="I46" s="2208">
        <f>IF(OR($F$20=$R$6,$F$20=$U$6),CO2データ!J222,IF($F$20=$S$6,CO2データ!M222,CO2データ!P222))</f>
        <v>0</v>
      </c>
      <c r="J46" s="2208">
        <f>IF(OR($F$20=$R$6,$F$20=$U$6),CO2データ!K222,IF($F$20=$S$6,CO2データ!N222,CO2データ!Q222))</f>
        <v>0.105</v>
      </c>
      <c r="K46" s="2236"/>
      <c r="L46" s="2234">
        <f t="shared" si="8"/>
        <v>7.3499999999999996E-2</v>
      </c>
      <c r="M46" s="2236"/>
      <c r="N46" s="2234"/>
      <c r="O46" s="2238">
        <f t="shared" si="9"/>
        <v>0.105</v>
      </c>
      <c r="P46" t="s">
        <v>85</v>
      </c>
    </row>
    <row r="47" spans="2:21" hidden="1">
      <c r="B47" s="2232"/>
      <c r="C47" s="2162"/>
      <c r="D47" s="2162"/>
      <c r="E47" s="2162"/>
      <c r="F47" s="2208">
        <f>$F$44</f>
        <v>0</v>
      </c>
      <c r="G47" s="2162"/>
      <c r="H47" s="2208">
        <f>IF(OR($F$20=$R$6,$F$20=$U$6),CO2データ!I223,IF($F$20=$S$6,CO2データ!L223,CO2データ!O223))</f>
        <v>0</v>
      </c>
      <c r="I47" s="2208">
        <f>IF(OR($F$20=$R$6,$F$20=$U$6),CO2データ!J223,IF($F$20=$S$6,CO2データ!M223,CO2データ!P223))</f>
        <v>0</v>
      </c>
      <c r="J47" s="2208">
        <f>IF(OR($F$20=$R$6,$F$20=$U$6),CO2データ!K223,IF($F$20=$S$6,CO2データ!N223,CO2データ!Q223))</f>
        <v>0</v>
      </c>
      <c r="K47" s="2236"/>
      <c r="L47" s="2234">
        <f t="shared" si="8"/>
        <v>0</v>
      </c>
      <c r="M47" s="2236"/>
      <c r="N47" s="2234"/>
      <c r="O47" s="2238">
        <f t="shared" si="9"/>
        <v>0</v>
      </c>
      <c r="P47" t="s">
        <v>85</v>
      </c>
    </row>
    <row r="48" spans="2:21" hidden="1">
      <c r="B48" s="2232"/>
      <c r="C48" s="2162"/>
      <c r="D48" s="2162"/>
      <c r="E48" s="2162"/>
      <c r="F48" s="2208">
        <f>$F$44</f>
        <v>0</v>
      </c>
      <c r="G48" s="2162"/>
      <c r="H48" s="2208">
        <f>IF(OR($F$20=$R$6,$F$20=$U$6),CO2データ!I224,IF($F$20=$S$6,CO2データ!L224,CO2データ!O224))</f>
        <v>4.4999999999999998E-2</v>
      </c>
      <c r="I48" s="2208">
        <f>IF(OR($F$20=$R$6,$F$20=$U$6),CO2データ!J224,IF($F$20=$S$6,CO2データ!M224,CO2データ!P224))</f>
        <v>0</v>
      </c>
      <c r="J48" s="2208">
        <f>IF(OR($F$20=$R$6,$F$20=$U$6),CO2データ!K224,IF($F$20=$S$6,CO2データ!N224,CO2データ!Q224))</f>
        <v>4.4999999999999998E-2</v>
      </c>
      <c r="K48" s="2236"/>
      <c r="L48" s="2234">
        <f t="shared" si="8"/>
        <v>3.15E-2</v>
      </c>
      <c r="M48" s="2236"/>
      <c r="N48" s="2234"/>
      <c r="O48" s="2238">
        <f t="shared" si="9"/>
        <v>4.4999999999999998E-2</v>
      </c>
      <c r="P48" t="s">
        <v>85</v>
      </c>
    </row>
    <row r="49" spans="2:16" hidden="1">
      <c r="B49" s="2232"/>
      <c r="C49" s="2162"/>
      <c r="D49" s="2162"/>
      <c r="E49" s="2162"/>
      <c r="F49" s="2208">
        <f>$F$44</f>
        <v>0</v>
      </c>
      <c r="G49" s="2162"/>
      <c r="H49" s="2208">
        <f>IF(OR($F$20=$R$6,$F$20=$U$6),CO2データ!I225,IF($F$20=$S$6,CO2データ!L225,CO2データ!O225))</f>
        <v>2E-3</v>
      </c>
      <c r="I49" s="2208">
        <f>IF(OR($F$20=$R$6,$F$20=$U$6),CO2データ!J225,IF($F$20=$S$6,CO2データ!M225,CO2データ!P225))</f>
        <v>0</v>
      </c>
      <c r="J49" s="2208">
        <f>IF(OR($F$20=$R$6,$F$20=$U$6),CO2データ!K225,IF($F$20=$S$6,CO2データ!N225,CO2データ!Q225))</f>
        <v>2.3999999999999998E-3</v>
      </c>
      <c r="K49" s="2236"/>
      <c r="L49" s="2234">
        <f t="shared" si="8"/>
        <v>1.4000000000000002E-3</v>
      </c>
      <c r="M49" s="2236"/>
      <c r="N49" s="2234"/>
      <c r="O49" s="2238">
        <f t="shared" si="9"/>
        <v>2E-3</v>
      </c>
      <c r="P49" t="s">
        <v>85</v>
      </c>
    </row>
    <row r="50" spans="2:16" hidden="1">
      <c r="B50" s="2232"/>
      <c r="C50" s="2162"/>
      <c r="D50" s="2162" t="s">
        <v>160</v>
      </c>
      <c r="E50" s="2162"/>
      <c r="F50" s="2208">
        <f>F12</f>
        <v>0</v>
      </c>
      <c r="G50" s="2162"/>
      <c r="H50" s="2208">
        <f>IF(OR($F$20=$R$6,$F$20=$U$6),CO2データ!I226,IF($F$20=$S$6,CO2データ!L226,CO2データ!O226))</f>
        <v>0.34200000000000003</v>
      </c>
      <c r="I50" s="2208">
        <f>IF(OR($F$20=$R$6,$F$20=$U$6),CO2データ!J226,IF($F$20=$S$6,CO2データ!M226,CO2データ!P226))</f>
        <v>0</v>
      </c>
      <c r="J50" s="2208">
        <f>IF(OR($F$20=$R$6,$F$20=$U$6),CO2データ!K226,IF($F$20=$S$6,CO2データ!N226,CO2データ!Q226))</f>
        <v>0</v>
      </c>
      <c r="K50" s="2236"/>
      <c r="L50" s="2234">
        <f t="shared" si="8"/>
        <v>0.2394</v>
      </c>
      <c r="M50" s="2236"/>
      <c r="N50" s="2234"/>
      <c r="O50" s="2238">
        <f t="shared" si="9"/>
        <v>0.34200000000000003</v>
      </c>
      <c r="P50" t="s">
        <v>1302</v>
      </c>
    </row>
    <row r="51" spans="2:16" hidden="1">
      <c r="B51" s="2232"/>
      <c r="C51" s="2162"/>
      <c r="D51" s="2162"/>
      <c r="E51" s="2162"/>
      <c r="F51" s="2208">
        <f>$F$50</f>
        <v>0</v>
      </c>
      <c r="G51" s="2162"/>
      <c r="H51" s="2208">
        <f>IF(OR($F$20=$R$6,$F$20=$U$6),CO2データ!I227,IF($F$20=$S$6,CO2データ!L227,CO2データ!O227))</f>
        <v>0</v>
      </c>
      <c r="I51" s="2208">
        <f>IF(OR($F$20=$R$6,$F$20=$U$6),CO2データ!J227,IF($F$20=$S$6,CO2データ!M227,CO2データ!P227))</f>
        <v>0</v>
      </c>
      <c r="J51" s="2208">
        <f>IF(OR($F$20=$R$6,$F$20=$U$6),CO2データ!K227,IF($F$20=$S$6,CO2データ!N227,CO2データ!Q227))</f>
        <v>0.34200000000000003</v>
      </c>
      <c r="K51" s="2236"/>
      <c r="L51" s="2234">
        <f t="shared" si="8"/>
        <v>0</v>
      </c>
      <c r="M51" s="2236"/>
      <c r="N51" s="2234"/>
      <c r="O51" s="2238">
        <f t="shared" si="9"/>
        <v>0</v>
      </c>
      <c r="P51" t="s">
        <v>158</v>
      </c>
    </row>
    <row r="52" spans="2:16" hidden="1">
      <c r="B52" s="2232"/>
      <c r="C52" s="2162"/>
      <c r="D52" s="2162"/>
      <c r="E52" s="2162"/>
      <c r="F52" s="2208">
        <f>$F$50</f>
        <v>0</v>
      </c>
      <c r="G52" s="2162"/>
      <c r="H52" s="2208">
        <f>IF(OR($F$20=$R$6,$F$20=$U$6),CO2データ!I228,IF($F$20=$S$6,CO2データ!L228,CO2データ!O228))</f>
        <v>7.1999999999999995E-2</v>
      </c>
      <c r="I52" s="2208">
        <f>IF(OR($F$20=$R$6,$F$20=$U$6),CO2データ!J228,IF($F$20=$S$6,CO2データ!M228,CO2データ!P228))</f>
        <v>0</v>
      </c>
      <c r="J52" s="2208">
        <f>IF(OR($F$20=$R$6,$F$20=$U$6),CO2データ!K228,IF($F$20=$S$6,CO2データ!N228,CO2データ!Q228))</f>
        <v>7.1999999999999995E-2</v>
      </c>
      <c r="K52" s="2236"/>
      <c r="L52" s="2234">
        <f t="shared" si="8"/>
        <v>5.04E-2</v>
      </c>
      <c r="M52" s="2236"/>
      <c r="N52" s="2234"/>
      <c r="O52" s="2238">
        <f t="shared" si="9"/>
        <v>7.1999999999999995E-2</v>
      </c>
      <c r="P52" t="s">
        <v>85</v>
      </c>
    </row>
    <row r="53" spans="2:16" hidden="1">
      <c r="B53" s="2232"/>
      <c r="C53" s="2162"/>
      <c r="D53" s="2162"/>
      <c r="E53" s="2162"/>
      <c r="F53" s="2208">
        <f>$F$50</f>
        <v>0</v>
      </c>
      <c r="G53" s="2162"/>
      <c r="H53" s="2208">
        <f>IF(OR($F$20=$R$6,$F$20=$U$6),CO2データ!I229,IF($F$20=$S$6,CO2データ!L229,CO2データ!O229))</f>
        <v>0</v>
      </c>
      <c r="I53" s="2208">
        <f>IF(OR($F$20=$R$6,$F$20=$U$6),CO2データ!J229,IF($F$20=$S$6,CO2データ!M229,CO2データ!P229))</f>
        <v>0</v>
      </c>
      <c r="J53" s="2208">
        <f>IF(OR($F$20=$R$6,$F$20=$U$6),CO2データ!K229,IF($F$20=$S$6,CO2データ!N229,CO2データ!Q229))</f>
        <v>0</v>
      </c>
      <c r="K53" s="2236"/>
      <c r="L53" s="2234">
        <f t="shared" si="8"/>
        <v>0</v>
      </c>
      <c r="M53" s="2236"/>
      <c r="N53" s="2234"/>
      <c r="O53" s="2238">
        <f t="shared" si="9"/>
        <v>0</v>
      </c>
      <c r="P53" t="s">
        <v>85</v>
      </c>
    </row>
    <row r="54" spans="2:16" hidden="1">
      <c r="B54" s="2232"/>
      <c r="C54" s="2162"/>
      <c r="D54" s="2162"/>
      <c r="E54" s="2162"/>
      <c r="F54" s="2208">
        <f>$F$50</f>
        <v>0</v>
      </c>
      <c r="G54" s="2162"/>
      <c r="H54" s="2208">
        <f>IF(OR($F$20=$R$6,$F$20=$U$6),CO2データ!I230,IF($F$20=$S$6,CO2データ!L230,CO2データ!O230))</f>
        <v>2.4E-2</v>
      </c>
      <c r="I54" s="2208">
        <f>IF(OR($F$20=$R$6,$F$20=$U$6),CO2データ!J230,IF($F$20=$S$6,CO2データ!M230,CO2データ!P230))</f>
        <v>0</v>
      </c>
      <c r="J54" s="2208">
        <f>IF(OR($F$20=$R$6,$F$20=$U$6),CO2データ!K230,IF($F$20=$S$6,CO2データ!N230,CO2データ!Q230))</f>
        <v>2.4E-2</v>
      </c>
      <c r="K54" s="2236"/>
      <c r="L54" s="2234">
        <f t="shared" si="8"/>
        <v>1.6800000000000002E-2</v>
      </c>
      <c r="M54" s="2236"/>
      <c r="N54" s="2234"/>
      <c r="O54" s="2238">
        <f t="shared" si="9"/>
        <v>2.4E-2</v>
      </c>
      <c r="P54" t="s">
        <v>85</v>
      </c>
    </row>
    <row r="55" spans="2:16" hidden="1">
      <c r="B55" s="2232"/>
      <c r="C55" s="2162"/>
      <c r="D55" s="2162"/>
      <c r="E55" s="2162"/>
      <c r="F55" s="2208">
        <f>$F$50</f>
        <v>0</v>
      </c>
      <c r="G55" s="2162"/>
      <c r="H55" s="2208">
        <f>IF(OR($F$20=$R$6,$F$20=$U$6),CO2データ!I231,IF($F$20=$S$6,CO2データ!L231,CO2データ!O231))</f>
        <v>2E-3</v>
      </c>
      <c r="I55" s="2208">
        <f>IF(OR($F$20=$R$6,$F$20=$U$6),CO2データ!J231,IF($F$20=$S$6,CO2データ!M231,CO2データ!P231))</f>
        <v>0</v>
      </c>
      <c r="J55" s="2208">
        <f>IF(OR($F$20=$R$6,$F$20=$U$6),CO2データ!K231,IF($F$20=$S$6,CO2データ!N231,CO2データ!Q231))</f>
        <v>1.8600000000000001E-3</v>
      </c>
      <c r="K55" s="2236"/>
      <c r="L55" s="2234">
        <f t="shared" si="8"/>
        <v>1.4000000000000002E-3</v>
      </c>
      <c r="M55" s="2236"/>
      <c r="N55" s="2234"/>
      <c r="O55" s="2238">
        <f t="shared" si="9"/>
        <v>2E-3</v>
      </c>
      <c r="P55" t="s">
        <v>85</v>
      </c>
    </row>
    <row r="56" spans="2:16" hidden="1">
      <c r="B56" s="2232"/>
      <c r="C56" s="2162"/>
      <c r="D56" s="2162" t="s">
        <v>162</v>
      </c>
      <c r="E56" s="2162"/>
      <c r="F56" s="2208">
        <f>F13</f>
        <v>0.26109660574412535</v>
      </c>
      <c r="G56" s="2162"/>
      <c r="H56" s="2208">
        <f>IF(OR($F$20=$R$6,$F$20=$U$6),CO2データ!I232,IF($F$20=$S$6,CO2データ!L232,CO2データ!O232))</f>
        <v>0.34200000000000003</v>
      </c>
      <c r="I56" s="2208">
        <f>IF(OR($F$20=$R$6,$F$20=$U$6),CO2データ!J232,IF($F$20=$S$6,CO2データ!M232,CO2データ!P232))</f>
        <v>0</v>
      </c>
      <c r="J56" s="2208">
        <f>IF(OR($F$20=$R$6,$F$20=$U$6),CO2データ!K232,IF($F$20=$S$6,CO2データ!N232,CO2データ!Q232))</f>
        <v>0</v>
      </c>
      <c r="K56" s="2236"/>
      <c r="L56" s="2234">
        <f t="shared" si="8"/>
        <v>0.2394</v>
      </c>
      <c r="M56" s="2236"/>
      <c r="N56" s="2234"/>
      <c r="O56" s="2238">
        <f t="shared" si="9"/>
        <v>0.34200000000000003</v>
      </c>
      <c r="P56" t="s">
        <v>158</v>
      </c>
    </row>
    <row r="57" spans="2:16" hidden="1">
      <c r="B57" s="2232"/>
      <c r="C57" s="2162"/>
      <c r="D57" s="2162"/>
      <c r="E57" s="2162"/>
      <c r="F57" s="2208">
        <f>$F$56</f>
        <v>0.26109660574412535</v>
      </c>
      <c r="G57" s="2162"/>
      <c r="H57" s="2208">
        <f>IF(OR($F$20=$R$6,$F$20=$U$6),CO2データ!I233,IF($F$20=$S$6,CO2データ!L233,CO2データ!O233))</f>
        <v>0</v>
      </c>
      <c r="I57" s="2208">
        <f>IF(OR($F$20=$R$6,$F$20=$U$6),CO2データ!J233,IF($F$20=$S$6,CO2データ!M233,CO2データ!P233))</f>
        <v>0</v>
      </c>
      <c r="J57" s="2208">
        <f>IF(OR($F$20=$R$6,$F$20=$U$6),CO2データ!K233,IF($F$20=$S$6,CO2データ!N233,CO2データ!Q233))</f>
        <v>0.34200000000000003</v>
      </c>
      <c r="K57" s="2236"/>
      <c r="L57" s="2234">
        <f t="shared" si="8"/>
        <v>0</v>
      </c>
      <c r="M57" s="2236"/>
      <c r="N57" s="2234"/>
      <c r="O57" s="2238">
        <f t="shared" si="9"/>
        <v>0</v>
      </c>
      <c r="P57" t="s">
        <v>158</v>
      </c>
    </row>
    <row r="58" spans="2:16" hidden="1">
      <c r="B58" s="2232"/>
      <c r="C58" s="2162"/>
      <c r="D58" s="2162"/>
      <c r="E58" s="2162"/>
      <c r="F58" s="2208">
        <f>$F$56</f>
        <v>0.26109660574412535</v>
      </c>
      <c r="G58" s="2162"/>
      <c r="H58" s="2208">
        <f>IF(OR($F$20=$R$6,$F$20=$U$6),CO2データ!I234,IF($F$20=$S$6,CO2データ!L234,CO2データ!O234))</f>
        <v>7.1999999999999995E-2</v>
      </c>
      <c r="I58" s="2208">
        <f>IF(OR($F$20=$R$6,$F$20=$U$6),CO2データ!J234,IF($F$20=$S$6,CO2データ!M234,CO2データ!P234))</f>
        <v>0</v>
      </c>
      <c r="J58" s="2208">
        <f>IF(OR($F$20=$R$6,$F$20=$U$6),CO2データ!K234,IF($F$20=$S$6,CO2データ!N234,CO2データ!Q234))</f>
        <v>7.1999999999999995E-2</v>
      </c>
      <c r="K58" s="2236"/>
      <c r="L58" s="2234">
        <f t="shared" si="8"/>
        <v>5.04E-2</v>
      </c>
      <c r="M58" s="2236"/>
      <c r="N58" s="2234"/>
      <c r="O58" s="2238">
        <f t="shared" si="9"/>
        <v>7.1999999999999995E-2</v>
      </c>
      <c r="P58" t="s">
        <v>85</v>
      </c>
    </row>
    <row r="59" spans="2:16" hidden="1">
      <c r="B59" s="2232"/>
      <c r="C59" s="2162"/>
      <c r="D59" s="2162"/>
      <c r="E59" s="2162"/>
      <c r="F59" s="2208">
        <f>$F$56</f>
        <v>0.26109660574412535</v>
      </c>
      <c r="G59" s="2162"/>
      <c r="H59" s="2208">
        <f>IF(OR($F$20=$R$6,$F$20=$U$6),CO2データ!I235,IF($F$20=$S$6,CO2データ!L235,CO2データ!O235))</f>
        <v>0</v>
      </c>
      <c r="I59" s="2208">
        <f>IF(OR($F$20=$R$6,$F$20=$U$6),CO2データ!J235,IF($F$20=$S$6,CO2データ!M235,CO2データ!P235))</f>
        <v>0</v>
      </c>
      <c r="J59" s="2208">
        <f>IF(OR($F$20=$R$6,$F$20=$U$6),CO2データ!K235,IF($F$20=$S$6,CO2データ!N235,CO2データ!Q235))</f>
        <v>0</v>
      </c>
      <c r="K59" s="2236"/>
      <c r="L59" s="2234">
        <f t="shared" si="8"/>
        <v>0</v>
      </c>
      <c r="M59" s="2236"/>
      <c r="N59" s="2234"/>
      <c r="O59" s="2238">
        <f t="shared" si="9"/>
        <v>0</v>
      </c>
      <c r="P59" t="s">
        <v>85</v>
      </c>
    </row>
    <row r="60" spans="2:16" hidden="1">
      <c r="B60" s="2232"/>
      <c r="C60" s="2162"/>
      <c r="D60" s="2162"/>
      <c r="E60" s="2162"/>
      <c r="F60" s="2208">
        <f>$F$56</f>
        <v>0.26109660574412535</v>
      </c>
      <c r="G60" s="2162"/>
      <c r="H60" s="2208">
        <f>IF(OR($F$20=$R$6,$F$20=$U$6),CO2データ!I236,IF($F$20=$S$6,CO2データ!L236,CO2データ!O236))</f>
        <v>2.4E-2</v>
      </c>
      <c r="I60" s="2208">
        <f>IF(OR($F$20=$R$6,$F$20=$U$6),CO2データ!J236,IF($F$20=$S$6,CO2データ!M236,CO2データ!P236))</f>
        <v>0</v>
      </c>
      <c r="J60" s="2208">
        <f>IF(OR($F$20=$R$6,$F$20=$U$6),CO2データ!K236,IF($F$20=$S$6,CO2データ!N236,CO2データ!Q236))</f>
        <v>2.4E-2</v>
      </c>
      <c r="K60" s="2236"/>
      <c r="L60" s="2234">
        <f t="shared" si="8"/>
        <v>1.6800000000000002E-2</v>
      </c>
      <c r="M60" s="2236"/>
      <c r="N60" s="2234"/>
      <c r="O60" s="2238">
        <f t="shared" si="9"/>
        <v>2.4E-2</v>
      </c>
      <c r="P60" t="s">
        <v>85</v>
      </c>
    </row>
    <row r="61" spans="2:16" hidden="1">
      <c r="B61" s="2232"/>
      <c r="C61" s="2162"/>
      <c r="D61" s="2162"/>
      <c r="E61" s="2162"/>
      <c r="F61" s="2208">
        <f>$F$56</f>
        <v>0.26109660574412535</v>
      </c>
      <c r="G61" s="2162"/>
      <c r="H61" s="2208">
        <f>IF(OR($F$20=$R$6,$F$20=$U$6),CO2データ!I237,IF($F$20=$S$6,CO2データ!L237,CO2データ!O237))</f>
        <v>2E-3</v>
      </c>
      <c r="I61" s="2208">
        <f>IF(OR($F$20=$R$6,$F$20=$U$6),CO2データ!J237,IF($F$20=$S$6,CO2データ!M237,CO2データ!P237))</f>
        <v>0</v>
      </c>
      <c r="J61" s="2208">
        <f>IF(OR($F$20=$R$6,$F$20=$U$6),CO2データ!K237,IF($F$20=$S$6,CO2データ!N237,CO2データ!Q237))</f>
        <v>1.8600000000000001E-3</v>
      </c>
      <c r="K61" s="2236"/>
      <c r="L61" s="2234">
        <f t="shared" si="8"/>
        <v>1.4000000000000002E-3</v>
      </c>
      <c r="M61" s="2236"/>
      <c r="N61" s="2234"/>
      <c r="O61" s="2238">
        <f t="shared" si="9"/>
        <v>2E-3</v>
      </c>
      <c r="P61" t="s">
        <v>85</v>
      </c>
    </row>
    <row r="62" spans="2:16" hidden="1">
      <c r="B62" s="2232"/>
      <c r="C62" s="2162"/>
      <c r="D62" s="2162" t="s">
        <v>163</v>
      </c>
      <c r="E62" s="2162"/>
      <c r="F62" s="2208">
        <f>F14</f>
        <v>0</v>
      </c>
      <c r="G62" s="2162"/>
      <c r="H62" s="2208">
        <f>IF(OR($F$20=$R$6,$F$20=$U$6),CO2データ!I238,IF($F$20=$S$6,CO2データ!L238,CO2データ!O238))</f>
        <v>0.34499999999999997</v>
      </c>
      <c r="I62" s="2208">
        <f>IF(OR($F$20=$R$6,$F$20=$U$6),CO2データ!J238,IF($F$20=$S$6,CO2データ!M238,CO2データ!P238))</f>
        <v>0</v>
      </c>
      <c r="J62" s="2208">
        <f>IF(OR($F$20=$R$6,$F$20=$U$6),CO2データ!K238,IF($F$20=$S$6,CO2データ!N238,CO2データ!Q238))</f>
        <v>0</v>
      </c>
      <c r="K62" s="2236"/>
      <c r="L62" s="2234">
        <f t="shared" si="8"/>
        <v>0.24149999999999999</v>
      </c>
      <c r="M62" s="2236"/>
      <c r="N62" s="2234"/>
      <c r="O62" s="2238">
        <f t="shared" si="9"/>
        <v>0.34499999999999997</v>
      </c>
      <c r="P62" t="s">
        <v>158</v>
      </c>
    </row>
    <row r="63" spans="2:16" hidden="1">
      <c r="B63" s="2232"/>
      <c r="C63" s="2162"/>
      <c r="D63" s="2162"/>
      <c r="E63" s="2162"/>
      <c r="F63" s="2208">
        <f>$F$62</f>
        <v>0</v>
      </c>
      <c r="G63" s="2162"/>
      <c r="H63" s="2208">
        <f>IF(OR($F$20=$R$6,$F$20=$U$6),CO2データ!I239,IF($F$20=$S$6,CO2データ!L239,CO2データ!O239))</f>
        <v>0</v>
      </c>
      <c r="I63" s="2208">
        <f>IF(OR($F$20=$R$6,$F$20=$U$6),CO2データ!J239,IF($F$20=$S$6,CO2データ!M239,CO2データ!P239))</f>
        <v>0</v>
      </c>
      <c r="J63" s="2208">
        <f>IF(OR($F$20=$R$6,$F$20=$U$6),CO2データ!K239,IF($F$20=$S$6,CO2データ!N239,CO2データ!Q239))</f>
        <v>0.34499999999999997</v>
      </c>
      <c r="K63" s="2236"/>
      <c r="L63" s="2234">
        <f t="shared" si="8"/>
        <v>0</v>
      </c>
      <c r="M63" s="2236"/>
      <c r="N63" s="2234"/>
      <c r="O63" s="2238">
        <f t="shared" si="9"/>
        <v>0</v>
      </c>
      <c r="P63" t="s">
        <v>158</v>
      </c>
    </row>
    <row r="64" spans="2:16" hidden="1">
      <c r="B64" s="2232"/>
      <c r="C64" s="2162"/>
      <c r="D64" s="2162"/>
      <c r="E64" s="2162"/>
      <c r="F64" s="2208">
        <f>$F$62</f>
        <v>0</v>
      </c>
      <c r="G64" s="2162"/>
      <c r="H64" s="2208">
        <f>IF(OR($F$20=$R$6,$F$20=$U$6),CO2データ!I240,IF($F$20=$S$6,CO2データ!L240,CO2データ!O240))</f>
        <v>0.13900000000000001</v>
      </c>
      <c r="I64" s="2208">
        <f>IF(OR($F$20=$R$6,$F$20=$U$6),CO2データ!J240,IF($F$20=$S$6,CO2データ!M240,CO2データ!P240))</f>
        <v>0</v>
      </c>
      <c r="J64" s="2208">
        <f>IF(OR($F$20=$R$6,$F$20=$U$6),CO2データ!K240,IF($F$20=$S$6,CO2データ!N240,CO2データ!Q240))</f>
        <v>0.13900000000000001</v>
      </c>
      <c r="K64" s="2236"/>
      <c r="L64" s="2234">
        <f t="shared" si="8"/>
        <v>9.7300000000000011E-2</v>
      </c>
      <c r="M64" s="2236"/>
      <c r="N64" s="2234"/>
      <c r="O64" s="2238">
        <f t="shared" si="9"/>
        <v>0.13900000000000001</v>
      </c>
      <c r="P64" t="s">
        <v>85</v>
      </c>
    </row>
    <row r="65" spans="2:16" hidden="1">
      <c r="B65" s="2232"/>
      <c r="C65" s="2162"/>
      <c r="D65" s="2162"/>
      <c r="E65" s="2162"/>
      <c r="F65" s="2208">
        <f>$F$62</f>
        <v>0</v>
      </c>
      <c r="G65" s="2162"/>
      <c r="H65" s="2208">
        <f>IF(OR($F$20=$R$6,$F$20=$U$6),CO2データ!I241,IF($F$20=$S$6,CO2データ!L241,CO2データ!O241))</f>
        <v>0</v>
      </c>
      <c r="I65" s="2208">
        <f>IF(OR($F$20=$R$6,$F$20=$U$6),CO2データ!J241,IF($F$20=$S$6,CO2データ!M241,CO2データ!P241))</f>
        <v>0</v>
      </c>
      <c r="J65" s="2208">
        <f>IF(OR($F$20=$R$6,$F$20=$U$6),CO2データ!K241,IF($F$20=$S$6,CO2データ!N241,CO2データ!Q241))</f>
        <v>0</v>
      </c>
      <c r="K65" s="2236"/>
      <c r="L65" s="2234">
        <f t="shared" si="8"/>
        <v>0</v>
      </c>
      <c r="M65" s="2236"/>
      <c r="N65" s="2234"/>
      <c r="O65" s="2238">
        <f t="shared" si="9"/>
        <v>0</v>
      </c>
      <c r="P65" t="s">
        <v>85</v>
      </c>
    </row>
    <row r="66" spans="2:16" hidden="1">
      <c r="B66" s="2232"/>
      <c r="C66" s="2162"/>
      <c r="D66" s="2162"/>
      <c r="E66" s="2162"/>
      <c r="F66" s="2208">
        <f>$F$62</f>
        <v>0</v>
      </c>
      <c r="G66" s="2162"/>
      <c r="H66" s="2208">
        <f>IF(OR($F$20=$R$6,$F$20=$U$6),CO2データ!I242,IF($F$20=$S$6,CO2データ!L242,CO2データ!O242))</f>
        <v>0.04</v>
      </c>
      <c r="I66" s="2208">
        <f>IF(OR($F$20=$R$6,$F$20=$U$6),CO2データ!J242,IF($F$20=$S$6,CO2データ!M242,CO2データ!P242))</f>
        <v>0</v>
      </c>
      <c r="J66" s="2208">
        <f>IF(OR($F$20=$R$6,$F$20=$U$6),CO2データ!K242,IF($F$20=$S$6,CO2データ!N242,CO2データ!Q242))</f>
        <v>0.04</v>
      </c>
      <c r="K66" s="2236"/>
      <c r="L66" s="2234">
        <f t="shared" si="8"/>
        <v>2.8000000000000001E-2</v>
      </c>
      <c r="M66" s="2236"/>
      <c r="N66" s="2234"/>
      <c r="O66" s="2238">
        <f t="shared" si="9"/>
        <v>0.04</v>
      </c>
      <c r="P66" t="s">
        <v>85</v>
      </c>
    </row>
    <row r="67" spans="2:16" hidden="1">
      <c r="B67" s="2232"/>
      <c r="C67" s="2162"/>
      <c r="D67" s="2162"/>
      <c r="E67" s="2162"/>
      <c r="F67" s="2208">
        <f>$F$62</f>
        <v>0</v>
      </c>
      <c r="G67" s="2162"/>
      <c r="H67" s="2208">
        <f>IF(OR($F$20=$R$6,$F$20=$U$6),CO2データ!I243,IF($F$20=$S$6,CO2データ!L243,CO2データ!O243))</f>
        <v>4.0000000000000001E-3</v>
      </c>
      <c r="I67" s="2208">
        <f>IF(OR($F$20=$R$6,$F$20=$U$6),CO2データ!J243,IF($F$20=$S$6,CO2データ!M243,CO2データ!P243))</f>
        <v>0</v>
      </c>
      <c r="J67" s="2208">
        <f>IF(OR($F$20=$R$6,$F$20=$U$6),CO2データ!K243,IF($F$20=$S$6,CO2データ!N243,CO2データ!Q243))</f>
        <v>4.3499999999999997E-3</v>
      </c>
      <c r="K67" s="2236"/>
      <c r="L67" s="2234">
        <f t="shared" si="8"/>
        <v>2.8000000000000004E-3</v>
      </c>
      <c r="M67" s="2236"/>
      <c r="N67" s="2234"/>
      <c r="O67" s="2238">
        <f t="shared" si="9"/>
        <v>4.0000000000000001E-3</v>
      </c>
      <c r="P67" t="s">
        <v>85</v>
      </c>
    </row>
    <row r="68" spans="2:16" hidden="1">
      <c r="B68" s="2232"/>
      <c r="C68" s="2162"/>
      <c r="D68" s="2162" t="s">
        <v>472</v>
      </c>
      <c r="E68" s="2162"/>
      <c r="F68" s="2208">
        <f>F15</f>
        <v>0</v>
      </c>
      <c r="G68" s="2162"/>
      <c r="H68" s="2208">
        <f>IF(OR($F$20=$R$6,$F$20=$U$6),CO2データ!I244,IF($F$20=$S$6,CO2データ!L244,CO2データ!O244))</f>
        <v>0.35399999999999998</v>
      </c>
      <c r="I68" s="2208">
        <f>IF(OR($F$20=$R$6,$F$20=$U$6),CO2データ!J244,IF($F$20=$S$6,CO2データ!M244,CO2データ!P244))</f>
        <v>0</v>
      </c>
      <c r="J68" s="2208">
        <f>IF(OR($F$20=$R$6,$F$20=$U$6),CO2データ!K244,IF($F$20=$S$6,CO2データ!N244,CO2データ!Q244))</f>
        <v>0</v>
      </c>
      <c r="K68" s="2236"/>
      <c r="L68" s="2234">
        <f t="shared" si="8"/>
        <v>0.24779999999999999</v>
      </c>
      <c r="M68" s="2236"/>
      <c r="N68" s="2234"/>
      <c r="O68" s="2238">
        <f t="shared" si="9"/>
        <v>0.35399999999999998</v>
      </c>
      <c r="P68" t="s">
        <v>158</v>
      </c>
    </row>
    <row r="69" spans="2:16" hidden="1">
      <c r="B69" s="2232"/>
      <c r="C69" s="2162"/>
      <c r="D69" s="2162"/>
      <c r="E69" s="2162"/>
      <c r="F69" s="2208">
        <f>$F$68</f>
        <v>0</v>
      </c>
      <c r="G69" s="2162"/>
      <c r="H69" s="2208">
        <f>IF(OR($F$20=$R$6,$F$20=$U$6),CO2データ!I245,IF($F$20=$S$6,CO2データ!L245,CO2データ!O245))</f>
        <v>0</v>
      </c>
      <c r="I69" s="2208">
        <f>IF(OR($F$20=$R$6,$F$20=$U$6),CO2データ!J245,IF($F$20=$S$6,CO2データ!M245,CO2データ!P245))</f>
        <v>0</v>
      </c>
      <c r="J69" s="2208">
        <f>IF(OR($F$20=$R$6,$F$20=$U$6),CO2データ!K245,IF($F$20=$S$6,CO2データ!N245,CO2データ!Q245))</f>
        <v>0.35399999999999998</v>
      </c>
      <c r="K69" s="2236"/>
      <c r="L69" s="2234">
        <f t="shared" si="8"/>
        <v>0</v>
      </c>
      <c r="M69" s="2236"/>
      <c r="N69" s="2234"/>
      <c r="O69" s="2238">
        <f t="shared" si="9"/>
        <v>0</v>
      </c>
      <c r="P69" t="s">
        <v>158</v>
      </c>
    </row>
    <row r="70" spans="2:16" hidden="1">
      <c r="B70" s="2232"/>
      <c r="C70" s="2162"/>
      <c r="D70" s="2162"/>
      <c r="E70" s="2162"/>
      <c r="F70" s="2208">
        <f>$F$68</f>
        <v>0</v>
      </c>
      <c r="G70" s="2162"/>
      <c r="H70" s="2208">
        <f>IF(OR($F$20=$R$6,$F$20=$U$6),CO2データ!I246,IF($F$20=$S$6,CO2データ!L246,CO2データ!O246))</f>
        <v>8.7999999999999995E-2</v>
      </c>
      <c r="I70" s="2208">
        <f>IF(OR($F$20=$R$6,$F$20=$U$6),CO2データ!J246,IF($F$20=$S$6,CO2データ!M246,CO2データ!P246))</f>
        <v>0</v>
      </c>
      <c r="J70" s="2208">
        <f>IF(OR($F$20=$R$6,$F$20=$U$6),CO2データ!K246,IF($F$20=$S$6,CO2データ!N246,CO2データ!Q246))</f>
        <v>8.7999999999999995E-2</v>
      </c>
      <c r="K70" s="2236"/>
      <c r="L70" s="2234">
        <f t="shared" si="8"/>
        <v>6.1600000000000002E-2</v>
      </c>
      <c r="M70" s="2236"/>
      <c r="N70" s="2234"/>
      <c r="O70" s="2238">
        <f t="shared" si="9"/>
        <v>8.7999999999999995E-2</v>
      </c>
      <c r="P70" t="s">
        <v>85</v>
      </c>
    </row>
    <row r="71" spans="2:16" hidden="1">
      <c r="B71" s="2232"/>
      <c r="C71" s="2162"/>
      <c r="D71" s="2162"/>
      <c r="E71" s="2162"/>
      <c r="F71" s="2208">
        <f>$F$68</f>
        <v>0</v>
      </c>
      <c r="G71" s="2162"/>
      <c r="H71" s="2208">
        <f>IF(OR($F$20=$R$6,$F$20=$U$6),CO2データ!I247,IF($F$20=$S$6,CO2データ!L247,CO2データ!O247))</f>
        <v>0</v>
      </c>
      <c r="I71" s="2208">
        <f>IF(OR($F$20=$R$6,$F$20=$U$6),CO2データ!J247,IF($F$20=$S$6,CO2データ!M247,CO2データ!P247))</f>
        <v>0</v>
      </c>
      <c r="J71" s="2208">
        <f>IF(OR($F$20=$R$6,$F$20=$U$6),CO2データ!K247,IF($F$20=$S$6,CO2データ!N247,CO2データ!Q247))</f>
        <v>0</v>
      </c>
      <c r="K71" s="2236"/>
      <c r="L71" s="2234">
        <f t="shared" si="8"/>
        <v>0</v>
      </c>
      <c r="M71" s="2236"/>
      <c r="N71" s="2234"/>
      <c r="O71" s="2238">
        <f t="shared" si="9"/>
        <v>0</v>
      </c>
      <c r="P71" t="s">
        <v>85</v>
      </c>
    </row>
    <row r="72" spans="2:16" hidden="1">
      <c r="B72" s="2232"/>
      <c r="C72" s="2162"/>
      <c r="D72" s="2162"/>
      <c r="E72" s="2162"/>
      <c r="F72" s="2208">
        <f>$F$68</f>
        <v>0</v>
      </c>
      <c r="G72" s="2162"/>
      <c r="H72" s="2208">
        <f>IF(OR($F$20=$R$6,$F$20=$U$6),CO2データ!I248,IF($F$20=$S$6,CO2データ!L248,CO2データ!O248))</f>
        <v>3.1E-2</v>
      </c>
      <c r="I72" s="2208">
        <f>IF(OR($F$20=$R$6,$F$20=$U$6),CO2データ!J248,IF($F$20=$S$6,CO2データ!M248,CO2データ!P248))</f>
        <v>0</v>
      </c>
      <c r="J72" s="2208">
        <f>IF(OR($F$20=$R$6,$F$20=$U$6),CO2データ!K248,IF($F$20=$S$6,CO2データ!N248,CO2データ!Q248))</f>
        <v>3.1E-2</v>
      </c>
      <c r="K72" s="2236"/>
      <c r="L72" s="2234">
        <f t="shared" si="8"/>
        <v>2.1700000000000001E-2</v>
      </c>
      <c r="M72" s="2236"/>
      <c r="N72" s="2234"/>
      <c r="O72" s="2238">
        <f t="shared" si="9"/>
        <v>3.1E-2</v>
      </c>
      <c r="P72" t="s">
        <v>85</v>
      </c>
    </row>
    <row r="73" spans="2:16" hidden="1">
      <c r="B73" s="2232"/>
      <c r="C73" s="2162"/>
      <c r="D73" s="2162"/>
      <c r="E73" s="2162"/>
      <c r="F73" s="2208">
        <f>$F$68</f>
        <v>0</v>
      </c>
      <c r="G73" s="2162"/>
      <c r="H73" s="2208">
        <f>IF(OR($F$20=$R$6,$F$20=$U$6),CO2データ!I249,IF($F$20=$S$6,CO2データ!L249,CO2データ!O249))</f>
        <v>2E-3</v>
      </c>
      <c r="I73" s="2208">
        <f>IF(OR($F$20=$R$6,$F$20=$U$6),CO2データ!J249,IF($F$20=$S$6,CO2データ!M249,CO2データ!P249))</f>
        <v>0</v>
      </c>
      <c r="J73" s="2208">
        <f>IF(OR($F$20=$R$6,$F$20=$U$6),CO2データ!K249,IF($F$20=$S$6,CO2データ!N249,CO2データ!Q249))</f>
        <v>2.0999999999999999E-3</v>
      </c>
      <c r="K73" s="2236"/>
      <c r="L73" s="2234">
        <f t="shared" si="8"/>
        <v>1.4000000000000002E-3</v>
      </c>
      <c r="M73" s="2236"/>
      <c r="N73" s="2234"/>
      <c r="O73" s="2238">
        <f t="shared" si="9"/>
        <v>2E-3</v>
      </c>
      <c r="P73" t="s">
        <v>85</v>
      </c>
    </row>
    <row r="74" spans="2:16" hidden="1">
      <c r="B74" s="2232"/>
      <c r="C74" s="2162"/>
      <c r="D74" s="2162" t="s">
        <v>164</v>
      </c>
      <c r="E74" s="2162"/>
      <c r="F74" s="2208">
        <f>F16</f>
        <v>0</v>
      </c>
      <c r="G74" s="2162"/>
      <c r="H74" s="2208">
        <f>IF(OR($F$20=$R$6,$F$20=$U$6),CO2データ!I250,IF($F$20=$S$6,CO2データ!L250,CO2データ!O250))</f>
        <v>0.317</v>
      </c>
      <c r="I74" s="2208">
        <f>IF(OR($F$20=$R$6,$F$20=$U$6),CO2データ!J250,IF($F$20=$S$6,CO2データ!M250,CO2データ!P250))</f>
        <v>0</v>
      </c>
      <c r="J74" s="2208">
        <f>IF(OR($F$20=$R$6,$F$20=$U$6),CO2データ!K250,IF($F$20=$S$6,CO2データ!N250,CO2データ!Q250))</f>
        <v>0</v>
      </c>
      <c r="K74" s="2236"/>
      <c r="L74" s="2234">
        <f t="shared" si="8"/>
        <v>0.22189999999999999</v>
      </c>
      <c r="M74" s="2236"/>
      <c r="N74" s="2234"/>
      <c r="O74" s="2238">
        <f t="shared" si="9"/>
        <v>0.317</v>
      </c>
      <c r="P74" t="s">
        <v>158</v>
      </c>
    </row>
    <row r="75" spans="2:16" hidden="1">
      <c r="B75" s="2232"/>
      <c r="C75" s="2162"/>
      <c r="D75" s="2162"/>
      <c r="E75" s="2162"/>
      <c r="F75" s="2208">
        <f>$F$74</f>
        <v>0</v>
      </c>
      <c r="G75" s="2162"/>
      <c r="H75" s="2208">
        <f>IF(OR($F$20=$R$6,$F$20=$U$6),CO2データ!I251,IF($F$20=$S$6,CO2データ!L251,CO2データ!O251))</f>
        <v>0</v>
      </c>
      <c r="I75" s="2208">
        <f>IF(OR($F$20=$R$6,$F$20=$U$6),CO2データ!J251,IF($F$20=$S$6,CO2データ!M251,CO2データ!P251))</f>
        <v>0</v>
      </c>
      <c r="J75" s="2208">
        <f>IF(OR($F$20=$R$6,$F$20=$U$6),CO2データ!K251,IF($F$20=$S$6,CO2データ!N251,CO2データ!Q251))</f>
        <v>0.317</v>
      </c>
      <c r="K75" s="2236"/>
      <c r="L75" s="2234">
        <f t="shared" si="8"/>
        <v>0</v>
      </c>
      <c r="M75" s="2236"/>
      <c r="N75" s="2234"/>
      <c r="O75" s="2238">
        <f t="shared" si="9"/>
        <v>0</v>
      </c>
      <c r="P75" t="s">
        <v>158</v>
      </c>
    </row>
    <row r="76" spans="2:16" hidden="1">
      <c r="B76" s="2232"/>
      <c r="C76" s="2162"/>
      <c r="D76" s="2162"/>
      <c r="E76" s="2162"/>
      <c r="F76" s="2208">
        <f>$F$74</f>
        <v>0</v>
      </c>
      <c r="G76" s="2162"/>
      <c r="H76" s="2208">
        <f>IF(OR($F$20=$R$6,$F$20=$U$6),CO2データ!I252,IF($F$20=$S$6,CO2データ!L252,CO2データ!O252))</f>
        <v>7.3999999999999996E-2</v>
      </c>
      <c r="I76" s="2208">
        <f>IF(OR($F$20=$R$6,$F$20=$U$6),CO2データ!J252,IF($F$20=$S$6,CO2データ!M252,CO2データ!P252))</f>
        <v>0</v>
      </c>
      <c r="J76" s="2208">
        <f>IF(OR($F$20=$R$6,$F$20=$U$6),CO2データ!K252,IF($F$20=$S$6,CO2データ!N252,CO2データ!Q252))</f>
        <v>7.3999999999999996E-2</v>
      </c>
      <c r="K76" s="2236"/>
      <c r="L76" s="2234">
        <f t="shared" si="8"/>
        <v>5.1799999999999999E-2</v>
      </c>
      <c r="M76" s="2236"/>
      <c r="N76" s="2234"/>
      <c r="O76" s="2238">
        <f t="shared" si="9"/>
        <v>7.3999999999999996E-2</v>
      </c>
      <c r="P76" t="s">
        <v>85</v>
      </c>
    </row>
    <row r="77" spans="2:16" hidden="1">
      <c r="B77" s="2232"/>
      <c r="C77" s="2162"/>
      <c r="D77" s="2162"/>
      <c r="E77" s="2162"/>
      <c r="F77" s="2208">
        <f>$F$74</f>
        <v>0</v>
      </c>
      <c r="G77" s="2162"/>
      <c r="H77" s="2208">
        <f>IF(OR($F$20=$R$6,$F$20=$U$6),CO2データ!I253,IF($F$20=$S$6,CO2データ!L253,CO2データ!O253))</f>
        <v>0</v>
      </c>
      <c r="I77" s="2208">
        <f>IF(OR($F$20=$R$6,$F$20=$U$6),CO2データ!J253,IF($F$20=$S$6,CO2データ!M253,CO2データ!P253))</f>
        <v>0</v>
      </c>
      <c r="J77" s="2208">
        <f>IF(OR($F$20=$R$6,$F$20=$U$6),CO2データ!K253,IF($F$20=$S$6,CO2データ!N253,CO2データ!Q253))</f>
        <v>0</v>
      </c>
      <c r="K77" s="2236"/>
      <c r="L77" s="2234">
        <f t="shared" si="8"/>
        <v>0</v>
      </c>
      <c r="M77" s="2236"/>
      <c r="N77" s="2234"/>
      <c r="O77" s="2238">
        <f t="shared" si="9"/>
        <v>0</v>
      </c>
      <c r="P77" t="s">
        <v>85</v>
      </c>
    </row>
    <row r="78" spans="2:16" hidden="1">
      <c r="B78" s="2232"/>
      <c r="C78" s="2162"/>
      <c r="D78" s="2162"/>
      <c r="E78" s="2162"/>
      <c r="F78" s="2208">
        <f>$F$74</f>
        <v>0</v>
      </c>
      <c r="G78" s="2162"/>
      <c r="H78" s="2208">
        <f>IF(OR($F$20=$R$6,$F$20=$U$6),CO2データ!I254,IF($F$20=$S$6,CO2データ!L254,CO2データ!O254))</f>
        <v>3.4000000000000002E-2</v>
      </c>
      <c r="I78" s="2208">
        <f>IF(OR($F$20=$R$6,$F$20=$U$6),CO2データ!J254,IF($F$20=$S$6,CO2データ!M254,CO2データ!P254))</f>
        <v>0</v>
      </c>
      <c r="J78" s="2208">
        <f>IF(OR($F$20=$R$6,$F$20=$U$6),CO2データ!K254,IF($F$20=$S$6,CO2データ!N254,CO2データ!Q254))</f>
        <v>3.4000000000000002E-2</v>
      </c>
      <c r="K78" s="2236"/>
      <c r="L78" s="2234">
        <f t="shared" si="8"/>
        <v>2.3800000000000002E-2</v>
      </c>
      <c r="M78" s="2236"/>
      <c r="N78" s="2234"/>
      <c r="O78" s="2238">
        <f t="shared" si="9"/>
        <v>3.4000000000000002E-2</v>
      </c>
      <c r="P78" t="s">
        <v>85</v>
      </c>
    </row>
    <row r="79" spans="2:16" hidden="1">
      <c r="B79" s="2232"/>
      <c r="C79" s="2162"/>
      <c r="D79" s="2162"/>
      <c r="E79" s="2162"/>
      <c r="F79" s="2208">
        <f>$F$74</f>
        <v>0</v>
      </c>
      <c r="G79" s="2162"/>
      <c r="H79" s="2208">
        <f>IF(OR($F$20=$R$6,$F$20=$U$6),CO2データ!I255,IF($F$20=$S$6,CO2データ!L255,CO2データ!O255))</f>
        <v>2E-3</v>
      </c>
      <c r="I79" s="2208">
        <f>IF(OR($F$20=$R$6,$F$20=$U$6),CO2データ!J255,IF($F$20=$S$6,CO2データ!M255,CO2データ!P255))</f>
        <v>0</v>
      </c>
      <c r="J79" s="2208">
        <f>IF(OR($F$20=$R$6,$F$20=$U$6),CO2データ!K255,IF($F$20=$S$6,CO2データ!N255,CO2データ!Q255))</f>
        <v>2E-3</v>
      </c>
      <c r="K79" s="2236"/>
      <c r="L79" s="2234">
        <f t="shared" si="8"/>
        <v>1.4000000000000002E-3</v>
      </c>
      <c r="M79" s="2236"/>
      <c r="N79" s="2234"/>
      <c r="O79" s="2238">
        <f t="shared" si="9"/>
        <v>2E-3</v>
      </c>
      <c r="P79" t="s">
        <v>85</v>
      </c>
    </row>
    <row r="80" spans="2:16" hidden="1">
      <c r="B80" s="2232"/>
      <c r="C80" s="2162"/>
      <c r="D80" s="2162" t="s">
        <v>1303</v>
      </c>
      <c r="E80" s="2162"/>
      <c r="F80" s="2208">
        <f>F17</f>
        <v>0</v>
      </c>
      <c r="G80" s="2162"/>
      <c r="H80" s="2208">
        <f>IF(OR($F$20=$R$6,$F$20=$U$6),CO2データ!I256,IF($F$20=$S$6,CO2データ!L256,CO2データ!O256))</f>
        <v>0.436</v>
      </c>
      <c r="I80" s="2208">
        <f>IF(OR($F$20=$R$6,$F$20=$U$6),CO2データ!J256,IF($F$20=$S$6,CO2データ!M256,CO2データ!P256))</f>
        <v>0</v>
      </c>
      <c r="J80" s="2208">
        <f>IF(OR($F$20=$R$6,$F$20=$U$6),CO2データ!K256,IF($F$20=$S$6,CO2データ!N256,CO2データ!Q256))</f>
        <v>0</v>
      </c>
      <c r="K80" s="2236"/>
      <c r="L80" s="2234">
        <f t="shared" si="8"/>
        <v>0.30520000000000003</v>
      </c>
      <c r="M80" s="2236"/>
      <c r="N80" s="2234"/>
      <c r="O80" s="2238">
        <f t="shared" si="9"/>
        <v>0.436</v>
      </c>
      <c r="P80" t="s">
        <v>158</v>
      </c>
    </row>
    <row r="81" spans="2:16" hidden="1">
      <c r="B81" s="2232"/>
      <c r="C81" s="2162"/>
      <c r="D81" s="2162"/>
      <c r="E81" s="2162"/>
      <c r="F81" s="2208">
        <f>$F$80</f>
        <v>0</v>
      </c>
      <c r="G81" s="2162"/>
      <c r="H81" s="2208">
        <f>IF(OR($F$20=$R$6,$F$20=$U$6),CO2データ!I257,IF($F$20=$S$6,CO2データ!L257,CO2データ!O257))</f>
        <v>0</v>
      </c>
      <c r="I81" s="2208">
        <f>IF(OR($F$20=$R$6,$F$20=$U$6),CO2データ!J257,IF($F$20=$S$6,CO2データ!M257,CO2データ!P257))</f>
        <v>0</v>
      </c>
      <c r="J81" s="2208">
        <f>IF(OR($F$20=$R$6,$F$20=$U$6),CO2データ!K257,IF($F$20=$S$6,CO2データ!N257,CO2データ!Q257))</f>
        <v>0.436</v>
      </c>
      <c r="K81" s="2236"/>
      <c r="L81" s="2234">
        <f t="shared" si="8"/>
        <v>0</v>
      </c>
      <c r="M81" s="2236"/>
      <c r="N81" s="2234"/>
      <c r="O81" s="2238">
        <f t="shared" si="9"/>
        <v>0</v>
      </c>
      <c r="P81" t="s">
        <v>158</v>
      </c>
    </row>
    <row r="82" spans="2:16" hidden="1">
      <c r="B82" s="2232"/>
      <c r="C82" s="2162"/>
      <c r="D82" s="2162"/>
      <c r="E82" s="2162"/>
      <c r="F82" s="2208">
        <f>$F$80</f>
        <v>0</v>
      </c>
      <c r="G82" s="2162"/>
      <c r="H82" s="2208">
        <f>IF(OR($F$20=$R$6,$F$20=$U$6),CO2データ!I258,IF($F$20=$S$6,CO2データ!L258,CO2データ!O258))</f>
        <v>0.10299999999999999</v>
      </c>
      <c r="I82" s="2208">
        <f>IF(OR($F$20=$R$6,$F$20=$U$6),CO2データ!J258,IF($F$20=$S$6,CO2データ!M258,CO2データ!P258))</f>
        <v>0</v>
      </c>
      <c r="J82" s="2208">
        <f>IF(OR($F$20=$R$6,$F$20=$U$6),CO2データ!K258,IF($F$20=$S$6,CO2データ!N258,CO2データ!Q258))</f>
        <v>0.10299999999999999</v>
      </c>
      <c r="K82" s="2236"/>
      <c r="L82" s="2234">
        <f t="shared" si="8"/>
        <v>7.2099999999999997E-2</v>
      </c>
      <c r="M82" s="2236"/>
      <c r="N82" s="2234"/>
      <c r="O82" s="2238">
        <f t="shared" si="9"/>
        <v>0.10299999999999999</v>
      </c>
      <c r="P82" t="s">
        <v>85</v>
      </c>
    </row>
    <row r="83" spans="2:16" hidden="1">
      <c r="B83" s="2232"/>
      <c r="C83" s="2162"/>
      <c r="D83" s="2162"/>
      <c r="E83" s="2162"/>
      <c r="F83" s="2208">
        <f>$F$80</f>
        <v>0</v>
      </c>
      <c r="G83" s="2162"/>
      <c r="H83" s="2208">
        <f>IF(OR($F$20=$R$6,$F$20=$U$6),CO2データ!I259,IF($F$20=$S$6,CO2データ!L259,CO2データ!O259))</f>
        <v>0</v>
      </c>
      <c r="I83" s="2208">
        <f>IF(OR($F$20=$R$6,$F$20=$U$6),CO2データ!J259,IF($F$20=$S$6,CO2データ!M259,CO2データ!P259))</f>
        <v>0</v>
      </c>
      <c r="J83" s="2208">
        <f>IF(OR($F$20=$R$6,$F$20=$U$6),CO2データ!K259,IF($F$20=$S$6,CO2データ!N259,CO2データ!Q259))</f>
        <v>0</v>
      </c>
      <c r="K83" s="2236"/>
      <c r="L83" s="2234">
        <f t="shared" si="8"/>
        <v>0</v>
      </c>
      <c r="M83" s="2236"/>
      <c r="N83" s="2234"/>
      <c r="O83" s="2238">
        <f t="shared" si="9"/>
        <v>0</v>
      </c>
      <c r="P83" t="s">
        <v>85</v>
      </c>
    </row>
    <row r="84" spans="2:16" hidden="1">
      <c r="B84" s="2232"/>
      <c r="C84" s="2162"/>
      <c r="D84" s="2162"/>
      <c r="E84" s="2162"/>
      <c r="F84" s="2208">
        <f>$F$80</f>
        <v>0</v>
      </c>
      <c r="G84" s="2162"/>
      <c r="H84" s="2208">
        <f>IF(OR($F$20=$R$6,$F$20=$U$6),CO2データ!I260,IF($F$20=$S$6,CO2データ!L260,CO2データ!O260))</f>
        <v>3.4000000000000002E-2</v>
      </c>
      <c r="I84" s="2208">
        <f>IF(OR($F$20=$R$6,$F$20=$U$6),CO2データ!J260,IF($F$20=$S$6,CO2データ!M260,CO2データ!P260))</f>
        <v>0</v>
      </c>
      <c r="J84" s="2208">
        <f>IF(OR($F$20=$R$6,$F$20=$U$6),CO2データ!K260,IF($F$20=$S$6,CO2データ!N260,CO2データ!Q260))</f>
        <v>3.4000000000000002E-2</v>
      </c>
      <c r="K84" s="2236"/>
      <c r="L84" s="2234">
        <f t="shared" si="8"/>
        <v>2.3800000000000002E-2</v>
      </c>
      <c r="M84" s="2236"/>
      <c r="N84" s="2234"/>
      <c r="O84" s="2238">
        <f t="shared" si="9"/>
        <v>3.4000000000000002E-2</v>
      </c>
      <c r="P84" t="s">
        <v>85</v>
      </c>
    </row>
    <row r="85" spans="2:16" hidden="1">
      <c r="B85" s="2232"/>
      <c r="C85" s="2162"/>
      <c r="D85" s="2162"/>
      <c r="E85" s="2162"/>
      <c r="F85" s="2208">
        <f>$F$80</f>
        <v>0</v>
      </c>
      <c r="G85" s="2162"/>
      <c r="H85" s="2208">
        <f>IF(OR($F$20=$R$6,$F$20=$U$6),CO2データ!I261,IF($F$20=$S$6,CO2データ!L261,CO2データ!O261))</f>
        <v>5.0000000000000001E-3</v>
      </c>
      <c r="I85" s="2208">
        <f>IF(OR($F$20=$R$6,$F$20=$U$6),CO2データ!J261,IF($F$20=$S$6,CO2データ!M261,CO2データ!P261))</f>
        <v>0</v>
      </c>
      <c r="J85" s="2208">
        <f>IF(OR($F$20=$R$6,$F$20=$U$6),CO2データ!K261,IF($F$20=$S$6,CO2データ!N261,CO2データ!Q261))</f>
        <v>4.7099999999999998E-3</v>
      </c>
      <c r="K85" s="2236"/>
      <c r="L85" s="2234">
        <f t="shared" si="8"/>
        <v>3.5000000000000001E-3</v>
      </c>
      <c r="M85" s="2236"/>
      <c r="N85" s="2234"/>
      <c r="O85" s="2238">
        <f t="shared" si="9"/>
        <v>5.0000000000000001E-3</v>
      </c>
      <c r="P85" t="s">
        <v>85</v>
      </c>
    </row>
    <row r="86" spans="2:16" hidden="1">
      <c r="B86" s="2232"/>
      <c r="C86" s="2162"/>
      <c r="D86" s="2162" t="s">
        <v>763</v>
      </c>
      <c r="E86" s="2162"/>
      <c r="F86" s="2208">
        <f>F18</f>
        <v>2.0887728459530026E-2</v>
      </c>
      <c r="G86" s="2162"/>
      <c r="H86" s="2208">
        <f>IF(OR($F$20=$R$6,$F$20=$U$6),CO2データ!I262,IF($F$20=$S$6,CO2データ!L262,CO2データ!O262))</f>
        <v>0.32300000000000001</v>
      </c>
      <c r="I86" s="2208">
        <f>IF(OR($F$20=$R$6,$F$20=$U$6),CO2データ!J262,IF($F$20=$S$6,CO2データ!M262,CO2データ!P262))</f>
        <v>0</v>
      </c>
      <c r="J86" s="2208">
        <f>IF(OR($F$20=$R$6,$F$20=$U$6),CO2データ!K262,IF($F$20=$S$6,CO2データ!N262,CO2データ!Q262))</f>
        <v>0</v>
      </c>
      <c r="K86" s="2236"/>
      <c r="L86" s="2234">
        <f t="shared" si="8"/>
        <v>0.22610000000000002</v>
      </c>
      <c r="M86" s="2236"/>
      <c r="N86" s="2234"/>
      <c r="O86" s="2238">
        <f t="shared" si="9"/>
        <v>0.32300000000000001</v>
      </c>
      <c r="P86" t="s">
        <v>158</v>
      </c>
    </row>
    <row r="87" spans="2:16" hidden="1">
      <c r="B87" s="2232"/>
      <c r="C87" s="2162"/>
      <c r="D87" s="2162"/>
      <c r="E87" s="2162"/>
      <c r="F87" s="2208">
        <f>$F$86</f>
        <v>2.0887728459530026E-2</v>
      </c>
      <c r="G87" s="2162"/>
      <c r="H87" s="2208">
        <f>IF(OR($F$20=$R$6,$F$20=$U$6),CO2データ!I263,IF($F$20=$S$6,CO2データ!L263,CO2データ!O263))</f>
        <v>0</v>
      </c>
      <c r="I87" s="2208">
        <f>IF(OR($F$20=$R$6,$F$20=$U$6),CO2データ!J263,IF($F$20=$S$6,CO2データ!M263,CO2データ!P263))</f>
        <v>0</v>
      </c>
      <c r="J87" s="2208">
        <f>IF(OR($F$20=$R$6,$F$20=$U$6),CO2データ!K263,IF($F$20=$S$6,CO2データ!N263,CO2データ!Q263))</f>
        <v>0.32300000000000001</v>
      </c>
      <c r="K87" s="2236"/>
      <c r="L87" s="2234">
        <f t="shared" si="8"/>
        <v>0</v>
      </c>
      <c r="M87" s="2236"/>
      <c r="N87" s="2234"/>
      <c r="O87" s="2238">
        <f t="shared" si="9"/>
        <v>0</v>
      </c>
      <c r="P87" t="s">
        <v>158</v>
      </c>
    </row>
    <row r="88" spans="2:16" hidden="1">
      <c r="B88" s="2232"/>
      <c r="C88" s="2162"/>
      <c r="D88" s="2162"/>
      <c r="E88" s="2162"/>
      <c r="F88" s="2208">
        <f>$F$86</f>
        <v>2.0887728459530026E-2</v>
      </c>
      <c r="G88" s="2162"/>
      <c r="H88" s="2208">
        <f>IF(OR($F$20=$R$6,$F$20=$U$6),CO2データ!I264,IF($F$20=$S$6,CO2データ!L264,CO2データ!O264))</f>
        <v>4.8000000000000001E-2</v>
      </c>
      <c r="I88" s="2208">
        <f>IF(OR($F$20=$R$6,$F$20=$U$6),CO2データ!J264,IF($F$20=$S$6,CO2データ!M264,CO2データ!P264))</f>
        <v>0</v>
      </c>
      <c r="J88" s="2208">
        <f>IF(OR($F$20=$R$6,$F$20=$U$6),CO2データ!K264,IF($F$20=$S$6,CO2データ!N264,CO2データ!Q264))</f>
        <v>4.8000000000000001E-2</v>
      </c>
      <c r="K88" s="2236"/>
      <c r="L88" s="2234">
        <f t="shared" si="8"/>
        <v>3.3600000000000005E-2</v>
      </c>
      <c r="M88" s="2236"/>
      <c r="N88" s="2234"/>
      <c r="O88" s="2238">
        <f t="shared" si="9"/>
        <v>4.8000000000000001E-2</v>
      </c>
      <c r="P88" t="s">
        <v>85</v>
      </c>
    </row>
    <row r="89" spans="2:16" hidden="1">
      <c r="B89" s="2232"/>
      <c r="C89" s="2162"/>
      <c r="D89" s="2162"/>
      <c r="E89" s="2162"/>
      <c r="F89" s="2208">
        <f>$F$86</f>
        <v>2.0887728459530026E-2</v>
      </c>
      <c r="G89" s="2162"/>
      <c r="H89" s="2208">
        <f>IF(OR($F$20=$R$6,$F$20=$U$6),CO2データ!I265,IF($F$20=$S$6,CO2データ!L265,CO2データ!O265))</f>
        <v>0</v>
      </c>
      <c r="I89" s="2208">
        <f>IF(OR($F$20=$R$6,$F$20=$U$6),CO2データ!J265,IF($F$20=$S$6,CO2データ!M265,CO2データ!P265))</f>
        <v>0</v>
      </c>
      <c r="J89" s="2208">
        <f>IF(OR($F$20=$R$6,$F$20=$U$6),CO2データ!K265,IF($F$20=$S$6,CO2データ!N265,CO2データ!Q265))</f>
        <v>0</v>
      </c>
      <c r="K89" s="2236"/>
      <c r="L89" s="2234">
        <f t="shared" si="8"/>
        <v>0</v>
      </c>
      <c r="M89" s="2236"/>
      <c r="N89" s="2234"/>
      <c r="O89" s="2238">
        <f t="shared" si="9"/>
        <v>0</v>
      </c>
      <c r="P89" t="s">
        <v>85</v>
      </c>
    </row>
    <row r="90" spans="2:16" hidden="1">
      <c r="B90" s="2232"/>
      <c r="C90" s="2162"/>
      <c r="D90" s="2162"/>
      <c r="E90" s="2162"/>
      <c r="F90" s="2208">
        <f>$F$86</f>
        <v>2.0887728459530026E-2</v>
      </c>
      <c r="G90" s="2162"/>
      <c r="H90" s="2208">
        <f>IF(OR($F$20=$R$6,$F$20=$U$6),CO2データ!I266,IF($F$20=$S$6,CO2データ!L266,CO2データ!O266))</f>
        <v>1.9E-2</v>
      </c>
      <c r="I90" s="2208">
        <f>IF(OR($F$20=$R$6,$F$20=$U$6),CO2データ!J266,IF($F$20=$S$6,CO2データ!M266,CO2データ!P266))</f>
        <v>0</v>
      </c>
      <c r="J90" s="2208">
        <f>IF(OR($F$20=$R$6,$F$20=$U$6),CO2データ!K266,IF($F$20=$S$6,CO2データ!N266,CO2データ!Q266))</f>
        <v>1.9E-2</v>
      </c>
      <c r="K90" s="2236"/>
      <c r="L90" s="2234">
        <f t="shared" si="8"/>
        <v>1.3299999999999999E-2</v>
      </c>
      <c r="M90" s="2236"/>
      <c r="N90" s="2234"/>
      <c r="O90" s="2238">
        <f t="shared" si="9"/>
        <v>1.9E-2</v>
      </c>
      <c r="P90" t="s">
        <v>85</v>
      </c>
    </row>
    <row r="91" spans="2:16" hidden="1">
      <c r="B91" s="2232"/>
      <c r="C91" s="2162"/>
      <c r="D91" s="2162"/>
      <c r="E91" s="2162"/>
      <c r="F91" s="2208">
        <f>$F$86</f>
        <v>2.0887728459530026E-2</v>
      </c>
      <c r="G91" s="2162"/>
      <c r="H91" s="2208">
        <f>IF(OR($F$20=$R$6,$F$20=$U$6),CO2データ!I267,IF($F$20=$S$6,CO2データ!L267,CO2データ!O267))</f>
        <v>2E-3</v>
      </c>
      <c r="I91" s="2208">
        <f>IF(OR($F$20=$R$6,$F$20=$U$6),CO2データ!J267,IF($F$20=$S$6,CO2データ!M267,CO2データ!P267))</f>
        <v>0</v>
      </c>
      <c r="J91" s="2208">
        <f>IF(OR($F$20=$R$6,$F$20=$U$6),CO2データ!K267,IF($F$20=$S$6,CO2データ!N267,CO2データ!Q267))</f>
        <v>1.98E-3</v>
      </c>
      <c r="K91" s="2236"/>
      <c r="L91" s="2234">
        <f t="shared" si="8"/>
        <v>1.4000000000000002E-3</v>
      </c>
      <c r="M91" s="2236"/>
      <c r="N91" s="2234"/>
      <c r="O91" s="2238">
        <f t="shared" si="9"/>
        <v>2E-3</v>
      </c>
      <c r="P91" t="s">
        <v>85</v>
      </c>
    </row>
    <row r="92" spans="2:16" ht="14.25" hidden="1" thickBot="1">
      <c r="B92" s="2221"/>
      <c r="C92" s="2112"/>
      <c r="D92" s="2112"/>
      <c r="E92" s="2112"/>
      <c r="F92" s="2112"/>
      <c r="G92" s="2112"/>
      <c r="H92" s="2112"/>
      <c r="I92" s="2112"/>
      <c r="J92" s="2112"/>
      <c r="K92" s="2112"/>
      <c r="L92" s="2112"/>
      <c r="M92" s="2112"/>
      <c r="N92" s="2112"/>
      <c r="O92" s="2113"/>
    </row>
    <row r="93" spans="2:16" hidden="1">
      <c r="B93" s="2232"/>
      <c r="C93" s="2162" t="s">
        <v>1304</v>
      </c>
      <c r="D93" s="2162" t="s">
        <v>474</v>
      </c>
      <c r="E93" s="2162"/>
      <c r="F93" s="2112"/>
      <c r="G93" s="2112"/>
      <c r="H93" s="2112"/>
      <c r="I93" s="2112"/>
      <c r="J93" s="2112"/>
      <c r="K93" s="2236"/>
      <c r="L93" s="2239">
        <f t="shared" ref="L93:L98" si="10">$F38*L38+$F44*L44+$F50*L50+$F56*L56+$F62*L62+$F68*L68+$F74*L74+$F80*L80+$F86*L86</f>
        <v>0.35220966057441255</v>
      </c>
      <c r="M93" s="2236"/>
      <c r="N93" s="2240"/>
      <c r="O93" s="2239">
        <f t="shared" ref="O93:O98" si="11">$F38*O38+$F44*O44+$F50*O50+$F56*O56+$F62*O62+$F68*O68+$F74*O74+$F80*O80+$F86*O86</f>
        <v>0.50315665796344644</v>
      </c>
      <c r="P93" t="s">
        <v>158</v>
      </c>
    </row>
    <row r="94" spans="2:16" hidden="1">
      <c r="B94" s="2232"/>
      <c r="C94" s="2162"/>
      <c r="D94" s="2162"/>
      <c r="E94" s="2162"/>
      <c r="F94" s="2112"/>
      <c r="G94" s="2112"/>
      <c r="H94" s="2112"/>
      <c r="I94" s="2112"/>
      <c r="J94" s="2112"/>
      <c r="K94" s="2236"/>
      <c r="L94" s="2241">
        <f t="shared" si="10"/>
        <v>0</v>
      </c>
      <c r="M94" s="2236"/>
      <c r="N94" s="2240"/>
      <c r="O94" s="2241">
        <f t="shared" si="11"/>
        <v>0</v>
      </c>
      <c r="P94" t="s">
        <v>158</v>
      </c>
    </row>
    <row r="95" spans="2:16" hidden="1">
      <c r="B95" s="2232"/>
      <c r="C95" s="2162"/>
      <c r="D95" s="2162"/>
      <c r="E95" s="2162"/>
      <c r="F95" s="2112"/>
      <c r="G95" s="2112"/>
      <c r="H95" s="2112"/>
      <c r="I95" s="2112"/>
      <c r="J95" s="2112"/>
      <c r="K95" s="2236"/>
      <c r="L95" s="2241">
        <f t="shared" si="10"/>
        <v>8.2216187989556141E-2</v>
      </c>
      <c r="M95" s="2236"/>
      <c r="N95" s="2240"/>
      <c r="O95" s="2241">
        <f t="shared" si="11"/>
        <v>0.11745169712793735</v>
      </c>
      <c r="P95" t="s">
        <v>85</v>
      </c>
    </row>
    <row r="96" spans="2:16" hidden="1">
      <c r="B96" s="2232"/>
      <c r="C96" s="2162"/>
      <c r="D96" s="2162"/>
      <c r="E96" s="2162"/>
      <c r="F96" s="2112"/>
      <c r="G96" s="2112"/>
      <c r="H96" s="2112"/>
      <c r="I96" s="2112"/>
      <c r="J96" s="2112"/>
      <c r="K96" s="2236"/>
      <c r="L96" s="2241">
        <f t="shared" si="10"/>
        <v>0</v>
      </c>
      <c r="M96" s="2236"/>
      <c r="N96" s="2240"/>
      <c r="O96" s="2241">
        <f t="shared" si="11"/>
        <v>0</v>
      </c>
      <c r="P96" t="s">
        <v>85</v>
      </c>
    </row>
    <row r="97" spans="2:16" hidden="1">
      <c r="B97" s="2232"/>
      <c r="C97" s="2162"/>
      <c r="D97" s="2162"/>
      <c r="E97" s="2162"/>
      <c r="F97" s="2112"/>
      <c r="G97" s="2112"/>
      <c r="H97" s="2112"/>
      <c r="I97" s="2112"/>
      <c r="J97" s="2112"/>
      <c r="K97" s="2236"/>
      <c r="L97" s="2241">
        <f t="shared" si="10"/>
        <v>3.9846997389033946E-2</v>
      </c>
      <c r="M97" s="2236"/>
      <c r="N97" s="2240"/>
      <c r="O97" s="2241">
        <f t="shared" si="11"/>
        <v>5.6924281984334212E-2</v>
      </c>
      <c r="P97" t="s">
        <v>85</v>
      </c>
    </row>
    <row r="98" spans="2:16" ht="14.25" hidden="1" thickBot="1">
      <c r="B98" s="2232"/>
      <c r="C98" s="2162"/>
      <c r="D98" s="2162"/>
      <c r="E98" s="2162"/>
      <c r="F98" s="2112"/>
      <c r="G98" s="2112"/>
      <c r="H98" s="2112"/>
      <c r="I98" s="2112"/>
      <c r="J98" s="2112"/>
      <c r="K98" s="2236"/>
      <c r="L98" s="2242">
        <f t="shared" si="10"/>
        <v>2.9078328981723242E-3</v>
      </c>
      <c r="M98" s="2236"/>
      <c r="N98" s="2240"/>
      <c r="O98" s="2242">
        <f t="shared" si="11"/>
        <v>4.154046997389034E-3</v>
      </c>
      <c r="P98" t="s">
        <v>85</v>
      </c>
    </row>
    <row r="99" spans="2:16" hidden="1">
      <c r="B99" s="2221"/>
      <c r="C99" s="2112"/>
      <c r="D99" s="2112"/>
      <c r="E99" s="2112"/>
      <c r="F99" s="2112"/>
      <c r="G99" s="2112"/>
      <c r="H99" s="2112"/>
      <c r="I99" s="2112"/>
      <c r="J99" s="2112"/>
      <c r="K99" s="2112"/>
      <c r="L99" s="2112"/>
      <c r="M99" s="2112"/>
      <c r="N99" s="2112"/>
      <c r="O99" s="2113"/>
    </row>
    <row r="100" spans="2:16" ht="16.5">
      <c r="B100" s="1344" t="s">
        <v>165</v>
      </c>
      <c r="C100" s="1354"/>
      <c r="D100" s="1357"/>
      <c r="E100" s="1354"/>
      <c r="F100" s="2112"/>
      <c r="G100" s="2112"/>
      <c r="H100" s="1345"/>
      <c r="I100" s="1346"/>
      <c r="J100" s="1346"/>
      <c r="K100" s="1346"/>
      <c r="L100" s="1346"/>
      <c r="M100" s="1346"/>
      <c r="N100" s="1346"/>
      <c r="O100" s="1360"/>
    </row>
    <row r="101" spans="2:16" ht="14.25">
      <c r="B101" s="1344"/>
      <c r="C101" s="1348" t="s">
        <v>166</v>
      </c>
      <c r="D101" s="1357"/>
      <c r="E101" s="1354"/>
      <c r="F101" s="2112"/>
      <c r="G101" s="2112"/>
      <c r="H101" s="1345"/>
      <c r="I101" s="1346"/>
      <c r="J101" s="1345" t="s">
        <v>140</v>
      </c>
      <c r="K101" s="1346"/>
      <c r="L101" s="1345" t="s">
        <v>140</v>
      </c>
      <c r="M101" s="1346"/>
      <c r="N101" s="1346"/>
      <c r="O101" s="1347" t="s">
        <v>140</v>
      </c>
    </row>
    <row r="102" spans="2:16">
      <c r="B102" s="2111"/>
      <c r="C102" s="1357"/>
      <c r="D102" s="1357" t="s">
        <v>147</v>
      </c>
      <c r="E102" s="1354"/>
      <c r="F102" s="2207" t="s">
        <v>142</v>
      </c>
      <c r="G102" s="1354"/>
      <c r="H102" s="1351" t="s">
        <v>143</v>
      </c>
      <c r="I102" s="1351" t="s">
        <v>144</v>
      </c>
      <c r="J102" s="1351" t="s">
        <v>145</v>
      </c>
      <c r="K102" s="1352" t="s">
        <v>146</v>
      </c>
      <c r="L102" s="1353" t="s">
        <v>71</v>
      </c>
      <c r="M102" s="1354"/>
      <c r="N102" s="1352" t="s">
        <v>146</v>
      </c>
      <c r="O102" s="1355" t="s">
        <v>71</v>
      </c>
    </row>
    <row r="103" spans="2:16">
      <c r="B103" s="2111"/>
      <c r="C103" s="1357"/>
      <c r="D103" s="1357"/>
      <c r="E103" s="1357" t="s">
        <v>456</v>
      </c>
      <c r="F103" s="2208">
        <f t="shared" ref="F103:F111" si="12">F10</f>
        <v>0.71801566579634468</v>
      </c>
      <c r="G103" s="1354"/>
      <c r="H103" s="2208">
        <f>IF(OR($F$20=$R$6,$F$20=$U$6),CO2データ!I67,IF($F$20=$S$6,CO2データ!L67,CO2データ!O67))</f>
        <v>15.990999999999998</v>
      </c>
      <c r="I103" s="2208">
        <f>IF(OR($F$20=$R$6,$F$20=$U$6),CO2データ!J67,IF($F$20=$S$6,CO2データ!M67,CO2データ!P67))</f>
        <v>15.990999999999998</v>
      </c>
      <c r="J103" s="2208">
        <f>IF(OR($F$20=$R$6,$F$20=$U$6),CO2データ!K67,IF($F$20=$S$6,CO2データ!N67,CO2データ!Q67))</f>
        <v>15.990999999999998</v>
      </c>
      <c r="K103" s="2192">
        <f>スコア表示!L80</f>
        <v>3</v>
      </c>
      <c r="L103" s="2210">
        <f t="shared" ref="L103:L111" si="13">IF(K103&gt;=5,$J103,IF(K103&gt;=4,$I103,$H103))</f>
        <v>15.990999999999998</v>
      </c>
      <c r="M103" s="1354"/>
      <c r="N103" s="2192">
        <v>3</v>
      </c>
      <c r="O103" s="2211">
        <f>IF(OR($F$20=$R$6,$F$20=$U$6),CO2データ!I65,IF($F$20=$S$6,CO2データ!L65,CO2データ!O65))</f>
        <v>15.990999999999998</v>
      </c>
    </row>
    <row r="104" spans="2:16">
      <c r="B104" s="2111"/>
      <c r="C104" s="1354"/>
      <c r="D104" s="1357"/>
      <c r="E104" s="1357" t="s">
        <v>458</v>
      </c>
      <c r="F104" s="2208">
        <f t="shared" si="12"/>
        <v>0</v>
      </c>
      <c r="G104" s="1354"/>
      <c r="H104" s="2208">
        <f>IF(OR($F$20=$R$6,$F$20=$U$6),CO2データ!I70,IF($F$20=$S$6,CO2データ!L70,CO2データ!O70))</f>
        <v>11.802</v>
      </c>
      <c r="I104" s="2208">
        <f>IF(OR($F$20=$R$6,$F$20=$U$6),CO2データ!J70,IF($F$20=$S$6,CO2データ!M70,CO2データ!P70))</f>
        <v>11.802</v>
      </c>
      <c r="J104" s="2208">
        <f>IF(OR($F$20=$R$6,$F$20=$U$6),CO2データ!K70,IF($F$20=$S$6,CO2データ!N70,CO2データ!Q70))</f>
        <v>11.802</v>
      </c>
      <c r="K104" s="2192">
        <f t="shared" ref="K104:K111" si="14">K$103</f>
        <v>3</v>
      </c>
      <c r="L104" s="2210">
        <f t="shared" si="13"/>
        <v>11.802</v>
      </c>
      <c r="M104" s="1354"/>
      <c r="N104" s="2192">
        <v>3</v>
      </c>
      <c r="O104" s="2211">
        <f>IF(OR($F$20=$R$6,$F$20=$U$6),CO2データ!I68,IF($F$20=$S$6,CO2データ!L68,CO2データ!O68))</f>
        <v>11.802</v>
      </c>
    </row>
    <row r="105" spans="2:16">
      <c r="B105" s="2111"/>
      <c r="C105" s="1354"/>
      <c r="D105" s="2112"/>
      <c r="E105" s="1357" t="s">
        <v>460</v>
      </c>
      <c r="F105" s="2208">
        <f t="shared" si="12"/>
        <v>0</v>
      </c>
      <c r="G105" s="1354"/>
      <c r="H105" s="2208">
        <f>IF(OR($F$20=$R$6,$F$20=$U$6),CO2データ!I73,IF($F$20=$S$6,CO2データ!L73,CO2データ!O73))</f>
        <v>6.88</v>
      </c>
      <c r="I105" s="2208">
        <f>IF(OR($F$20=$R$6,$F$20=$U$6),CO2データ!J73,IF($F$20=$S$6,CO2データ!M73,CO2データ!P73))</f>
        <v>6.88</v>
      </c>
      <c r="J105" s="2208">
        <f>IF(OR($F$20=$R$6,$F$20=$U$6),CO2データ!K73,IF($F$20=$S$6,CO2データ!N73,CO2データ!Q73))</f>
        <v>6.88</v>
      </c>
      <c r="K105" s="2192">
        <f t="shared" si="14"/>
        <v>3</v>
      </c>
      <c r="L105" s="2210">
        <f t="shared" si="13"/>
        <v>6.88</v>
      </c>
      <c r="M105" s="1354"/>
      <c r="N105" s="2192">
        <v>3</v>
      </c>
      <c r="O105" s="2211">
        <f>IF(OR($F$20=$R$6,$F$20=$U$6),CO2データ!I71,IF($F$20=$S$6,CO2データ!L71,CO2データ!O71))</f>
        <v>6.88</v>
      </c>
    </row>
    <row r="106" spans="2:16">
      <c r="B106" s="2111"/>
      <c r="C106" s="1354"/>
      <c r="D106" s="1357"/>
      <c r="E106" s="1357" t="s">
        <v>462</v>
      </c>
      <c r="F106" s="2208">
        <f t="shared" si="12"/>
        <v>0.26109660574412535</v>
      </c>
      <c r="G106" s="1354"/>
      <c r="H106" s="2208">
        <f>IF(OR($F$20=$R$6,$F$20=$U$6),CO2データ!I76,IF($F$20=$S$6,CO2データ!L76,CO2データ!O76))</f>
        <v>6.88</v>
      </c>
      <c r="I106" s="2208">
        <f>IF(OR($F$20=$R$6,$F$20=$U$6),CO2データ!J76,IF($F$20=$S$6,CO2データ!M76,CO2データ!P76))</f>
        <v>6.88</v>
      </c>
      <c r="J106" s="2208">
        <f>IF(OR($F$20=$R$6,$F$20=$U$6),CO2データ!K76,IF($F$20=$S$6,CO2データ!N76,CO2データ!Q76))</f>
        <v>6.88</v>
      </c>
      <c r="K106" s="2192">
        <f t="shared" si="14"/>
        <v>3</v>
      </c>
      <c r="L106" s="2210">
        <f t="shared" si="13"/>
        <v>6.88</v>
      </c>
      <c r="M106" s="1354"/>
      <c r="N106" s="2192">
        <v>3</v>
      </c>
      <c r="O106" s="2211">
        <f>IF(OR($F$20=$R$6,$F$20=$U$6),CO2データ!I74,IF($F$20=$S$6,CO2データ!L74,CO2データ!O74))</f>
        <v>6.88</v>
      </c>
    </row>
    <row r="107" spans="2:16">
      <c r="B107" s="2111"/>
      <c r="C107" s="2112"/>
      <c r="D107" s="2112"/>
      <c r="E107" s="151" t="s">
        <v>766</v>
      </c>
      <c r="F107" s="2208">
        <f t="shared" si="12"/>
        <v>0</v>
      </c>
      <c r="G107" s="1354"/>
      <c r="H107" s="2208">
        <f>IF(OR($F$20=$R$6,$F$20=$U$6),CO2データ!I79,IF($F$20=$S$6,CO2データ!L79,CO2データ!O79))</f>
        <v>12.809999999999999</v>
      </c>
      <c r="I107" s="2208">
        <f>IF(OR($F$20=$R$6,$F$20=$U$6),CO2データ!J79,IF($F$20=$S$6,CO2データ!M79,CO2データ!P79))</f>
        <v>12.809999999999999</v>
      </c>
      <c r="J107" s="2208">
        <f>IF(OR($F$20=$R$6,$F$20=$U$6),CO2データ!K79,IF($F$20=$S$6,CO2データ!N79,CO2データ!Q79))</f>
        <v>12.809999999999999</v>
      </c>
      <c r="K107" s="2192">
        <f t="shared" si="14"/>
        <v>3</v>
      </c>
      <c r="L107" s="2210">
        <f t="shared" si="13"/>
        <v>12.809999999999999</v>
      </c>
      <c r="M107" s="1354"/>
      <c r="N107" s="2192">
        <v>3</v>
      </c>
      <c r="O107" s="2211">
        <f>IF(OR($F$20=$R$6,$F$20=$U$6),CO2データ!I77,IF($F$20=$S$6,CO2データ!L77,CO2データ!O77))</f>
        <v>12.809999999999999</v>
      </c>
    </row>
    <row r="108" spans="2:16">
      <c r="B108" s="2111"/>
      <c r="C108" s="2112"/>
      <c r="D108" s="2112"/>
      <c r="E108" s="151" t="s">
        <v>472</v>
      </c>
      <c r="F108" s="2208">
        <f t="shared" si="12"/>
        <v>0</v>
      </c>
      <c r="G108" s="1354"/>
      <c r="H108" s="2208">
        <f>IF(OR($F$20=$R$6,$F$20=$U$6),CO2データ!I82,IF($F$20=$S$6,CO2データ!L82,CO2データ!O82))</f>
        <v>8.6499999999999986</v>
      </c>
      <c r="I108" s="2208">
        <f>IF(OR($F$20=$R$6,$F$20=$U$6),CO2データ!J82,IF($F$20=$S$6,CO2データ!M82,CO2データ!P82))</f>
        <v>8.6499999999999986</v>
      </c>
      <c r="J108" s="2208">
        <f>IF(OR($F$20=$R$6,$F$20=$U$6),CO2データ!K82,IF($F$20=$S$6,CO2データ!N82,CO2データ!Q82))</f>
        <v>8.6499999999999986</v>
      </c>
      <c r="K108" s="2192">
        <f t="shared" si="14"/>
        <v>3</v>
      </c>
      <c r="L108" s="2210">
        <f t="shared" si="13"/>
        <v>8.6499999999999986</v>
      </c>
      <c r="M108" s="1354"/>
      <c r="N108" s="2192">
        <v>3</v>
      </c>
      <c r="O108" s="2211">
        <f>IF(OR($F$20=$R$6,$F$20=$U$6),CO2データ!I80,IF($F$20=$S$6,CO2データ!L80,CO2データ!O80))</f>
        <v>8.6499999999999986</v>
      </c>
    </row>
    <row r="109" spans="2:16">
      <c r="B109" s="2111"/>
      <c r="C109" s="2112"/>
      <c r="D109" s="2112"/>
      <c r="E109" s="151" t="s">
        <v>466</v>
      </c>
      <c r="F109" s="2208">
        <f t="shared" si="12"/>
        <v>0</v>
      </c>
      <c r="G109" s="1354"/>
      <c r="H109" s="2208">
        <f>IF(OR($F$20=$R$6,$F$20=$U$6),CO2データ!I85,IF($F$20=$S$6,CO2データ!L85,CO2データ!O85))</f>
        <v>15.425999999999998</v>
      </c>
      <c r="I109" s="2208">
        <f>IF(OR($F$20=$R$6,$F$20=$U$6),CO2データ!J85,IF($F$20=$S$6,CO2データ!M85,CO2データ!P85))</f>
        <v>15.425999999999998</v>
      </c>
      <c r="J109" s="2208">
        <f>IF(OR($F$20=$R$6,$F$20=$U$6),CO2データ!K85,IF($F$20=$S$6,CO2データ!N85,CO2データ!Q85))</f>
        <v>15.425999999999998</v>
      </c>
      <c r="K109" s="2192">
        <f t="shared" si="14"/>
        <v>3</v>
      </c>
      <c r="L109" s="2210">
        <f t="shared" si="13"/>
        <v>15.425999999999998</v>
      </c>
      <c r="M109" s="1354"/>
      <c r="N109" s="2192">
        <v>3</v>
      </c>
      <c r="O109" s="2211">
        <f>IF(OR($F$20=$R$6,$F$20=$U$6),CO2データ!I83,IF($F$20=$S$6,CO2データ!L83,CO2データ!O83))</f>
        <v>15.425999999999998</v>
      </c>
    </row>
    <row r="110" spans="2:16">
      <c r="B110" s="2111"/>
      <c r="C110" s="2112"/>
      <c r="D110" s="2112"/>
      <c r="E110" s="151" t="s">
        <v>767</v>
      </c>
      <c r="F110" s="2208">
        <f t="shared" si="12"/>
        <v>0</v>
      </c>
      <c r="G110" s="1354"/>
      <c r="H110" s="2208">
        <f>IF(OR($F$20=$R$6,$F$20=$U$6),CO2データ!I88,IF($F$20=$S$6,CO2データ!L88,CO2データ!O88))</f>
        <v>13.297999999999998</v>
      </c>
      <c r="I110" s="2208">
        <f>IF(OR($F$20=$R$6,$F$20=$U$6),CO2データ!J88,IF($F$20=$S$6,CO2データ!M88,CO2データ!P88))</f>
        <v>13.297999999999998</v>
      </c>
      <c r="J110" s="2208">
        <f>IF(OR($F$20=$R$6,$F$20=$U$6),CO2データ!K88,IF($F$20=$S$6,CO2データ!N88,CO2データ!Q88))</f>
        <v>13.297999999999998</v>
      </c>
      <c r="K110" s="2192">
        <f t="shared" si="14"/>
        <v>3</v>
      </c>
      <c r="L110" s="2210">
        <f t="shared" si="13"/>
        <v>13.297999999999998</v>
      </c>
      <c r="M110" s="1354"/>
      <c r="N110" s="2192">
        <v>3</v>
      </c>
      <c r="O110" s="2211">
        <f>IF(OR($F$20=$R$6,$F$20=$U$6),CO2データ!I86,IF($F$20=$S$6,CO2データ!L86,CO2データ!O86))</f>
        <v>13.297999999999998</v>
      </c>
    </row>
    <row r="111" spans="2:16">
      <c r="B111" s="2111"/>
      <c r="C111" s="2112"/>
      <c r="D111" s="2112"/>
      <c r="E111" s="151" t="s">
        <v>470</v>
      </c>
      <c r="F111" s="2208">
        <f t="shared" si="12"/>
        <v>2.0887728459530026E-2</v>
      </c>
      <c r="G111" s="1354"/>
      <c r="H111" s="2208">
        <f>IF(OR($F$20=$R$6,$F$20=$U$6),CO2データ!I91,IF($F$20=$S$6,CO2データ!L91,CO2データ!O91))</f>
        <v>8.0190000000000001</v>
      </c>
      <c r="I111" s="2208">
        <f>IF(OR($F$20=$R$6,$F$20=$U$6),CO2データ!J91,IF($F$20=$S$6,CO2データ!M91,CO2データ!P91))</f>
        <v>9.7210000000000001</v>
      </c>
      <c r="J111" s="2208">
        <f>IF(OR($F$20=$R$6,$F$20=$U$6),CO2データ!K91,IF($F$20=$S$6,CO2データ!N91,CO2データ!Q91))</f>
        <v>10.979000000000001</v>
      </c>
      <c r="K111" s="2192">
        <f t="shared" si="14"/>
        <v>3</v>
      </c>
      <c r="L111" s="2210">
        <f t="shared" si="13"/>
        <v>8.0190000000000001</v>
      </c>
      <c r="M111" s="1354"/>
      <c r="N111" s="2192">
        <v>3</v>
      </c>
      <c r="O111" s="2211">
        <f>IF(OR($F$20=$R$6,$F$20=$U$6),CO2データ!I89,IF($F$20=$S$6,CO2データ!L89,CO2データ!O89))</f>
        <v>8.0190000000000001</v>
      </c>
    </row>
    <row r="112" spans="2:16" ht="14.25" thickBot="1">
      <c r="B112" s="2111"/>
      <c r="C112" s="2112"/>
      <c r="D112" s="2112"/>
      <c r="E112" s="2112"/>
      <c r="F112" s="2112"/>
      <c r="G112" s="2112"/>
      <c r="H112" s="2112"/>
      <c r="I112" s="2112"/>
      <c r="J112" s="2112"/>
      <c r="K112" s="2112"/>
      <c r="L112" s="2112"/>
      <c r="M112" s="2112"/>
      <c r="N112" s="2112"/>
      <c r="O112" s="2113"/>
    </row>
    <row r="113" spans="2:18" ht="14.25" thickBot="1">
      <c r="B113" s="2221"/>
      <c r="C113" s="1348" t="s">
        <v>167</v>
      </c>
      <c r="D113" s="1357"/>
      <c r="E113" s="151"/>
      <c r="F113" s="2112"/>
      <c r="G113" s="2112"/>
      <c r="H113" s="2112"/>
      <c r="I113" s="2112"/>
      <c r="J113" s="2112"/>
      <c r="K113" s="2112"/>
      <c r="L113" s="2224">
        <f>SUMPRODUCT(F103:F111,L103:L111)</f>
        <v>13.445631853785901</v>
      </c>
      <c r="M113" s="2112"/>
      <c r="N113" s="2112"/>
      <c r="O113" s="2224">
        <f>SUMPRODUCT(F103:F111,O103:O111)</f>
        <v>13.445631853785901</v>
      </c>
    </row>
    <row r="114" spans="2:18">
      <c r="B114" s="2111"/>
      <c r="C114" s="2112"/>
      <c r="D114" s="2112"/>
      <c r="E114" s="2112"/>
      <c r="F114" s="2112"/>
      <c r="G114" s="2112"/>
      <c r="H114" s="2112"/>
      <c r="I114" s="2112"/>
      <c r="J114" s="2112"/>
      <c r="K114" s="2112"/>
      <c r="L114" s="2112"/>
      <c r="M114" s="2112"/>
      <c r="N114" s="2112"/>
      <c r="O114" s="2113"/>
    </row>
    <row r="115" spans="2:18" ht="17.25" thickBot="1">
      <c r="B115" s="1344" t="s">
        <v>168</v>
      </c>
      <c r="C115" s="2112"/>
      <c r="D115" s="2112"/>
      <c r="E115" s="2112"/>
      <c r="F115" s="2112"/>
      <c r="G115" s="2112"/>
      <c r="H115" s="2112"/>
      <c r="I115" s="2112"/>
      <c r="J115" s="2112"/>
      <c r="K115" s="2112"/>
      <c r="L115" s="1345" t="s">
        <v>140</v>
      </c>
      <c r="M115" s="1354"/>
      <c r="N115" s="1354"/>
      <c r="O115" s="1347" t="s">
        <v>140</v>
      </c>
      <c r="R115" t="s">
        <v>1305</v>
      </c>
    </row>
    <row r="116" spans="2:18" ht="14.25" thickBot="1">
      <c r="B116" s="1344"/>
      <c r="C116" s="1348" t="s">
        <v>1032</v>
      </c>
      <c r="D116" s="2112"/>
      <c r="E116" s="2112"/>
      <c r="F116" s="2112" t="s">
        <v>1211</v>
      </c>
      <c r="G116" s="2112"/>
      <c r="H116" s="2112" t="s">
        <v>1306</v>
      </c>
      <c r="I116" s="2112"/>
      <c r="J116" s="2112" t="s">
        <v>1113</v>
      </c>
      <c r="K116" s="2112"/>
      <c r="L116" s="1888" t="e">
        <f>SUM(L118:L121)</f>
        <v>#VALUE!</v>
      </c>
      <c r="M116" s="1354"/>
      <c r="N116" s="1889" t="s">
        <v>1033</v>
      </c>
      <c r="O116" s="1888" t="e">
        <f>SUM(O118:O121)</f>
        <v>#VALUE!</v>
      </c>
    </row>
    <row r="117" spans="2:18">
      <c r="B117" s="1344"/>
      <c r="C117" s="1348"/>
      <c r="D117" s="2112"/>
      <c r="E117" s="2112"/>
      <c r="F117" s="2243" t="s">
        <v>1213</v>
      </c>
      <c r="G117" s="2112"/>
      <c r="H117" s="1341" t="s">
        <v>1307</v>
      </c>
      <c r="I117" s="1341" t="s">
        <v>1308</v>
      </c>
      <c r="J117" s="1357" t="s">
        <v>1309</v>
      </c>
      <c r="K117" s="2112"/>
      <c r="L117" s="1894"/>
      <c r="M117" s="1354"/>
      <c r="N117" s="1889"/>
      <c r="O117" s="2189"/>
    </row>
    <row r="118" spans="2:18">
      <c r="B118" s="1344"/>
      <c r="C118" s="1348"/>
      <c r="D118" s="2112"/>
      <c r="E118" s="2112" t="s">
        <v>1280</v>
      </c>
      <c r="F118" s="2244">
        <f>省エネ_前!I52</f>
        <v>15000</v>
      </c>
      <c r="G118" s="2112"/>
      <c r="H118" s="2244">
        <f>省エネ_前!Q97</f>
        <v>33070</v>
      </c>
      <c r="I118" s="2244" t="e">
        <f>省エネ_前!N97</f>
        <v>#VALUE!</v>
      </c>
      <c r="J118" s="2120" t="e">
        <f>省エネ_前!L117</f>
        <v>#VALUE!</v>
      </c>
      <c r="K118" s="2112"/>
      <c r="L118" s="2245" t="e">
        <f>IF(F118=0,0,I118*J118/F118*1000)</f>
        <v>#VALUE!</v>
      </c>
      <c r="M118" s="1354"/>
      <c r="N118" s="1889"/>
      <c r="O118" s="2246" t="e">
        <f>IF(F118=0,0,H118*J118/F118*1000)</f>
        <v>#VALUE!</v>
      </c>
    </row>
    <row r="119" spans="2:18" hidden="1">
      <c r="B119" s="1344"/>
      <c r="C119" s="1348"/>
      <c r="D119" s="2112"/>
      <c r="E119" s="2112"/>
      <c r="F119" s="2244"/>
      <c r="G119" s="2112"/>
      <c r="H119" s="2244"/>
      <c r="I119" s="2244"/>
      <c r="J119" s="2120"/>
      <c r="K119" s="2112"/>
      <c r="L119" s="2245"/>
      <c r="M119" s="1354"/>
      <c r="N119" s="1889"/>
      <c r="O119" s="2246"/>
    </row>
    <row r="120" spans="2:18">
      <c r="B120" s="1344"/>
      <c r="C120" s="1348"/>
      <c r="D120" s="2112"/>
      <c r="E120" s="2112" t="s">
        <v>1310</v>
      </c>
      <c r="F120" s="2244">
        <f>省エネ_前!N52</f>
        <v>300</v>
      </c>
      <c r="G120" s="2112"/>
      <c r="H120" s="2244">
        <f>省エネ_前!Q131</f>
        <v>0</v>
      </c>
      <c r="I120" s="2244" t="str">
        <f>省エネ_前!N131</f>
        <v>-</v>
      </c>
      <c r="J120" s="2120" t="e">
        <f>CO2データ!R168</f>
        <v>#VALUE!</v>
      </c>
      <c r="K120" s="2112"/>
      <c r="L120" s="2245" t="e">
        <f>IF(F120=0,0,I120*J120/F120*1000)</f>
        <v>#VALUE!</v>
      </c>
      <c r="M120" s="1354"/>
      <c r="N120" s="1889"/>
      <c r="O120" s="2246" t="e">
        <f>IF(F120=0,0,H120*J120/F120*1000)</f>
        <v>#VALUE!</v>
      </c>
    </row>
    <row r="121" spans="2:18">
      <c r="B121" s="1344"/>
      <c r="C121" s="1348"/>
      <c r="D121" s="2112"/>
      <c r="E121" s="2112" t="s">
        <v>1311</v>
      </c>
      <c r="F121" s="2244">
        <f>省エネ_前!M52</f>
        <v>20</v>
      </c>
      <c r="G121" s="2112"/>
      <c r="H121" s="2244">
        <f>省エネ_前!Q135</f>
        <v>0</v>
      </c>
      <c r="I121" s="2244" t="str">
        <f>省エネ_前!N135</f>
        <v>-</v>
      </c>
      <c r="J121" s="2120" t="e">
        <f>CO2データ!R169</f>
        <v>#VALUE!</v>
      </c>
      <c r="K121" s="2112"/>
      <c r="L121" s="2245" t="e">
        <f>IF(F121=0,0,I121*J121/F121*1000)</f>
        <v>#VALUE!</v>
      </c>
      <c r="M121" s="1354"/>
      <c r="N121" s="1889"/>
      <c r="O121" s="2246" t="e">
        <f>IF(F121=0,0,H121*J121/F121*1000)</f>
        <v>#VALUE!</v>
      </c>
    </row>
    <row r="122" spans="2:18" ht="14.25" thickBot="1">
      <c r="B122" s="1344"/>
      <c r="C122" s="2112"/>
      <c r="D122" s="2112"/>
      <c r="E122" s="2112"/>
      <c r="F122" s="2112"/>
      <c r="G122" s="2112"/>
      <c r="H122" s="2112"/>
      <c r="I122" s="2112"/>
      <c r="J122" s="2112"/>
      <c r="K122" s="2112"/>
      <c r="L122" s="1345"/>
      <c r="M122" s="1354"/>
      <c r="N122" s="1354"/>
      <c r="O122" s="1347"/>
    </row>
    <row r="123" spans="2:18" ht="14.25" thickBot="1">
      <c r="B123" s="2111"/>
      <c r="C123" s="1348" t="s">
        <v>1034</v>
      </c>
      <c r="D123" s="2112"/>
      <c r="E123" s="2112"/>
      <c r="F123" s="2112" t="s">
        <v>1211</v>
      </c>
      <c r="G123" s="2112"/>
      <c r="H123" s="2112" t="s">
        <v>1306</v>
      </c>
      <c r="I123" s="2112"/>
      <c r="J123" s="2112" t="s">
        <v>1113</v>
      </c>
      <c r="K123" s="2112"/>
      <c r="L123" s="1888" t="e">
        <f>SUM(L125:L127)</f>
        <v>#VALUE!</v>
      </c>
      <c r="M123" s="2112"/>
      <c r="N123" s="2112"/>
      <c r="O123" s="2113"/>
    </row>
    <row r="124" spans="2:18">
      <c r="B124" s="2111"/>
      <c r="C124" s="1348"/>
      <c r="D124" s="2112"/>
      <c r="E124" s="2112"/>
      <c r="F124" s="2118" t="s">
        <v>1213</v>
      </c>
      <c r="G124" s="2112"/>
      <c r="H124" s="2247" t="s">
        <v>1312</v>
      </c>
      <c r="I124" s="1341" t="s">
        <v>1313</v>
      </c>
      <c r="J124" s="1357" t="s">
        <v>1309</v>
      </c>
      <c r="K124" s="2112"/>
      <c r="L124" s="2112"/>
      <c r="M124" s="2112"/>
      <c r="N124" s="2112"/>
      <c r="O124" s="2113"/>
    </row>
    <row r="125" spans="2:18">
      <c r="B125" s="2111"/>
      <c r="C125" s="1348"/>
      <c r="D125" s="2112"/>
      <c r="E125" s="2112" t="s">
        <v>1280</v>
      </c>
      <c r="F125" s="2244">
        <f>F118</f>
        <v>15000</v>
      </c>
      <c r="G125" s="2112"/>
      <c r="H125" s="2244">
        <f>省エネ_前!I66</f>
        <v>0</v>
      </c>
      <c r="I125" s="2244" t="e">
        <f>I118-H125</f>
        <v>#VALUE!</v>
      </c>
      <c r="J125" s="2120" t="e">
        <f>J118</f>
        <v>#VALUE!</v>
      </c>
      <c r="K125" s="2112"/>
      <c r="L125" s="2245" t="e">
        <f>IF(F125=0,0,I125*J125/F125*1000)</f>
        <v>#VALUE!</v>
      </c>
      <c r="M125" s="2112"/>
      <c r="N125" s="2112"/>
      <c r="O125" s="2113"/>
    </row>
    <row r="126" spans="2:18">
      <c r="B126" s="2111"/>
      <c r="C126" s="1348"/>
      <c r="D126" s="2112"/>
      <c r="E126" s="2112" t="s">
        <v>1310</v>
      </c>
      <c r="F126" s="2244">
        <f>F120</f>
        <v>300</v>
      </c>
      <c r="G126" s="2112"/>
      <c r="H126" s="2244">
        <f>省エネ_前!N66</f>
        <v>0</v>
      </c>
      <c r="I126" s="2244" t="e">
        <f>I120-H126</f>
        <v>#VALUE!</v>
      </c>
      <c r="J126" s="2120" t="e">
        <f>J120</f>
        <v>#VALUE!</v>
      </c>
      <c r="K126" s="2112"/>
      <c r="L126" s="2245" t="e">
        <f>IF(F126=0,0,I126*J126/F126*1000)</f>
        <v>#VALUE!</v>
      </c>
      <c r="M126" s="2112"/>
      <c r="N126" s="2112"/>
      <c r="O126" s="2113"/>
    </row>
    <row r="127" spans="2:18">
      <c r="B127" s="2111"/>
      <c r="C127" s="1348"/>
      <c r="D127" s="2112"/>
      <c r="E127" s="2112" t="s">
        <v>1311</v>
      </c>
      <c r="F127" s="2244">
        <f>F121</f>
        <v>20</v>
      </c>
      <c r="G127" s="2112"/>
      <c r="H127" s="2244">
        <f>省エネ_前!M66</f>
        <v>0</v>
      </c>
      <c r="I127" s="2244" t="e">
        <f>I121-H127</f>
        <v>#VALUE!</v>
      </c>
      <c r="J127" s="2120" t="e">
        <f>J121</f>
        <v>#VALUE!</v>
      </c>
      <c r="K127" s="2112"/>
      <c r="L127" s="2245" t="e">
        <f>IF(F127=0,0,I127*J127/F127*1000)</f>
        <v>#VALUE!</v>
      </c>
      <c r="M127" s="2112"/>
      <c r="N127" s="2112"/>
      <c r="O127" s="2113"/>
    </row>
    <row r="128" spans="2:18">
      <c r="B128" s="2111"/>
      <c r="C128" s="1348"/>
      <c r="D128" s="2112"/>
      <c r="E128" s="2112"/>
      <c r="F128" s="2112"/>
      <c r="G128" s="2112"/>
      <c r="H128" s="2112"/>
      <c r="I128" s="2112"/>
      <c r="J128" s="2112"/>
      <c r="K128" s="2112"/>
      <c r="L128" s="2112"/>
      <c r="M128" s="2112"/>
      <c r="N128" s="2112"/>
      <c r="O128" s="2113"/>
    </row>
    <row r="129" spans="2:15" hidden="1">
      <c r="B129" s="2111"/>
      <c r="C129" s="1348"/>
      <c r="D129" s="2112"/>
      <c r="E129" s="2112"/>
      <c r="F129" s="2112" t="s">
        <v>1036</v>
      </c>
      <c r="G129" s="2112"/>
      <c r="H129" s="2244"/>
      <c r="I129" s="2120"/>
      <c r="J129" s="2167"/>
      <c r="K129" s="2112"/>
      <c r="L129" s="2112"/>
      <c r="M129" s="2112"/>
      <c r="N129" s="2112"/>
      <c r="O129" s="2113"/>
    </row>
    <row r="130" spans="2:15" hidden="1">
      <c r="B130" s="2111"/>
      <c r="C130" s="1348"/>
      <c r="D130" s="2112"/>
      <c r="E130" s="2112"/>
      <c r="F130" s="2112"/>
      <c r="G130" s="2112"/>
      <c r="H130" s="1354"/>
      <c r="I130" s="2112"/>
      <c r="J130" s="2112"/>
      <c r="K130" s="2112"/>
      <c r="L130" s="2202"/>
      <c r="M130" s="2112"/>
      <c r="N130" s="2112"/>
      <c r="O130" s="2113"/>
    </row>
    <row r="131" spans="2:15" ht="16.5">
      <c r="B131" s="1344" t="s">
        <v>169</v>
      </c>
      <c r="C131" s="1354"/>
      <c r="D131" s="1357"/>
      <c r="E131" s="1354"/>
      <c r="F131" s="1346"/>
      <c r="G131" s="1354"/>
      <c r="H131" s="1354"/>
      <c r="I131" s="1354"/>
      <c r="J131" s="1354"/>
      <c r="K131" s="2248"/>
      <c r="L131" s="1345" t="s">
        <v>140</v>
      </c>
      <c r="M131" s="1354"/>
      <c r="N131" s="1354"/>
      <c r="O131" s="1347" t="s">
        <v>140</v>
      </c>
    </row>
    <row r="132" spans="2:15">
      <c r="B132" s="2160"/>
      <c r="C132" s="1354"/>
      <c r="D132" s="1357"/>
      <c r="E132" s="1354"/>
      <c r="F132" s="1346"/>
      <c r="G132" s="1354"/>
      <c r="H132" s="1354"/>
      <c r="I132" s="1354"/>
      <c r="J132" s="1354"/>
      <c r="K132" s="2248"/>
      <c r="L132" s="1353" t="s">
        <v>71</v>
      </c>
      <c r="M132" s="1354"/>
      <c r="N132" s="1361"/>
      <c r="O132" s="1355" t="s">
        <v>71</v>
      </c>
    </row>
    <row r="133" spans="2:15">
      <c r="B133" s="2160"/>
      <c r="C133" s="1362" t="s">
        <v>916</v>
      </c>
      <c r="D133" s="1363"/>
      <c r="E133" s="1363"/>
      <c r="F133" s="1364"/>
      <c r="G133" s="1354"/>
      <c r="H133" s="1354"/>
      <c r="I133" s="1354"/>
      <c r="J133" s="1354"/>
      <c r="K133" s="2248"/>
      <c r="L133" s="1365">
        <f>L24</f>
        <v>12.401638903394257</v>
      </c>
      <c r="M133" s="1354"/>
      <c r="N133" s="1354"/>
      <c r="O133" s="1366">
        <f>O24</f>
        <v>14.709407310704961</v>
      </c>
    </row>
    <row r="134" spans="2:15">
      <c r="B134" s="2160"/>
      <c r="C134" s="1362" t="s">
        <v>170</v>
      </c>
      <c r="D134" s="1363"/>
      <c r="E134" s="1363"/>
      <c r="F134" s="1364"/>
      <c r="G134" s="1354"/>
      <c r="H134" s="1354"/>
      <c r="I134" s="1354"/>
      <c r="J134" s="1354"/>
      <c r="K134" s="2248"/>
      <c r="L134" s="1365">
        <f>L113</f>
        <v>13.445631853785901</v>
      </c>
      <c r="M134" s="1354"/>
      <c r="N134" s="1354"/>
      <c r="O134" s="1366">
        <f>O113</f>
        <v>13.445631853785901</v>
      </c>
    </row>
    <row r="135" spans="2:15">
      <c r="B135" s="2160"/>
      <c r="C135" s="1362" t="s">
        <v>918</v>
      </c>
      <c r="D135" s="1363"/>
      <c r="E135" s="1363"/>
      <c r="F135" s="1364"/>
      <c r="G135" s="1354"/>
      <c r="H135" s="1354"/>
      <c r="I135" s="1354"/>
      <c r="J135" s="1354"/>
      <c r="K135" s="2248"/>
      <c r="L135" s="1367" t="e">
        <f>L123</f>
        <v>#VALUE!</v>
      </c>
      <c r="M135" s="1354"/>
      <c r="N135" s="1354"/>
      <c r="O135" s="2249" t="e">
        <f>O116</f>
        <v>#VALUE!</v>
      </c>
    </row>
    <row r="136" spans="2:15">
      <c r="B136" s="2160"/>
      <c r="C136" s="1368" t="s">
        <v>474</v>
      </c>
      <c r="D136" s="1369"/>
      <c r="E136" s="1370"/>
      <c r="F136" s="2287"/>
      <c r="G136" s="1354"/>
      <c r="H136" s="1354"/>
      <c r="I136" s="1354"/>
      <c r="J136" s="1354"/>
      <c r="K136" s="2248"/>
      <c r="L136" s="1371" t="e">
        <f>IF(COUNTIF(L133:L135,$R$115)&gt;0,$R$115,SUM(L133:L135))</f>
        <v>#VALUE!</v>
      </c>
      <c r="M136" s="1354"/>
      <c r="N136" s="1354"/>
      <c r="O136" s="1372" t="e">
        <f>IF(COUNTIF(O133:O135,$R$115)&gt;0,$R$115,SUM(O133:O135))</f>
        <v>#VALUE!</v>
      </c>
    </row>
    <row r="137" spans="2:15">
      <c r="B137" s="1344"/>
      <c r="C137" s="2284" t="s">
        <v>171</v>
      </c>
      <c r="D137" s="2285"/>
      <c r="E137" s="2285"/>
      <c r="F137" s="2286"/>
      <c r="G137" s="1354"/>
      <c r="H137" s="1354"/>
      <c r="I137" s="1354"/>
      <c r="J137" s="1354"/>
      <c r="K137" s="2248"/>
      <c r="L137" s="1373" t="e">
        <f>IF(O136=R115,R115,L136/O136)</f>
        <v>#VALUE!</v>
      </c>
      <c r="M137" s="1354"/>
      <c r="N137" s="1354"/>
      <c r="O137" s="1374">
        <v>1</v>
      </c>
    </row>
    <row r="138" spans="2:15" ht="14.25" thickBot="1">
      <c r="B138" s="1344"/>
      <c r="C138" s="1350"/>
      <c r="D138" s="1350"/>
      <c r="E138" s="1350"/>
      <c r="F138" s="1350"/>
      <c r="G138" s="1354"/>
      <c r="H138" s="1354"/>
      <c r="I138" s="1354"/>
      <c r="J138" s="1354"/>
      <c r="K138" s="2248"/>
      <c r="L138" s="2282"/>
      <c r="M138" s="1354"/>
      <c r="N138" s="1354"/>
      <c r="O138" s="1375"/>
    </row>
    <row r="139" spans="2:15" ht="17.25" thickBot="1">
      <c r="B139" s="1344" t="s">
        <v>174</v>
      </c>
      <c r="C139" s="1350"/>
      <c r="D139" s="1350"/>
      <c r="E139" s="1350"/>
      <c r="F139" s="1350"/>
      <c r="G139" s="1350"/>
      <c r="H139" s="1350"/>
      <c r="I139" s="1350"/>
      <c r="J139" s="1350"/>
      <c r="K139" s="1376" t="s">
        <v>175</v>
      </c>
      <c r="L139" s="1891" t="e">
        <f>ROUNDDOWN(IF(L137=R115,0,IF(L137&lt;0.5,5,IF(L137&gt;1.25,1,IF(L137&gt;1,-8*L137+11,3+(1-L137)*4)))),1)</f>
        <v>#VALUE!</v>
      </c>
      <c r="M139" s="1354"/>
      <c r="N139" s="1350"/>
      <c r="O139" s="1375"/>
    </row>
    <row r="140" spans="2:15" ht="14.25" thickBot="1">
      <c r="B140" s="1377"/>
      <c r="C140" s="1378"/>
      <c r="D140" s="1378"/>
      <c r="E140" s="1378"/>
      <c r="F140" s="1378"/>
      <c r="G140" s="1378"/>
      <c r="H140" s="1378"/>
      <c r="I140" s="1378"/>
      <c r="J140" s="1378"/>
      <c r="K140" s="1378"/>
      <c r="L140" s="1378"/>
      <c r="M140" s="1378"/>
      <c r="N140" s="1378"/>
      <c r="O140" s="1379"/>
    </row>
    <row r="141" spans="2:15"/>
    <row r="142" spans="2:15"/>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sheetData>
  <sheetProtection password="82B4" sheet="1" objects="1" scenarios="1"/>
  <mergeCells count="4">
    <mergeCell ref="L2:M2"/>
    <mergeCell ref="N2:O2"/>
    <mergeCell ref="L3:M3"/>
    <mergeCell ref="B3:E3"/>
  </mergeCells>
  <phoneticPr fontId="20"/>
  <conditionalFormatting sqref="E135 E133">
    <cfRule type="cellIs" dxfId="14" priority="4" stopIfTrue="1" operator="equal">
      <formula>5</formula>
    </cfRule>
    <cfRule type="cellIs" dxfId="13" priority="5" stopIfTrue="1" operator="equal">
      <formula>4</formula>
    </cfRule>
    <cfRule type="cellIs" dxfId="12" priority="6" stopIfTrue="1" operator="equal">
      <formula>2</formula>
    </cfRule>
  </conditionalFormatting>
  <conditionalFormatting sqref="E137">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0" orientation="portrait" verticalDpi="300" r:id="rId1"/>
  <headerFooter alignWithMargins="0">
    <oddHeader>&amp;L&amp;F&amp;R&amp;A</oddHeader>
    <oddFooter>&amp;C&amp;P/&amp;N</oddFooter>
  </headerFooter>
</worksheet>
</file>

<file path=xl/worksheets/sheet23.xml><?xml version="1.0" encoding="utf-8"?>
<worksheet xmlns="http://schemas.openxmlformats.org/spreadsheetml/2006/main" xmlns:r="http://schemas.openxmlformats.org/officeDocument/2006/relationships">
  <sheetPr codeName="Sheet19">
    <pageSetUpPr fitToPage="1"/>
  </sheetPr>
  <dimension ref="A1:AA186"/>
  <sheetViews>
    <sheetView showGridLines="0" zoomScaleNormal="100" workbookViewId="0">
      <selection activeCell="J121" sqref="J121"/>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3.375" customWidth="1"/>
    <col min="17" max="17" width="6" hidden="1" customWidth="1"/>
    <col min="18" max="18" width="4.625" hidden="1" customWidth="1"/>
    <col min="19" max="19" width="5.75" hidden="1" customWidth="1"/>
    <col min="20" max="20" width="6.875" hidden="1" customWidth="1"/>
    <col min="21" max="21" width="5.25" hidden="1" customWidth="1"/>
    <col min="22" max="22" width="5" hidden="1" customWidth="1"/>
    <col min="23" max="23" width="6.125" hidden="1" customWidth="1"/>
    <col min="24" max="24" width="8" hidden="1" customWidth="1"/>
    <col min="25" max="25" width="6.375" hidden="1" customWidth="1"/>
    <col min="26" max="26" width="5" hidden="1" customWidth="1"/>
    <col min="27" max="27" width="5.25" hidden="1" customWidth="1"/>
  </cols>
  <sheetData>
    <row r="1" spans="1:21" ht="14.25" thickBot="1">
      <c r="A1" s="1815"/>
    </row>
    <row r="2" spans="1:21" ht="14.25">
      <c r="B2" s="1322" t="str">
        <f>メイン!C6</f>
        <v>CASBEE大阪みらい編（改修）</v>
      </c>
      <c r="C2" s="1323"/>
      <c r="D2" s="1324"/>
      <c r="E2" s="1325"/>
      <c r="F2" s="1827"/>
      <c r="G2" s="1827"/>
      <c r="H2" s="1827"/>
      <c r="I2" s="1827"/>
      <c r="J2" s="1827"/>
      <c r="K2" s="1827"/>
      <c r="L2" s="2977" t="s">
        <v>392</v>
      </c>
      <c r="M2" s="2977"/>
      <c r="N2" s="2978" t="str">
        <f>メイン!C6</f>
        <v>CASBEE大阪みらい編（改修）</v>
      </c>
      <c r="O2" s="2979"/>
    </row>
    <row r="3" spans="1:21" ht="14.25" thickBot="1">
      <c r="B3" s="2981" t="str">
        <f>メイン!H11</f>
        <v>新ビル</v>
      </c>
      <c r="C3" s="2982"/>
      <c r="D3" s="2982"/>
      <c r="E3" s="2983"/>
      <c r="F3" s="1827"/>
      <c r="G3" s="1827"/>
      <c r="H3" s="1827"/>
      <c r="I3" s="1827"/>
      <c r="J3" s="1827"/>
      <c r="K3" s="1827"/>
      <c r="L3" s="2977" t="s">
        <v>862</v>
      </c>
      <c r="M3" s="2980"/>
      <c r="N3" s="2204" t="str">
        <f>メイン!C5</f>
        <v>「CASBEE大阪みらい 改修」2015年版　CASBEE-BD_RN_2015(v.1.0)</v>
      </c>
      <c r="O3" s="2205"/>
    </row>
    <row r="4" spans="1:21" ht="6.75" customHeight="1" thickBot="1">
      <c r="B4" s="1827"/>
      <c r="C4" s="1827"/>
      <c r="D4" s="1827"/>
      <c r="E4" s="1827"/>
      <c r="F4" s="1827"/>
      <c r="G4" s="1827"/>
      <c r="H4" s="1827"/>
      <c r="I4" s="1827"/>
      <c r="J4" s="1827"/>
      <c r="K4" s="1827"/>
      <c r="L4" s="1827"/>
      <c r="M4" s="1827"/>
      <c r="N4" s="1827"/>
      <c r="O4" s="1827"/>
    </row>
    <row r="5" spans="1:21" ht="18.75">
      <c r="B5" s="1326" t="s">
        <v>137</v>
      </c>
      <c r="C5" s="1327"/>
      <c r="D5" s="1328"/>
      <c r="E5" s="1329"/>
      <c r="F5" s="1330"/>
      <c r="G5" s="1330"/>
      <c r="H5" s="1330"/>
      <c r="I5" s="1330"/>
      <c r="J5" s="1330"/>
      <c r="K5" s="1327"/>
      <c r="L5" s="1331"/>
      <c r="M5" s="1332"/>
      <c r="N5" s="1333"/>
      <c r="O5" s="1334"/>
    </row>
    <row r="6" spans="1:21" ht="14.25">
      <c r="B6" s="1336"/>
      <c r="C6" s="1337"/>
      <c r="D6" s="1338"/>
      <c r="E6" s="1339"/>
      <c r="F6" s="1340"/>
      <c r="G6" s="1340"/>
      <c r="H6" s="1340"/>
      <c r="I6" s="1340"/>
      <c r="J6" s="1340"/>
      <c r="K6" s="1337"/>
      <c r="L6" s="2117" t="s">
        <v>65</v>
      </c>
      <c r="M6" s="1342"/>
      <c r="N6" s="1343"/>
      <c r="O6" s="2206" t="s">
        <v>138</v>
      </c>
      <c r="R6" t="s">
        <v>420</v>
      </c>
      <c r="S6" t="s">
        <v>421</v>
      </c>
      <c r="T6" t="s">
        <v>422</v>
      </c>
      <c r="U6" t="s">
        <v>264</v>
      </c>
    </row>
    <row r="7" spans="1:21" ht="16.5">
      <c r="B7" s="1344" t="s">
        <v>139</v>
      </c>
      <c r="C7" s="1337"/>
      <c r="D7" s="1338"/>
      <c r="E7" s="1339"/>
      <c r="F7" s="1340"/>
      <c r="G7" s="1340"/>
      <c r="H7" s="1340"/>
      <c r="I7" s="1340"/>
      <c r="J7" s="1340"/>
      <c r="K7" s="1337"/>
      <c r="L7" s="1345"/>
      <c r="M7" s="1342"/>
      <c r="N7" s="1343"/>
      <c r="O7" s="1347"/>
    </row>
    <row r="8" spans="1:21" ht="14.25">
      <c r="B8" s="2111"/>
      <c r="C8" s="1348" t="s">
        <v>141</v>
      </c>
      <c r="D8" s="1349"/>
      <c r="E8" s="1339"/>
      <c r="F8" s="1340"/>
      <c r="G8" s="1340"/>
      <c r="H8" s="1345"/>
      <c r="I8" s="1346"/>
      <c r="J8" s="1345" t="s">
        <v>140</v>
      </c>
      <c r="K8" s="1346"/>
      <c r="L8" s="1345" t="s">
        <v>140</v>
      </c>
      <c r="M8" s="1346"/>
      <c r="N8" s="1346"/>
      <c r="O8" s="1347" t="s">
        <v>140</v>
      </c>
    </row>
    <row r="9" spans="1:21">
      <c r="B9" s="2111"/>
      <c r="C9" s="1357"/>
      <c r="D9" s="1357" t="s">
        <v>147</v>
      </c>
      <c r="E9" s="1354"/>
      <c r="F9" s="2207" t="s">
        <v>142</v>
      </c>
      <c r="G9" s="1354"/>
      <c r="H9" s="1351" t="s">
        <v>143</v>
      </c>
      <c r="I9" s="1351" t="s">
        <v>144</v>
      </c>
      <c r="J9" s="1351" t="s">
        <v>145</v>
      </c>
      <c r="K9" s="1352" t="s">
        <v>146</v>
      </c>
      <c r="L9" s="1353" t="s">
        <v>71</v>
      </c>
      <c r="M9" s="1354"/>
      <c r="N9" s="1352" t="s">
        <v>146</v>
      </c>
      <c r="O9" s="1355" t="s">
        <v>71</v>
      </c>
    </row>
    <row r="10" spans="1:21">
      <c r="B10" s="2160"/>
      <c r="C10" s="1357"/>
      <c r="D10" s="1357"/>
      <c r="E10" s="1357" t="s">
        <v>456</v>
      </c>
      <c r="F10" s="2208">
        <f>メイン!W52</f>
        <v>0.71801566579634468</v>
      </c>
      <c r="G10" s="1354"/>
      <c r="H10" s="2208">
        <f>IF(OR($F$20=$R$6,$F$20=$U$6),CO2データ!I12,IF($F$20=$S$6,CO2データ!L12,CO2データ!O12))</f>
        <v>11.739099999999999</v>
      </c>
      <c r="I10" s="2208">
        <f>IF(OR($F$20=$R$6,$F$20=$U$6),CO2データ!J12,IF($F$20=$S$6,CO2データ!M12,CO2データ!P12))</f>
        <v>11.739099999999999</v>
      </c>
      <c r="J10" s="2209">
        <f>IF(OR($F$20=$R$6,$F$20=$U$6),CO2データ!K12,IF($F$20=$S$6,CO2データ!N12,CO2データ!Q12))</f>
        <v>11.739099999999999</v>
      </c>
      <c r="K10" s="2192">
        <f>スコア表示!M80</f>
        <v>3</v>
      </c>
      <c r="L10" s="2210">
        <f t="shared" ref="L10:L18" si="0">IF(K10&gt;=5,$J10,IF(K10&gt;=4,$I10,$H10))</f>
        <v>11.739099999999999</v>
      </c>
      <c r="M10" s="1354"/>
      <c r="N10" s="2192">
        <v>3</v>
      </c>
      <c r="O10" s="2211">
        <f>IF(OR($F$20=$R$6,$F$20=$U$6),CO2データ!I7,IF($F$20=$S$6,CO2データ!L7,CO2データ!O7))</f>
        <v>14.004999999999999</v>
      </c>
    </row>
    <row r="11" spans="1:21">
      <c r="B11" s="2160"/>
      <c r="C11" s="1357"/>
      <c r="D11" s="2212"/>
      <c r="E11" s="1357" t="s">
        <v>159</v>
      </c>
      <c r="F11" s="2208">
        <f>メイン!W54</f>
        <v>0</v>
      </c>
      <c r="G11" s="1354"/>
      <c r="H11" s="2208">
        <f>IF(OR($F$20=$R$6,$F$20=$U$6),CO2データ!I18,IF($F$20=$S$6,CO2データ!L18,CO2データ!O18))</f>
        <v>8.8994999999999997</v>
      </c>
      <c r="I11" s="2208">
        <f>IF(OR($F$20=$R$6,$F$20=$U$6),CO2データ!J18,IF($F$20=$S$6,CO2データ!M18,CO2データ!P18))</f>
        <v>8.8994999999999997</v>
      </c>
      <c r="J11" s="2209">
        <f>IF(OR($F$20=$R$6,$F$20=$U$6),CO2データ!K18,IF($F$20=$S$6,CO2データ!N18,CO2データ!Q18))</f>
        <v>8.8994999999999997</v>
      </c>
      <c r="K11" s="2192">
        <f t="shared" ref="K11:K18" si="1">K$10</f>
        <v>3</v>
      </c>
      <c r="L11" s="2210">
        <f t="shared" si="0"/>
        <v>8.8994999999999997</v>
      </c>
      <c r="M11" s="1354"/>
      <c r="N11" s="2192">
        <f t="shared" ref="N11:N18" si="2">N$10</f>
        <v>3</v>
      </c>
      <c r="O11" s="2211">
        <f>IF(OR($F$20=$R$6,$F$20=$U$6),CO2データ!I13,IF($F$20=$S$6,CO2データ!L13,CO2データ!O13))</f>
        <v>10.473000000000001</v>
      </c>
    </row>
    <row r="12" spans="1:21">
      <c r="B12" s="2160"/>
      <c r="C12" s="1357"/>
      <c r="D12" s="1357"/>
      <c r="E12" s="1357" t="s">
        <v>460</v>
      </c>
      <c r="F12" s="2208">
        <f>メイン!W59</f>
        <v>0</v>
      </c>
      <c r="G12" s="1354"/>
      <c r="H12" s="2208">
        <f>IF(OR($F$20=$R$6,$F$20=$U$6),CO2データ!I24,IF($F$20=$S$6,CO2データ!L24,CO2データ!O24))</f>
        <v>14.121600000000003</v>
      </c>
      <c r="I12" s="2208">
        <f>IF(OR($F$20=$R$6,$F$20=$U$6),CO2データ!J24,IF($F$20=$S$6,CO2データ!M24,CO2データ!P24))</f>
        <v>14.121600000000003</v>
      </c>
      <c r="J12" s="2209">
        <f>IF(OR($F$20=$R$6,$F$20=$U$6),CO2データ!K24,IF($F$20=$S$6,CO2データ!N24,CO2データ!Q24))</f>
        <v>14.121600000000003</v>
      </c>
      <c r="K12" s="2192">
        <f t="shared" si="1"/>
        <v>3</v>
      </c>
      <c r="L12" s="2210">
        <f t="shared" si="0"/>
        <v>14.121600000000003</v>
      </c>
      <c r="M12" s="1354"/>
      <c r="N12" s="2192">
        <f t="shared" si="2"/>
        <v>3</v>
      </c>
      <c r="O12" s="2211">
        <f>IF(OR($F$20=$R$6,$F$20=$U$6),CO2データ!I19,IF($F$20=$S$6,CO2データ!L19,CO2データ!O19))</f>
        <v>16.572000000000003</v>
      </c>
    </row>
    <row r="13" spans="1:21">
      <c r="B13" s="2160"/>
      <c r="C13" s="1357"/>
      <c r="D13" s="1357"/>
      <c r="E13" s="1357" t="s">
        <v>462</v>
      </c>
      <c r="F13" s="2208">
        <f>メイン!W61</f>
        <v>0</v>
      </c>
      <c r="G13" s="1354"/>
      <c r="H13" s="2208">
        <f>IF(OR($F$20=$R$6,$F$20=$U$6),CO2データ!I30,IF($F$20=$S$6,CO2データ!L30,CO2データ!O30))</f>
        <v>14.121599999999999</v>
      </c>
      <c r="I13" s="2208">
        <f>IF(OR($F$20=$R$6,$F$20=$U$6),CO2データ!J30,IF($F$20=$S$6,CO2データ!M30,CO2データ!P30))</f>
        <v>14.121600000000003</v>
      </c>
      <c r="J13" s="2209">
        <f>IF(OR($F$20=$R$6,$F$20=$U$6),CO2データ!K30,IF($F$20=$S$6,CO2データ!N30,CO2データ!Q30))</f>
        <v>14.121600000000003</v>
      </c>
      <c r="K13" s="2192">
        <f t="shared" si="1"/>
        <v>3</v>
      </c>
      <c r="L13" s="2210">
        <f t="shared" si="0"/>
        <v>14.121599999999999</v>
      </c>
      <c r="M13" s="1354"/>
      <c r="N13" s="2192">
        <f t="shared" si="2"/>
        <v>3</v>
      </c>
      <c r="O13" s="2211">
        <f>IF(OR($F$20=$R$6,$F$20=$U$6),CO2データ!I25,IF($F$20=$S$6,CO2データ!L25,CO2データ!O25))</f>
        <v>16.571999999999999</v>
      </c>
    </row>
    <row r="14" spans="1:21">
      <c r="B14" s="2160"/>
      <c r="C14" s="1357"/>
      <c r="D14" s="1357"/>
      <c r="E14" s="151" t="s">
        <v>766</v>
      </c>
      <c r="F14" s="2208">
        <f>メイン!W62</f>
        <v>0</v>
      </c>
      <c r="G14" s="1354"/>
      <c r="H14" s="2208">
        <f>IF(OR($F$20=$R$6,$F$20=$U$6),CO2データ!I36,IF($F$20=$S$6,CO2データ!L36,CO2データ!O36))</f>
        <v>9.7101000000000006</v>
      </c>
      <c r="I14" s="2208">
        <f>IF(OR($F$20=$R$6,$F$20=$U$6),CO2データ!J36,IF($F$20=$S$6,CO2データ!M36,CO2データ!P36))</f>
        <v>9.7101000000000006</v>
      </c>
      <c r="J14" s="2209">
        <f>IF(OR($F$20=$R$6,$F$20=$U$6),CO2データ!K36,IF($F$20=$S$6,CO2データ!N36,CO2データ!Q36))</f>
        <v>9.7101000000000006</v>
      </c>
      <c r="K14" s="2192">
        <f t="shared" si="1"/>
        <v>3</v>
      </c>
      <c r="L14" s="2210">
        <f t="shared" si="0"/>
        <v>9.7101000000000006</v>
      </c>
      <c r="M14" s="1354"/>
      <c r="N14" s="2192">
        <f t="shared" si="2"/>
        <v>3</v>
      </c>
      <c r="O14" s="2211">
        <f>IF(OR($F$20=$R$6,$F$20=$U$6),CO2データ!I31,IF($F$20=$S$6,CO2データ!L31,CO2データ!O31))</f>
        <v>11.535</v>
      </c>
    </row>
    <row r="15" spans="1:21">
      <c r="B15" s="2160"/>
      <c r="C15" s="1357"/>
      <c r="D15" s="1357"/>
      <c r="E15" s="151" t="s">
        <v>472</v>
      </c>
      <c r="F15" s="2208">
        <f>メイン!W68</f>
        <v>0.26109660574412535</v>
      </c>
      <c r="G15" s="1354"/>
      <c r="H15" s="2208">
        <f>IF(OR($F$20=$R$6,$F$20=$U$6),CO2データ!I42,IF($F$20=$S$6,CO2データ!L42,CO2データ!O42))</f>
        <v>16.688899999999997</v>
      </c>
      <c r="I15" s="2208">
        <f>IF(OR($F$20=$R$6,$F$20=$U$6),CO2データ!J42,IF($F$20=$S$6,CO2データ!M42,CO2データ!P42))</f>
        <v>16.688899999999997</v>
      </c>
      <c r="J15" s="2209">
        <f>IF(OR($F$20=$R$6,$F$20=$U$6),CO2データ!K42,IF($F$20=$S$6,CO2データ!N42,CO2データ!Q42))</f>
        <v>16.688899999999997</v>
      </c>
      <c r="K15" s="2192">
        <f t="shared" si="1"/>
        <v>3</v>
      </c>
      <c r="L15" s="2210">
        <f t="shared" si="0"/>
        <v>16.688899999999997</v>
      </c>
      <c r="M15" s="1354"/>
      <c r="N15" s="2192">
        <f t="shared" si="2"/>
        <v>3</v>
      </c>
      <c r="O15" s="2211">
        <f>IF(OR($F$20=$R$6,$F$20=$U$6),CO2データ!I37,IF($F$20=$S$6,CO2データ!L37,CO2データ!O37))</f>
        <v>19.561999999999998</v>
      </c>
    </row>
    <row r="16" spans="1:21">
      <c r="B16" s="2160"/>
      <c r="C16" s="1357"/>
      <c r="D16" s="1357"/>
      <c r="E16" s="151" t="s">
        <v>466</v>
      </c>
      <c r="F16" s="2208">
        <f>メイン!W65</f>
        <v>0</v>
      </c>
      <c r="G16" s="1354"/>
      <c r="H16" s="2208">
        <f>IF(OR($F$20=$R$6,$F$20=$U$6),CO2データ!I48,IF($F$20=$S$6,CO2データ!L48,CO2データ!O48))</f>
        <v>9.1732000000000014</v>
      </c>
      <c r="I16" s="2208">
        <f>IF(OR($F$20=$R$6,$F$20=$U$6),CO2データ!J48,IF($F$20=$S$6,CO2データ!M48,CO2データ!P48))</f>
        <v>9.1732000000000014</v>
      </c>
      <c r="J16" s="2209">
        <f>IF(OR($F$20=$R$6,$F$20=$U$6),CO2データ!K48,IF($F$20=$S$6,CO2データ!N48,CO2データ!Q48))</f>
        <v>9.1732000000000014</v>
      </c>
      <c r="K16" s="2192">
        <f t="shared" si="1"/>
        <v>3</v>
      </c>
      <c r="L16" s="2210">
        <f t="shared" si="0"/>
        <v>9.1732000000000014</v>
      </c>
      <c r="M16" s="1354"/>
      <c r="N16" s="2192">
        <f t="shared" si="2"/>
        <v>3</v>
      </c>
      <c r="O16" s="2211">
        <f>IF(OR($F$20=$R$6,$F$20=$U$6),CO2データ!I43,IF($F$20=$S$6,CO2データ!L43,CO2データ!O43))</f>
        <v>10.405000000000001</v>
      </c>
    </row>
    <row r="17" spans="2:21">
      <c r="B17" s="2160"/>
      <c r="C17" s="1357"/>
      <c r="D17" s="1357"/>
      <c r="E17" s="151" t="s">
        <v>767</v>
      </c>
      <c r="F17" s="2208">
        <f>メイン!W66</f>
        <v>0</v>
      </c>
      <c r="G17" s="1354"/>
      <c r="H17" s="2208">
        <f>IF(OR($F$20=$R$6,$F$20=$U$6),CO2データ!I54,IF($F$20=$S$6,CO2データ!L54,CO2データ!O54))</f>
        <v>9.4504000000000019</v>
      </c>
      <c r="I17" s="2208">
        <f>IF(OR($F$20=$R$6,$F$20=$U$6),CO2データ!J54,IF($F$20=$S$6,CO2データ!M54,CO2データ!P54))</f>
        <v>9.4504000000000019</v>
      </c>
      <c r="J17" s="2209">
        <f>IF(OR($F$20=$R$6,$F$20=$U$6),CO2データ!K54,IF($F$20=$S$6,CO2データ!N54,CO2データ!Q54))</f>
        <v>9.4504000000000019</v>
      </c>
      <c r="K17" s="2192">
        <f t="shared" si="1"/>
        <v>3</v>
      </c>
      <c r="L17" s="2210">
        <f t="shared" si="0"/>
        <v>9.4504000000000019</v>
      </c>
      <c r="M17" s="1354"/>
      <c r="N17" s="2192">
        <f t="shared" si="2"/>
        <v>3</v>
      </c>
      <c r="O17" s="2211">
        <f>IF(OR($F$20=$R$6,$F$20=$U$6),CO2データ!I49,IF($F$20=$S$6,CO2データ!L49,CO2データ!O49))</f>
        <v>11.119000000000002</v>
      </c>
    </row>
    <row r="18" spans="2:21">
      <c r="B18" s="2160"/>
      <c r="C18" s="1357"/>
      <c r="D18" s="1357"/>
      <c r="E18" s="151" t="s">
        <v>1649</v>
      </c>
      <c r="F18" s="2208">
        <f>メイン!W67</f>
        <v>2.0887728459530026E-2</v>
      </c>
      <c r="G18" s="1354"/>
      <c r="H18" s="2208">
        <f>IF(OR($F$20=$R$6,$F$20=$U$6),CO2データ!I60,IF($F$20=$S$6,CO2データ!L60,CO2データ!O60))</f>
        <v>13.6769</v>
      </c>
      <c r="I18" s="2208">
        <f>IF(OR($F$20=$R$6,$F$20=$U$6),CO2データ!J60,IF($F$20=$S$6,CO2データ!M60,CO2データ!P60))</f>
        <v>6.8385000000000007</v>
      </c>
      <c r="J18" s="2209">
        <f>IF(OR($F$20=$R$6,$F$20=$U$6),CO2データ!K60,IF($F$20=$S$6,CO2データ!N60,CO2データ!Q60))</f>
        <v>4.5590999999999999</v>
      </c>
      <c r="K18" s="2192">
        <f t="shared" si="1"/>
        <v>3</v>
      </c>
      <c r="L18" s="2210">
        <f t="shared" si="0"/>
        <v>13.6769</v>
      </c>
      <c r="M18" s="1354"/>
      <c r="N18" s="2192">
        <f t="shared" si="2"/>
        <v>3</v>
      </c>
      <c r="O18" s="2211">
        <f>IF(OR($F$20=$R$6,$F$20=$U$6),CO2データ!I55,IF($F$20=$S$6,CO2データ!L55,CO2データ!O55))</f>
        <v>15.641</v>
      </c>
    </row>
    <row r="19" spans="2:21">
      <c r="B19" s="2160"/>
      <c r="C19" s="1357"/>
      <c r="D19" s="1357"/>
      <c r="E19" s="1357"/>
      <c r="F19" s="1357"/>
      <c r="G19" s="1357"/>
      <c r="H19" s="1357"/>
      <c r="I19" s="2213"/>
      <c r="J19" s="2213"/>
      <c r="K19" s="2214"/>
      <c r="L19" s="2215"/>
      <c r="M19" s="1354"/>
      <c r="N19" s="2214"/>
      <c r="O19" s="2216"/>
    </row>
    <row r="20" spans="2:21">
      <c r="B20" s="2160"/>
      <c r="C20" s="1354"/>
      <c r="D20" s="1354" t="s">
        <v>150</v>
      </c>
      <c r="E20" s="1354"/>
      <c r="F20" s="2217" t="str">
        <f>メイン!H23</f>
        <v>S造</v>
      </c>
      <c r="G20" s="1354"/>
      <c r="H20" s="2218"/>
      <c r="I20" s="2218"/>
      <c r="J20" s="2218"/>
      <c r="K20" s="2219"/>
      <c r="L20" s="1354"/>
      <c r="M20" s="1354"/>
      <c r="N20" s="2219"/>
      <c r="O20" s="2220"/>
    </row>
    <row r="21" spans="2:21">
      <c r="B21" s="2221"/>
      <c r="C21" s="2112"/>
      <c r="D21" s="2112" t="s">
        <v>151</v>
      </c>
      <c r="E21" s="2112"/>
      <c r="F21" s="2222">
        <f>'条件(標準)_後'!E31</f>
        <v>0.3</v>
      </c>
      <c r="G21" s="2112"/>
      <c r="H21" s="2112"/>
      <c r="I21" s="2112"/>
      <c r="J21" s="2112"/>
      <c r="K21" s="2112"/>
      <c r="L21" s="2112"/>
      <c r="M21" s="2112"/>
      <c r="N21" s="2223">
        <v>0</v>
      </c>
      <c r="O21" s="2113"/>
    </row>
    <row r="22" spans="2:21">
      <c r="B22" s="2221"/>
      <c r="C22" s="2112"/>
      <c r="D22" s="2112" t="s">
        <v>152</v>
      </c>
      <c r="E22" s="2112"/>
      <c r="F22" s="2222">
        <f>'条件(標準)_後'!E30</f>
        <v>0</v>
      </c>
      <c r="G22" s="2112"/>
      <c r="H22" s="2112"/>
      <c r="I22" s="2112"/>
      <c r="J22" s="2112"/>
      <c r="K22" s="2112"/>
      <c r="L22" s="2112"/>
      <c r="M22" s="2112"/>
      <c r="N22" s="2223">
        <v>0</v>
      </c>
      <c r="O22" s="2113"/>
    </row>
    <row r="23" spans="2:21" ht="5.25" customHeight="1" thickBot="1">
      <c r="B23" s="2221"/>
      <c r="C23" s="2112"/>
      <c r="D23" s="2112"/>
      <c r="E23" s="2112"/>
      <c r="F23" s="2112"/>
      <c r="G23" s="2112"/>
      <c r="H23" s="2112"/>
      <c r="I23" s="2112"/>
      <c r="J23" s="2112"/>
      <c r="K23" s="2112"/>
      <c r="L23" s="2112"/>
      <c r="M23" s="2112"/>
      <c r="N23" s="2112"/>
      <c r="O23" s="2113"/>
    </row>
    <row r="24" spans="2:21" ht="14.25" thickBot="1">
      <c r="B24" s="2221"/>
      <c r="C24" s="1348" t="s">
        <v>153</v>
      </c>
      <c r="D24" s="1357"/>
      <c r="E24" s="1354"/>
      <c r="F24" s="2112"/>
      <c r="G24" s="2112"/>
      <c r="H24" s="2112"/>
      <c r="I24" s="2112"/>
      <c r="J24" s="2112"/>
      <c r="K24" s="2112"/>
      <c r="L24" s="2224">
        <f>SUMPRODUCT(F10:F18,L10:L18)</f>
        <v>13.071952219321147</v>
      </c>
      <c r="M24" s="2112"/>
      <c r="N24" s="2112"/>
      <c r="O24" s="2224">
        <f>SUMPRODUCT(F10:F18,O10:O18)</f>
        <v>15.490086161879896</v>
      </c>
    </row>
    <row r="25" spans="2:21">
      <c r="B25" s="2221"/>
      <c r="C25" s="1354"/>
      <c r="D25" s="1357"/>
      <c r="E25" s="151"/>
      <c r="F25" s="2112"/>
      <c r="G25" s="2112"/>
      <c r="H25" s="2112"/>
      <c r="I25" s="2112"/>
      <c r="J25" s="2112"/>
      <c r="K25" s="2112"/>
      <c r="L25" s="2225"/>
      <c r="M25" s="2112"/>
      <c r="N25" s="2112"/>
      <c r="O25" s="2226"/>
    </row>
    <row r="26" spans="2:21" hidden="1">
      <c r="B26" s="2221"/>
      <c r="C26" s="1354" t="s">
        <v>154</v>
      </c>
      <c r="D26" s="2112"/>
      <c r="E26" s="1357" t="s">
        <v>456</v>
      </c>
      <c r="F26" s="2308">
        <f>メイン!Y52</f>
        <v>1</v>
      </c>
      <c r="G26" s="2112"/>
      <c r="H26" s="2208">
        <f>IF(OR($F$20=$R$6,$F$20=$U$6),CO2データ!I203,IF($F$20=$S$6,CO2データ!L203,CO2データ!O203))</f>
        <v>60</v>
      </c>
      <c r="I26" s="2208">
        <f>IF(OR($F$20=$R$6,$F$20=$U$6),CO2データ!J203,IF($F$20=$S$6,CO2データ!M203,CO2データ!P203))</f>
        <v>60</v>
      </c>
      <c r="J26" s="2208">
        <f>IF(OR($F$20=$R$6,$F$20=$U$6),CO2データ!K203,IF($F$20=$S$6,CO2データ!N203,CO2データ!Q203))</f>
        <v>60</v>
      </c>
      <c r="K26" s="2227">
        <f t="shared" ref="K26:K34" si="3">K10</f>
        <v>3</v>
      </c>
      <c r="L26" s="2228">
        <f t="shared" ref="L26:L34" si="4">IF($F26=1,IF($K26&lt;4,$H26,IF($K26&lt;5,$I26,$J26)),0)</f>
        <v>60</v>
      </c>
      <c r="M26" s="2112"/>
      <c r="N26" s="2192">
        <v>3</v>
      </c>
      <c r="O26" s="2229">
        <f t="shared" ref="O26:O34" si="5">IF($F26=1,IF($N26&lt;4,$H26,IF($N26&lt;5,$I26,$J26)),0)</f>
        <v>60</v>
      </c>
      <c r="R26" t="str">
        <f t="shared" ref="R26:R34" si="6">IF($F26&lt;&gt;1,"",$E26&amp;"部分"&amp;L26&amp;"年,")</f>
        <v>事務所部分60年,</v>
      </c>
      <c r="U26" t="str">
        <f t="shared" ref="U26:U34" si="7">IF($F26&lt;&gt;1,"",$E26&amp;"部分"&amp;O26&amp;"年,")</f>
        <v>事務所部分60年,</v>
      </c>
    </row>
    <row r="27" spans="2:21" hidden="1">
      <c r="B27" s="2221"/>
      <c r="C27" s="1354"/>
      <c r="D27" s="2112"/>
      <c r="E27" s="1357" t="s">
        <v>458</v>
      </c>
      <c r="F27" s="2308">
        <f>メイン!Y54</f>
        <v>0</v>
      </c>
      <c r="G27" s="2112"/>
      <c r="H27" s="2208">
        <f>IF(OR($F$20=$R$6,$F$20=$U$6),CO2データ!I204,IF($F$20=$S$6,CO2データ!L204,CO2データ!O204))</f>
        <v>60</v>
      </c>
      <c r="I27" s="2208">
        <f>IF(OR($F$20=$R$6,$F$20=$U$6),CO2データ!J204,IF($F$20=$S$6,CO2データ!M204,CO2データ!P204))</f>
        <v>60</v>
      </c>
      <c r="J27" s="2208">
        <f>IF(OR($F$20=$R$6,$F$20=$U$6),CO2データ!K204,IF($F$20=$S$6,CO2データ!N204,CO2データ!Q204))</f>
        <v>60</v>
      </c>
      <c r="K27" s="2227">
        <f t="shared" si="3"/>
        <v>3</v>
      </c>
      <c r="L27" s="2228">
        <f t="shared" si="4"/>
        <v>0</v>
      </c>
      <c r="M27" s="2112"/>
      <c r="N27" s="2192">
        <v>3</v>
      </c>
      <c r="O27" s="2229">
        <f t="shared" si="5"/>
        <v>0</v>
      </c>
      <c r="R27" t="str">
        <f t="shared" si="6"/>
        <v/>
      </c>
      <c r="U27" t="str">
        <f t="shared" si="7"/>
        <v/>
      </c>
    </row>
    <row r="28" spans="2:21" hidden="1">
      <c r="B28" s="2221"/>
      <c r="C28" s="1354"/>
      <c r="D28" s="2112"/>
      <c r="E28" s="1357" t="s">
        <v>460</v>
      </c>
      <c r="F28" s="2308">
        <f>メイン!Y59</f>
        <v>0</v>
      </c>
      <c r="G28" s="2112"/>
      <c r="H28" s="2208">
        <f>IF(OR($F$20=$R$6,$F$20=$U$6),CO2データ!I205,IF($F$20=$S$6,CO2データ!L205,CO2データ!O205))</f>
        <v>30</v>
      </c>
      <c r="I28" s="2208">
        <f>IF(OR($F$20=$R$6,$F$20=$U$6),CO2データ!J205,IF($F$20=$S$6,CO2データ!M205,CO2データ!P205))</f>
        <v>30</v>
      </c>
      <c r="J28" s="2208">
        <f>IF(OR($F$20=$R$6,$F$20=$U$6),CO2データ!K205,IF($F$20=$S$6,CO2データ!N205,CO2データ!Q205))</f>
        <v>30</v>
      </c>
      <c r="K28" s="2227">
        <f t="shared" si="3"/>
        <v>3</v>
      </c>
      <c r="L28" s="2228">
        <f t="shared" si="4"/>
        <v>0</v>
      </c>
      <c r="M28" s="2112"/>
      <c r="N28" s="2192">
        <v>3</v>
      </c>
      <c r="O28" s="2229">
        <f t="shared" si="5"/>
        <v>0</v>
      </c>
      <c r="R28" t="str">
        <f t="shared" si="6"/>
        <v/>
      </c>
      <c r="U28" t="str">
        <f t="shared" si="7"/>
        <v/>
      </c>
    </row>
    <row r="29" spans="2:21" hidden="1">
      <c r="B29" s="2221"/>
      <c r="C29" s="1354"/>
      <c r="D29" s="2112"/>
      <c r="E29" s="1357" t="s">
        <v>462</v>
      </c>
      <c r="F29" s="2308">
        <f>メイン!Y61</f>
        <v>0</v>
      </c>
      <c r="G29" s="2112"/>
      <c r="H29" s="2208">
        <f>IF(OR($F$20=$R$6,$F$20=$U$6),CO2データ!I206,IF($F$20=$S$6,CO2データ!L206,CO2データ!O206))</f>
        <v>30</v>
      </c>
      <c r="I29" s="2208">
        <f>IF(OR($F$20=$R$6,$F$20=$U$6),CO2データ!J206,IF($F$20=$S$6,CO2データ!M206,CO2データ!P206))</f>
        <v>30</v>
      </c>
      <c r="J29" s="2208">
        <f>IF(OR($F$20=$R$6,$F$20=$U$6),CO2データ!K206,IF($F$20=$S$6,CO2データ!N206,CO2データ!Q206))</f>
        <v>30</v>
      </c>
      <c r="K29" s="2227">
        <f t="shared" si="3"/>
        <v>3</v>
      </c>
      <c r="L29" s="2228">
        <f t="shared" si="4"/>
        <v>0</v>
      </c>
      <c r="M29" s="2112"/>
      <c r="N29" s="2192">
        <v>3</v>
      </c>
      <c r="O29" s="2229">
        <f t="shared" si="5"/>
        <v>0</v>
      </c>
      <c r="R29" t="str">
        <f t="shared" si="6"/>
        <v/>
      </c>
      <c r="U29" t="str">
        <f t="shared" si="7"/>
        <v/>
      </c>
    </row>
    <row r="30" spans="2:21" hidden="1">
      <c r="B30" s="2221"/>
      <c r="C30" s="1354"/>
      <c r="D30" s="2112"/>
      <c r="E30" s="151" t="s">
        <v>766</v>
      </c>
      <c r="F30" s="2308">
        <f>メイン!Y62</f>
        <v>0</v>
      </c>
      <c r="G30" s="2112"/>
      <c r="H30" s="2208">
        <f>IF(OR($F$20=$R$6,$F$20=$U$6),CO2データ!I207,IF($F$20=$S$6,CO2データ!L207,CO2データ!O207))</f>
        <v>60</v>
      </c>
      <c r="I30" s="2208">
        <f>IF(OR($F$20=$R$6,$F$20=$U$6),CO2データ!J207,IF($F$20=$S$6,CO2データ!M207,CO2データ!P207))</f>
        <v>60</v>
      </c>
      <c r="J30" s="2208">
        <f>IF(OR($F$20=$R$6,$F$20=$U$6),CO2データ!K207,IF($F$20=$S$6,CO2データ!N207,CO2データ!Q207))</f>
        <v>60</v>
      </c>
      <c r="K30" s="2227">
        <f t="shared" si="3"/>
        <v>3</v>
      </c>
      <c r="L30" s="2228">
        <f t="shared" si="4"/>
        <v>0</v>
      </c>
      <c r="M30" s="2112"/>
      <c r="N30" s="2192">
        <v>3</v>
      </c>
      <c r="O30" s="2229">
        <f t="shared" si="5"/>
        <v>0</v>
      </c>
      <c r="R30" t="str">
        <f t="shared" si="6"/>
        <v/>
      </c>
      <c r="U30" t="str">
        <f t="shared" si="7"/>
        <v/>
      </c>
    </row>
    <row r="31" spans="2:21" hidden="1">
      <c r="B31" s="2221"/>
      <c r="C31" s="1354"/>
      <c r="D31" s="2112"/>
      <c r="E31" s="151" t="s">
        <v>472</v>
      </c>
      <c r="F31" s="2308">
        <f>メイン!Y68</f>
        <v>2</v>
      </c>
      <c r="G31" s="2112"/>
      <c r="H31" s="2208">
        <f>IF(OR($F$20=$R$6,$F$20=$U$6),CO2データ!I208,IF($F$20=$S$6,CO2データ!L208,CO2データ!O208))</f>
        <v>30</v>
      </c>
      <c r="I31" s="2208">
        <f>IF(OR($F$20=$R$6,$F$20=$U$6),CO2データ!J208,IF($F$20=$S$6,CO2データ!M208,CO2データ!P208))</f>
        <v>30</v>
      </c>
      <c r="J31" s="2208">
        <f>IF(OR($F$20=$R$6,$F$20=$U$6),CO2データ!K208,IF($F$20=$S$6,CO2データ!N208,CO2データ!Q208))</f>
        <v>30</v>
      </c>
      <c r="K31" s="2227">
        <f t="shared" si="3"/>
        <v>3</v>
      </c>
      <c r="L31" s="2228">
        <f t="shared" si="4"/>
        <v>0</v>
      </c>
      <c r="M31" s="2112"/>
      <c r="N31" s="2192">
        <v>3</v>
      </c>
      <c r="O31" s="2229">
        <f t="shared" si="5"/>
        <v>0</v>
      </c>
      <c r="R31" t="str">
        <f t="shared" si="6"/>
        <v/>
      </c>
      <c r="U31" t="str">
        <f t="shared" si="7"/>
        <v/>
      </c>
    </row>
    <row r="32" spans="2:21" hidden="1">
      <c r="B32" s="2221"/>
      <c r="C32" s="1354"/>
      <c r="D32" s="2112"/>
      <c r="E32" s="151" t="s">
        <v>466</v>
      </c>
      <c r="F32" s="2308">
        <f>メイン!Y65</f>
        <v>0</v>
      </c>
      <c r="G32" s="2112"/>
      <c r="H32" s="2208">
        <f>IF(OR($F$20=$R$6,$F$20=$U$6),CO2データ!I209,IF($F$20=$S$6,CO2データ!L209,CO2データ!O209))</f>
        <v>60</v>
      </c>
      <c r="I32" s="2208">
        <f>IF(OR($F$20=$R$6,$F$20=$U$6),CO2データ!J209,IF($F$20=$S$6,CO2データ!M209,CO2データ!P209))</f>
        <v>60</v>
      </c>
      <c r="J32" s="2208">
        <f>IF(OR($F$20=$R$6,$F$20=$U$6),CO2データ!K209,IF($F$20=$S$6,CO2データ!N209,CO2データ!Q209))</f>
        <v>60</v>
      </c>
      <c r="K32" s="2227">
        <f t="shared" si="3"/>
        <v>3</v>
      </c>
      <c r="L32" s="2228">
        <f t="shared" si="4"/>
        <v>0</v>
      </c>
      <c r="M32" s="2112"/>
      <c r="N32" s="2192">
        <v>3</v>
      </c>
      <c r="O32" s="2229">
        <f t="shared" si="5"/>
        <v>0</v>
      </c>
      <c r="R32" t="str">
        <f t="shared" si="6"/>
        <v/>
      </c>
      <c r="U32" t="str">
        <f t="shared" si="7"/>
        <v/>
      </c>
    </row>
    <row r="33" spans="2:21" hidden="1">
      <c r="B33" s="2221"/>
      <c r="C33" s="1354"/>
      <c r="D33" s="2112"/>
      <c r="E33" s="151" t="s">
        <v>767</v>
      </c>
      <c r="F33" s="2308">
        <f>メイン!Y66</f>
        <v>0</v>
      </c>
      <c r="G33" s="2112"/>
      <c r="H33" s="2208">
        <f>IF(OR($F$20=$R$6,$F$20=$U$6),CO2データ!I210,IF($F$20=$S$6,CO2データ!L210,CO2データ!O210))</f>
        <v>60</v>
      </c>
      <c r="I33" s="2208">
        <f>IF(OR($F$20=$R$6,$F$20=$U$6),CO2データ!J210,IF($F$20=$S$6,CO2データ!M210,CO2データ!P210))</f>
        <v>60</v>
      </c>
      <c r="J33" s="2208">
        <f>IF(OR($F$20=$R$6,$F$20=$U$6),CO2データ!K210,IF($F$20=$S$6,CO2データ!N210,CO2データ!Q210))</f>
        <v>60</v>
      </c>
      <c r="K33" s="2227">
        <f t="shared" si="3"/>
        <v>3</v>
      </c>
      <c r="L33" s="2228">
        <f t="shared" si="4"/>
        <v>0</v>
      </c>
      <c r="M33" s="2112"/>
      <c r="N33" s="2192">
        <v>3</v>
      </c>
      <c r="O33" s="2229">
        <f t="shared" si="5"/>
        <v>0</v>
      </c>
      <c r="R33" t="str">
        <f t="shared" si="6"/>
        <v/>
      </c>
      <c r="U33" t="str">
        <f t="shared" si="7"/>
        <v/>
      </c>
    </row>
    <row r="34" spans="2:21" ht="14.25" hidden="1" thickBot="1">
      <c r="B34" s="2221"/>
      <c r="C34" s="1354"/>
      <c r="D34" s="2112"/>
      <c r="E34" s="151" t="s">
        <v>470</v>
      </c>
      <c r="F34" s="2308">
        <f>メイン!Y67</f>
        <v>3</v>
      </c>
      <c r="G34" s="2112"/>
      <c r="H34" s="2208">
        <f>IF(OR($F$20=$R$6,$F$20=$U$6),CO2データ!I211,IF($F$20=$S$6,CO2データ!L211,CO2データ!O211))</f>
        <v>30</v>
      </c>
      <c r="I34" s="2208">
        <f>IF(OR($F$20=$R$6,$F$20=$U$6),CO2データ!J211,IF($F$20=$S$6,CO2データ!M211,CO2データ!P211))</f>
        <v>60</v>
      </c>
      <c r="J34" s="2208">
        <f>IF(OR($F$20=$R$6,$F$20=$U$6),CO2データ!K211,IF($F$20=$S$6,CO2データ!N211,CO2データ!Q211))</f>
        <v>90</v>
      </c>
      <c r="K34" s="2227">
        <f t="shared" si="3"/>
        <v>3</v>
      </c>
      <c r="L34" s="2228">
        <f t="shared" si="4"/>
        <v>0</v>
      </c>
      <c r="M34" s="2112"/>
      <c r="N34" s="2192">
        <v>3</v>
      </c>
      <c r="O34" s="2229">
        <f t="shared" si="5"/>
        <v>0</v>
      </c>
      <c r="R34" t="str">
        <f t="shared" si="6"/>
        <v/>
      </c>
      <c r="U34" t="str">
        <f t="shared" si="7"/>
        <v/>
      </c>
    </row>
    <row r="35" spans="2:21" ht="14.25" hidden="1" thickBot="1">
      <c r="B35" s="2221"/>
      <c r="C35" s="1354"/>
      <c r="D35" s="2112"/>
      <c r="E35" s="151"/>
      <c r="F35" s="151"/>
      <c r="G35" s="151"/>
      <c r="H35" s="151"/>
      <c r="I35" s="151"/>
      <c r="J35" s="151"/>
      <c r="K35" s="151"/>
      <c r="L35" s="2230" t="str">
        <f>R26&amp;R27&amp;R28&amp;R29&amp;R30&amp;R31&amp;R32&amp;R33&amp;R34&amp;R35</f>
        <v>事務所部分60年,他</v>
      </c>
      <c r="M35" s="151"/>
      <c r="N35" s="151"/>
      <c r="O35" s="2230" t="str">
        <f>U26&amp;U27&amp;U28&amp;U29&amp;U30&amp;U31&amp;U32&amp;U33&amp;U34&amp;U35</f>
        <v>事務所部分60年,他</v>
      </c>
      <c r="R35" t="str">
        <f>IF(SUM(F26:F34)&gt;1,"他","")</f>
        <v>他</v>
      </c>
      <c r="U35" t="str">
        <f>IF(SUM(F26:F34)&gt;1,"他","")</f>
        <v>他</v>
      </c>
    </row>
    <row r="36" spans="2:21" hidden="1">
      <c r="B36" s="2221"/>
      <c r="C36" s="1354"/>
      <c r="D36" s="2112"/>
      <c r="E36" s="151"/>
      <c r="F36" s="151"/>
      <c r="G36" s="151"/>
      <c r="H36" s="151"/>
      <c r="I36" s="151"/>
      <c r="J36" s="151"/>
      <c r="K36" s="151"/>
      <c r="L36" s="151"/>
      <c r="M36" s="151"/>
      <c r="N36" s="151"/>
      <c r="O36" s="2231"/>
    </row>
    <row r="37" spans="2:21" hidden="1">
      <c r="B37" s="2232"/>
      <c r="C37" s="2233" t="s">
        <v>80</v>
      </c>
      <c r="D37" s="2233"/>
      <c r="E37" s="2162"/>
      <c r="F37" s="2162"/>
      <c r="G37" s="2162"/>
      <c r="H37" s="2234"/>
      <c r="I37" s="2235" t="s">
        <v>155</v>
      </c>
      <c r="J37" s="2235" t="s">
        <v>156</v>
      </c>
      <c r="K37" s="2236"/>
      <c r="L37" s="2236"/>
      <c r="M37" s="2236"/>
      <c r="N37" s="2236"/>
      <c r="O37" s="2237"/>
    </row>
    <row r="38" spans="2:21" hidden="1">
      <c r="B38" s="2232"/>
      <c r="C38" s="2162"/>
      <c r="D38" s="2162" t="s">
        <v>157</v>
      </c>
      <c r="E38" s="2162"/>
      <c r="F38" s="2208">
        <f>F10</f>
        <v>0.71801566579634468</v>
      </c>
      <c r="G38" s="2162"/>
      <c r="H38" s="2208">
        <f>IF(OR($F$20=$R$6,$F$20=$U$6),CO2データ!I214,IF($F$20=$S$6,CO2データ!L214,CO2データ!O214))</f>
        <v>0.56699999999999995</v>
      </c>
      <c r="I38" s="2208">
        <f>IF(OR($F$20=$R$6,$F$20=$U$6),CO2データ!J214,IF($F$20=$S$6,CO2データ!M214,CO2データ!P214))</f>
        <v>0</v>
      </c>
      <c r="J38" s="2208">
        <f>IF(OR($F$20=$R$6,$F$20=$U$6),CO2データ!K214,IF($F$20=$S$6,CO2データ!N214,CO2データ!Q214))</f>
        <v>0</v>
      </c>
      <c r="K38" s="2236"/>
      <c r="L38" s="2234">
        <f t="shared" ref="L38:L91" si="8">H38-(H38-I38)*$F$21-(H38-J38)*$F$22</f>
        <v>0.39689999999999998</v>
      </c>
      <c r="M38" s="2236"/>
      <c r="N38" s="2234"/>
      <c r="O38" s="2238">
        <f t="shared" ref="O38:O91" si="9">H38</f>
        <v>0.56699999999999995</v>
      </c>
      <c r="P38" t="s">
        <v>158</v>
      </c>
    </row>
    <row r="39" spans="2:21" hidden="1">
      <c r="B39" s="2232"/>
      <c r="C39" s="2162"/>
      <c r="D39" s="2162"/>
      <c r="E39" s="2162"/>
      <c r="F39" s="2208">
        <f>$F$38</f>
        <v>0.71801566579634468</v>
      </c>
      <c r="G39" s="2162"/>
      <c r="H39" s="2208">
        <f>IF(OR($F$20=$R$6,$F$20=$U$6),CO2データ!I215,IF($F$20=$S$6,CO2データ!L215,CO2データ!O215))</f>
        <v>0</v>
      </c>
      <c r="I39" s="2208">
        <f>IF(OR($F$20=$R$6,$F$20=$U$6),CO2データ!J215,IF($F$20=$S$6,CO2データ!M215,CO2データ!P215))</f>
        <v>0</v>
      </c>
      <c r="J39" s="2208">
        <f>IF(OR($F$20=$R$6,$F$20=$U$6),CO2データ!K215,IF($F$20=$S$6,CO2データ!N215,CO2データ!Q215))</f>
        <v>0.56699999999999995</v>
      </c>
      <c r="K39" s="2236"/>
      <c r="L39" s="2234">
        <f t="shared" si="8"/>
        <v>0</v>
      </c>
      <c r="M39" s="2236"/>
      <c r="N39" s="2234"/>
      <c r="O39" s="2238">
        <f t="shared" si="9"/>
        <v>0</v>
      </c>
      <c r="P39" t="s">
        <v>158</v>
      </c>
    </row>
    <row r="40" spans="2:21" hidden="1">
      <c r="B40" s="2232"/>
      <c r="C40" s="2162"/>
      <c r="D40" s="2162"/>
      <c r="E40" s="2162"/>
      <c r="F40" s="2208">
        <f>$F$38</f>
        <v>0.71801566579634468</v>
      </c>
      <c r="G40" s="2162"/>
      <c r="H40" s="2208">
        <f>IF(OR($F$20=$R$6,$F$20=$U$6),CO2データ!I216,IF($F$20=$S$6,CO2データ!L216,CO2データ!O216))</f>
        <v>0.13600000000000001</v>
      </c>
      <c r="I40" s="2208">
        <f>IF(OR($F$20=$R$6,$F$20=$U$6),CO2データ!J216,IF($F$20=$S$6,CO2データ!M216,CO2データ!P216))</f>
        <v>0</v>
      </c>
      <c r="J40" s="2208">
        <f>IF(OR($F$20=$R$6,$F$20=$U$6),CO2データ!K216,IF($F$20=$S$6,CO2データ!N216,CO2データ!Q216))</f>
        <v>0.13600000000000001</v>
      </c>
      <c r="K40" s="2236"/>
      <c r="L40" s="2234">
        <f t="shared" si="8"/>
        <v>9.5200000000000007E-2</v>
      </c>
      <c r="M40" s="2236"/>
      <c r="N40" s="2234"/>
      <c r="O40" s="2238">
        <f t="shared" si="9"/>
        <v>0.13600000000000001</v>
      </c>
      <c r="P40" t="s">
        <v>85</v>
      </c>
    </row>
    <row r="41" spans="2:21" hidden="1">
      <c r="B41" s="2232"/>
      <c r="C41" s="2162"/>
      <c r="D41" s="2162"/>
      <c r="E41" s="2162"/>
      <c r="F41" s="2208">
        <f>$F$38</f>
        <v>0.71801566579634468</v>
      </c>
      <c r="G41" s="2162"/>
      <c r="H41" s="2208">
        <f>IF(OR($F$20=$R$6,$F$20=$U$6),CO2データ!I217,IF($F$20=$S$6,CO2データ!L217,CO2データ!O217))</f>
        <v>0</v>
      </c>
      <c r="I41" s="2208">
        <f>IF(OR($F$20=$R$6,$F$20=$U$6),CO2データ!J217,IF($F$20=$S$6,CO2データ!M217,CO2データ!P217))</f>
        <v>0</v>
      </c>
      <c r="J41" s="2208">
        <f>IF(OR($F$20=$R$6,$F$20=$U$6),CO2データ!K217,IF($F$20=$S$6,CO2データ!N217,CO2データ!Q217))</f>
        <v>0</v>
      </c>
      <c r="K41" s="2236"/>
      <c r="L41" s="2234">
        <f t="shared" si="8"/>
        <v>0</v>
      </c>
      <c r="M41" s="2236"/>
      <c r="N41" s="2234"/>
      <c r="O41" s="2238">
        <f t="shared" si="9"/>
        <v>0</v>
      </c>
      <c r="P41" t="s">
        <v>85</v>
      </c>
    </row>
    <row r="42" spans="2:21" hidden="1">
      <c r="B42" s="2232"/>
      <c r="C42" s="2162"/>
      <c r="D42" s="2162"/>
      <c r="E42" s="2162"/>
      <c r="F42" s="2208">
        <f>$F$38</f>
        <v>0.71801566579634468</v>
      </c>
      <c r="G42" s="2162"/>
      <c r="H42" s="2208">
        <f>IF(OR($F$20=$R$6,$F$20=$U$6),CO2データ!I218,IF($F$20=$S$6,CO2データ!L218,CO2データ!O218))</f>
        <v>7.0000000000000007E-2</v>
      </c>
      <c r="I42" s="2208">
        <f>IF(OR($F$20=$R$6,$F$20=$U$6),CO2データ!J218,IF($F$20=$S$6,CO2データ!M218,CO2データ!P218))</f>
        <v>0</v>
      </c>
      <c r="J42" s="2208">
        <f>IF(OR($F$20=$R$6,$F$20=$U$6),CO2データ!K218,IF($F$20=$S$6,CO2データ!N218,CO2データ!Q218))</f>
        <v>7.0000000000000007E-2</v>
      </c>
      <c r="K42" s="2236"/>
      <c r="L42" s="2234">
        <f t="shared" si="8"/>
        <v>4.9000000000000002E-2</v>
      </c>
      <c r="M42" s="2236"/>
      <c r="N42" s="2234"/>
      <c r="O42" s="2238">
        <f t="shared" si="9"/>
        <v>7.0000000000000007E-2</v>
      </c>
      <c r="P42" t="s">
        <v>85</v>
      </c>
    </row>
    <row r="43" spans="2:21" hidden="1">
      <c r="B43" s="2232"/>
      <c r="C43" s="2162"/>
      <c r="D43" s="2162"/>
      <c r="E43" s="2162"/>
      <c r="F43" s="2208">
        <f>$F$38</f>
        <v>0.71801566579634468</v>
      </c>
      <c r="G43" s="2162"/>
      <c r="H43" s="2208">
        <f>IF(OR($F$20=$R$6,$F$20=$U$6),CO2データ!I219,IF($F$20=$S$6,CO2データ!L219,CO2データ!O219))</f>
        <v>5.0000000000000001E-3</v>
      </c>
      <c r="I43" s="2208">
        <f>IF(OR($F$20=$R$6,$F$20=$U$6),CO2データ!J219,IF($F$20=$S$6,CO2データ!M219,CO2データ!P219))</f>
        <v>0</v>
      </c>
      <c r="J43" s="2208">
        <f>IF(OR($F$20=$R$6,$F$20=$U$6),CO2データ!K219,IF($F$20=$S$6,CO2データ!N219,CO2データ!Q219))</f>
        <v>5.0000000000000001E-3</v>
      </c>
      <c r="K43" s="2236"/>
      <c r="L43" s="2234">
        <f t="shared" si="8"/>
        <v>3.5000000000000001E-3</v>
      </c>
      <c r="M43" s="2236"/>
      <c r="N43" s="2234"/>
      <c r="O43" s="2238">
        <f t="shared" si="9"/>
        <v>5.0000000000000001E-3</v>
      </c>
      <c r="P43" t="s">
        <v>85</v>
      </c>
    </row>
    <row r="44" spans="2:21" hidden="1">
      <c r="B44" s="2232"/>
      <c r="C44" s="2162"/>
      <c r="D44" s="2162" t="s">
        <v>159</v>
      </c>
      <c r="E44" s="2162"/>
      <c r="F44" s="2208">
        <f>F11</f>
        <v>0</v>
      </c>
      <c r="G44" s="2162"/>
      <c r="H44" s="2208">
        <f>IF(OR($F$20=$R$6,$F$20=$U$6),CO2データ!I220,IF($F$20=$S$6,CO2データ!L220,CO2データ!O220))</f>
        <v>0.35199999999999998</v>
      </c>
      <c r="I44" s="2208">
        <f>IF(OR($F$20=$R$6,$F$20=$U$6),CO2データ!J220,IF($F$20=$S$6,CO2データ!M220,CO2データ!P220))</f>
        <v>0</v>
      </c>
      <c r="J44" s="2208">
        <f>IF(OR($F$20=$R$6,$F$20=$U$6),CO2データ!K220,IF($F$20=$S$6,CO2データ!N220,CO2データ!Q220))</f>
        <v>0</v>
      </c>
      <c r="K44" s="2236"/>
      <c r="L44" s="2234">
        <f t="shared" si="8"/>
        <v>0.24640000000000001</v>
      </c>
      <c r="M44" s="2236"/>
      <c r="N44" s="2234"/>
      <c r="O44" s="2238">
        <f t="shared" si="9"/>
        <v>0.35199999999999998</v>
      </c>
      <c r="P44" t="s">
        <v>158</v>
      </c>
    </row>
    <row r="45" spans="2:21" hidden="1">
      <c r="B45" s="2232"/>
      <c r="C45" s="2162"/>
      <c r="D45" s="2162"/>
      <c r="E45" s="2162"/>
      <c r="F45" s="2208">
        <f>$F$44</f>
        <v>0</v>
      </c>
      <c r="G45" s="2162"/>
      <c r="H45" s="2208">
        <f>IF(OR($F$20=$R$6,$F$20=$U$6),CO2データ!I221,IF($F$20=$S$6,CO2データ!L221,CO2データ!O221))</f>
        <v>0</v>
      </c>
      <c r="I45" s="2208">
        <f>IF(OR($F$20=$R$6,$F$20=$U$6),CO2データ!J221,IF($F$20=$S$6,CO2データ!M221,CO2データ!P221))</f>
        <v>0</v>
      </c>
      <c r="J45" s="2208">
        <f>IF(OR($F$20=$R$6,$F$20=$U$6),CO2データ!K221,IF($F$20=$S$6,CO2データ!N221,CO2データ!Q221))</f>
        <v>0.35199999999999998</v>
      </c>
      <c r="K45" s="2236"/>
      <c r="L45" s="2234">
        <f t="shared" si="8"/>
        <v>0</v>
      </c>
      <c r="M45" s="2236"/>
      <c r="N45" s="2234"/>
      <c r="O45" s="2238">
        <f t="shared" si="9"/>
        <v>0</v>
      </c>
      <c r="P45" t="s">
        <v>158</v>
      </c>
    </row>
    <row r="46" spans="2:21" hidden="1">
      <c r="B46" s="2232"/>
      <c r="C46" s="2162"/>
      <c r="D46" s="2162"/>
      <c r="E46" s="2162"/>
      <c r="F46" s="2208">
        <f>$F$44</f>
        <v>0</v>
      </c>
      <c r="G46" s="2162"/>
      <c r="H46" s="2208">
        <f>IF(OR($F$20=$R$6,$F$20=$U$6),CO2データ!I222,IF($F$20=$S$6,CO2データ!L222,CO2データ!O222))</f>
        <v>0.105</v>
      </c>
      <c r="I46" s="2208">
        <f>IF(OR($F$20=$R$6,$F$20=$U$6),CO2データ!J222,IF($F$20=$S$6,CO2データ!M222,CO2データ!P222))</f>
        <v>0</v>
      </c>
      <c r="J46" s="2208">
        <f>IF(OR($F$20=$R$6,$F$20=$U$6),CO2データ!K222,IF($F$20=$S$6,CO2データ!N222,CO2データ!Q222))</f>
        <v>0.105</v>
      </c>
      <c r="K46" s="2236"/>
      <c r="L46" s="2234">
        <f t="shared" si="8"/>
        <v>7.3499999999999996E-2</v>
      </c>
      <c r="M46" s="2236"/>
      <c r="N46" s="2234"/>
      <c r="O46" s="2238">
        <f t="shared" si="9"/>
        <v>0.105</v>
      </c>
      <c r="P46" t="s">
        <v>85</v>
      </c>
    </row>
    <row r="47" spans="2:21" hidden="1">
      <c r="B47" s="2232"/>
      <c r="C47" s="2162"/>
      <c r="D47" s="2162"/>
      <c r="E47" s="2162"/>
      <c r="F47" s="2208">
        <f>$F$44</f>
        <v>0</v>
      </c>
      <c r="G47" s="2162"/>
      <c r="H47" s="2208">
        <f>IF(OR($F$20=$R$6,$F$20=$U$6),CO2データ!I223,IF($F$20=$S$6,CO2データ!L223,CO2データ!O223))</f>
        <v>0</v>
      </c>
      <c r="I47" s="2208">
        <f>IF(OR($F$20=$R$6,$F$20=$U$6),CO2データ!J223,IF($F$20=$S$6,CO2データ!M223,CO2データ!P223))</f>
        <v>0</v>
      </c>
      <c r="J47" s="2208">
        <f>IF(OR($F$20=$R$6,$F$20=$U$6),CO2データ!K223,IF($F$20=$S$6,CO2データ!N223,CO2データ!Q223))</f>
        <v>0</v>
      </c>
      <c r="K47" s="2236"/>
      <c r="L47" s="2234">
        <f t="shared" si="8"/>
        <v>0</v>
      </c>
      <c r="M47" s="2236"/>
      <c r="N47" s="2234"/>
      <c r="O47" s="2238">
        <f t="shared" si="9"/>
        <v>0</v>
      </c>
      <c r="P47" t="s">
        <v>85</v>
      </c>
    </row>
    <row r="48" spans="2:21" hidden="1">
      <c r="B48" s="2232"/>
      <c r="C48" s="2162"/>
      <c r="D48" s="2162"/>
      <c r="E48" s="2162"/>
      <c r="F48" s="2208">
        <f>$F$44</f>
        <v>0</v>
      </c>
      <c r="G48" s="2162"/>
      <c r="H48" s="2208">
        <f>IF(OR($F$20=$R$6,$F$20=$U$6),CO2データ!I224,IF($F$20=$S$6,CO2データ!L224,CO2データ!O224))</f>
        <v>4.4999999999999998E-2</v>
      </c>
      <c r="I48" s="2208">
        <f>IF(OR($F$20=$R$6,$F$20=$U$6),CO2データ!J224,IF($F$20=$S$6,CO2データ!M224,CO2データ!P224))</f>
        <v>0</v>
      </c>
      <c r="J48" s="2208">
        <f>IF(OR($F$20=$R$6,$F$20=$U$6),CO2データ!K224,IF($F$20=$S$6,CO2データ!N224,CO2データ!Q224))</f>
        <v>4.4999999999999998E-2</v>
      </c>
      <c r="K48" s="2236"/>
      <c r="L48" s="2234">
        <f t="shared" si="8"/>
        <v>3.15E-2</v>
      </c>
      <c r="M48" s="2236"/>
      <c r="N48" s="2234"/>
      <c r="O48" s="2238">
        <f t="shared" si="9"/>
        <v>4.4999999999999998E-2</v>
      </c>
      <c r="P48" t="s">
        <v>85</v>
      </c>
    </row>
    <row r="49" spans="2:16" hidden="1">
      <c r="B49" s="2232"/>
      <c r="C49" s="2162"/>
      <c r="D49" s="2162"/>
      <c r="E49" s="2162"/>
      <c r="F49" s="2208">
        <f>$F$44</f>
        <v>0</v>
      </c>
      <c r="G49" s="2162"/>
      <c r="H49" s="2208">
        <f>IF(OR($F$20=$R$6,$F$20=$U$6),CO2データ!I225,IF($F$20=$S$6,CO2データ!L225,CO2データ!O225))</f>
        <v>2E-3</v>
      </c>
      <c r="I49" s="2208">
        <f>IF(OR($F$20=$R$6,$F$20=$U$6),CO2データ!J225,IF($F$20=$S$6,CO2データ!M225,CO2データ!P225))</f>
        <v>0</v>
      </c>
      <c r="J49" s="2208">
        <f>IF(OR($F$20=$R$6,$F$20=$U$6),CO2データ!K225,IF($F$20=$S$6,CO2データ!N225,CO2データ!Q225))</f>
        <v>2.3999999999999998E-3</v>
      </c>
      <c r="K49" s="2236"/>
      <c r="L49" s="2234">
        <f t="shared" si="8"/>
        <v>1.4000000000000002E-3</v>
      </c>
      <c r="M49" s="2236"/>
      <c r="N49" s="2234"/>
      <c r="O49" s="2238">
        <f t="shared" si="9"/>
        <v>2E-3</v>
      </c>
      <c r="P49" t="s">
        <v>85</v>
      </c>
    </row>
    <row r="50" spans="2:16" hidden="1">
      <c r="B50" s="2232"/>
      <c r="C50" s="2162"/>
      <c r="D50" s="2162" t="s">
        <v>160</v>
      </c>
      <c r="E50" s="2162"/>
      <c r="F50" s="2208">
        <f>F12</f>
        <v>0</v>
      </c>
      <c r="G50" s="2162"/>
      <c r="H50" s="2208">
        <f>IF(OR($F$20=$R$6,$F$20=$U$6),CO2データ!I226,IF($F$20=$S$6,CO2データ!L226,CO2データ!O226))</f>
        <v>0.34200000000000003</v>
      </c>
      <c r="I50" s="2208">
        <f>IF(OR($F$20=$R$6,$F$20=$U$6),CO2データ!J226,IF($F$20=$S$6,CO2データ!M226,CO2データ!P226))</f>
        <v>0</v>
      </c>
      <c r="J50" s="2208">
        <f>IF(OR($F$20=$R$6,$F$20=$U$6),CO2データ!K226,IF($F$20=$S$6,CO2データ!N226,CO2データ!Q226))</f>
        <v>0</v>
      </c>
      <c r="K50" s="2236"/>
      <c r="L50" s="2234">
        <f t="shared" si="8"/>
        <v>0.2394</v>
      </c>
      <c r="M50" s="2236"/>
      <c r="N50" s="2234"/>
      <c r="O50" s="2238">
        <f t="shared" si="9"/>
        <v>0.34200000000000003</v>
      </c>
      <c r="P50" t="s">
        <v>1650</v>
      </c>
    </row>
    <row r="51" spans="2:16" hidden="1">
      <c r="B51" s="2232"/>
      <c r="C51" s="2162"/>
      <c r="D51" s="2162"/>
      <c r="E51" s="2162"/>
      <c r="F51" s="2208">
        <f>$F$50</f>
        <v>0</v>
      </c>
      <c r="G51" s="2162"/>
      <c r="H51" s="2208">
        <f>IF(OR($F$20=$R$6,$F$20=$U$6),CO2データ!I227,IF($F$20=$S$6,CO2データ!L227,CO2データ!O227))</f>
        <v>0</v>
      </c>
      <c r="I51" s="2208">
        <f>IF(OR($F$20=$R$6,$F$20=$U$6),CO2データ!J227,IF($F$20=$S$6,CO2データ!M227,CO2データ!P227))</f>
        <v>0</v>
      </c>
      <c r="J51" s="2208">
        <f>IF(OR($F$20=$R$6,$F$20=$U$6),CO2データ!K227,IF($F$20=$S$6,CO2データ!N227,CO2データ!Q227))</f>
        <v>0.34200000000000003</v>
      </c>
      <c r="K51" s="2236"/>
      <c r="L51" s="2234">
        <f t="shared" si="8"/>
        <v>0</v>
      </c>
      <c r="M51" s="2236"/>
      <c r="N51" s="2234"/>
      <c r="O51" s="2238">
        <f t="shared" si="9"/>
        <v>0</v>
      </c>
      <c r="P51" t="s">
        <v>158</v>
      </c>
    </row>
    <row r="52" spans="2:16" hidden="1">
      <c r="B52" s="2232"/>
      <c r="C52" s="2162"/>
      <c r="D52" s="2162"/>
      <c r="E52" s="2162"/>
      <c r="F52" s="2208">
        <f>$F$50</f>
        <v>0</v>
      </c>
      <c r="G52" s="2162"/>
      <c r="H52" s="2208">
        <f>IF(OR($F$20=$R$6,$F$20=$U$6),CO2データ!I228,IF($F$20=$S$6,CO2データ!L228,CO2データ!O228))</f>
        <v>7.1999999999999995E-2</v>
      </c>
      <c r="I52" s="2208">
        <f>IF(OR($F$20=$R$6,$F$20=$U$6),CO2データ!J228,IF($F$20=$S$6,CO2データ!M228,CO2データ!P228))</f>
        <v>0</v>
      </c>
      <c r="J52" s="2208">
        <f>IF(OR($F$20=$R$6,$F$20=$U$6),CO2データ!K228,IF($F$20=$S$6,CO2データ!N228,CO2データ!Q228))</f>
        <v>7.1999999999999995E-2</v>
      </c>
      <c r="K52" s="2236"/>
      <c r="L52" s="2234">
        <f t="shared" si="8"/>
        <v>5.04E-2</v>
      </c>
      <c r="M52" s="2236"/>
      <c r="N52" s="2234"/>
      <c r="O52" s="2238">
        <f t="shared" si="9"/>
        <v>7.1999999999999995E-2</v>
      </c>
      <c r="P52" t="s">
        <v>85</v>
      </c>
    </row>
    <row r="53" spans="2:16" hidden="1">
      <c r="B53" s="2232"/>
      <c r="C53" s="2162"/>
      <c r="D53" s="2162"/>
      <c r="E53" s="2162"/>
      <c r="F53" s="2208">
        <f>$F$50</f>
        <v>0</v>
      </c>
      <c r="G53" s="2162"/>
      <c r="H53" s="2208">
        <f>IF(OR($F$20=$R$6,$F$20=$U$6),CO2データ!I229,IF($F$20=$S$6,CO2データ!L229,CO2データ!O229))</f>
        <v>0</v>
      </c>
      <c r="I53" s="2208">
        <f>IF(OR($F$20=$R$6,$F$20=$U$6),CO2データ!J229,IF($F$20=$S$6,CO2データ!M229,CO2データ!P229))</f>
        <v>0</v>
      </c>
      <c r="J53" s="2208">
        <f>IF(OR($F$20=$R$6,$F$20=$U$6),CO2データ!K229,IF($F$20=$S$6,CO2データ!N229,CO2データ!Q229))</f>
        <v>0</v>
      </c>
      <c r="K53" s="2236"/>
      <c r="L53" s="2234">
        <f t="shared" si="8"/>
        <v>0</v>
      </c>
      <c r="M53" s="2236"/>
      <c r="N53" s="2234"/>
      <c r="O53" s="2238">
        <f t="shared" si="9"/>
        <v>0</v>
      </c>
      <c r="P53" t="s">
        <v>85</v>
      </c>
    </row>
    <row r="54" spans="2:16" hidden="1">
      <c r="B54" s="2232"/>
      <c r="C54" s="2162"/>
      <c r="D54" s="2162"/>
      <c r="E54" s="2162"/>
      <c r="F54" s="2208">
        <f>$F$50</f>
        <v>0</v>
      </c>
      <c r="G54" s="2162"/>
      <c r="H54" s="2208">
        <f>IF(OR($F$20=$R$6,$F$20=$U$6),CO2データ!I230,IF($F$20=$S$6,CO2データ!L230,CO2データ!O230))</f>
        <v>2.4E-2</v>
      </c>
      <c r="I54" s="2208">
        <f>IF(OR($F$20=$R$6,$F$20=$U$6),CO2データ!J230,IF($F$20=$S$6,CO2データ!M230,CO2データ!P230))</f>
        <v>0</v>
      </c>
      <c r="J54" s="2208">
        <f>IF(OR($F$20=$R$6,$F$20=$U$6),CO2データ!K230,IF($F$20=$S$6,CO2データ!N230,CO2データ!Q230))</f>
        <v>2.4E-2</v>
      </c>
      <c r="K54" s="2236"/>
      <c r="L54" s="2234">
        <f t="shared" si="8"/>
        <v>1.6800000000000002E-2</v>
      </c>
      <c r="M54" s="2236"/>
      <c r="N54" s="2234"/>
      <c r="O54" s="2238">
        <f t="shared" si="9"/>
        <v>2.4E-2</v>
      </c>
      <c r="P54" t="s">
        <v>85</v>
      </c>
    </row>
    <row r="55" spans="2:16" hidden="1">
      <c r="B55" s="2232"/>
      <c r="C55" s="2162"/>
      <c r="D55" s="2162"/>
      <c r="E55" s="2162"/>
      <c r="F55" s="2208">
        <f>$F$50</f>
        <v>0</v>
      </c>
      <c r="G55" s="2162"/>
      <c r="H55" s="2208">
        <f>IF(OR($F$20=$R$6,$F$20=$U$6),CO2データ!I231,IF($F$20=$S$6,CO2データ!L231,CO2データ!O231))</f>
        <v>2E-3</v>
      </c>
      <c r="I55" s="2208">
        <f>IF(OR($F$20=$R$6,$F$20=$U$6),CO2データ!J231,IF($F$20=$S$6,CO2データ!M231,CO2データ!P231))</f>
        <v>0</v>
      </c>
      <c r="J55" s="2208">
        <f>IF(OR($F$20=$R$6,$F$20=$U$6),CO2データ!K231,IF($F$20=$S$6,CO2データ!N231,CO2データ!Q231))</f>
        <v>1.8600000000000001E-3</v>
      </c>
      <c r="K55" s="2236"/>
      <c r="L55" s="2234">
        <f t="shared" si="8"/>
        <v>1.4000000000000002E-3</v>
      </c>
      <c r="M55" s="2236"/>
      <c r="N55" s="2234"/>
      <c r="O55" s="2238">
        <f t="shared" si="9"/>
        <v>2E-3</v>
      </c>
      <c r="P55" t="s">
        <v>85</v>
      </c>
    </row>
    <row r="56" spans="2:16" hidden="1">
      <c r="B56" s="2232"/>
      <c r="C56" s="2162"/>
      <c r="D56" s="2162" t="s">
        <v>162</v>
      </c>
      <c r="E56" s="2162"/>
      <c r="F56" s="2208">
        <f>F13</f>
        <v>0</v>
      </c>
      <c r="G56" s="2162"/>
      <c r="H56" s="2208">
        <f>IF(OR($F$20=$R$6,$F$20=$U$6),CO2データ!I232,IF($F$20=$S$6,CO2データ!L232,CO2データ!O232))</f>
        <v>0.34200000000000003</v>
      </c>
      <c r="I56" s="2208">
        <f>IF(OR($F$20=$R$6,$F$20=$U$6),CO2データ!J232,IF($F$20=$S$6,CO2データ!M232,CO2データ!P232))</f>
        <v>0</v>
      </c>
      <c r="J56" s="2208">
        <f>IF(OR($F$20=$R$6,$F$20=$U$6),CO2データ!K232,IF($F$20=$S$6,CO2データ!N232,CO2データ!Q232))</f>
        <v>0</v>
      </c>
      <c r="K56" s="2236"/>
      <c r="L56" s="2234">
        <f t="shared" si="8"/>
        <v>0.2394</v>
      </c>
      <c r="M56" s="2236"/>
      <c r="N56" s="2234"/>
      <c r="O56" s="2238">
        <f t="shared" si="9"/>
        <v>0.34200000000000003</v>
      </c>
      <c r="P56" t="s">
        <v>158</v>
      </c>
    </row>
    <row r="57" spans="2:16" hidden="1">
      <c r="B57" s="2232"/>
      <c r="C57" s="2162"/>
      <c r="D57" s="2162"/>
      <c r="E57" s="2162"/>
      <c r="F57" s="2208">
        <f>$F$56</f>
        <v>0</v>
      </c>
      <c r="G57" s="2162"/>
      <c r="H57" s="2208">
        <f>IF(OR($F$20=$R$6,$F$20=$U$6),CO2データ!I233,IF($F$20=$S$6,CO2データ!L233,CO2データ!O233))</f>
        <v>0</v>
      </c>
      <c r="I57" s="2208">
        <f>IF(OR($F$20=$R$6,$F$20=$U$6),CO2データ!J233,IF($F$20=$S$6,CO2データ!M233,CO2データ!P233))</f>
        <v>0</v>
      </c>
      <c r="J57" s="2208">
        <f>IF(OR($F$20=$R$6,$F$20=$U$6),CO2データ!K233,IF($F$20=$S$6,CO2データ!N233,CO2データ!Q233))</f>
        <v>0.34200000000000003</v>
      </c>
      <c r="K57" s="2236"/>
      <c r="L57" s="2234">
        <f t="shared" si="8"/>
        <v>0</v>
      </c>
      <c r="M57" s="2236"/>
      <c r="N57" s="2234"/>
      <c r="O57" s="2238">
        <f t="shared" si="9"/>
        <v>0</v>
      </c>
      <c r="P57" t="s">
        <v>158</v>
      </c>
    </row>
    <row r="58" spans="2:16" hidden="1">
      <c r="B58" s="2232"/>
      <c r="C58" s="2162"/>
      <c r="D58" s="2162"/>
      <c r="E58" s="2162"/>
      <c r="F58" s="2208">
        <f>$F$56</f>
        <v>0</v>
      </c>
      <c r="G58" s="2162"/>
      <c r="H58" s="2208">
        <f>IF(OR($F$20=$R$6,$F$20=$U$6),CO2データ!I234,IF($F$20=$S$6,CO2データ!L234,CO2データ!O234))</f>
        <v>7.1999999999999995E-2</v>
      </c>
      <c r="I58" s="2208">
        <f>IF(OR($F$20=$R$6,$F$20=$U$6),CO2データ!J234,IF($F$20=$S$6,CO2データ!M234,CO2データ!P234))</f>
        <v>0</v>
      </c>
      <c r="J58" s="2208">
        <f>IF(OR($F$20=$R$6,$F$20=$U$6),CO2データ!K234,IF($F$20=$S$6,CO2データ!N234,CO2データ!Q234))</f>
        <v>7.1999999999999995E-2</v>
      </c>
      <c r="K58" s="2236"/>
      <c r="L58" s="2234">
        <f t="shared" si="8"/>
        <v>5.04E-2</v>
      </c>
      <c r="M58" s="2236"/>
      <c r="N58" s="2234"/>
      <c r="O58" s="2238">
        <f t="shared" si="9"/>
        <v>7.1999999999999995E-2</v>
      </c>
      <c r="P58" t="s">
        <v>85</v>
      </c>
    </row>
    <row r="59" spans="2:16" hidden="1">
      <c r="B59" s="2232"/>
      <c r="C59" s="2162"/>
      <c r="D59" s="2162"/>
      <c r="E59" s="2162"/>
      <c r="F59" s="2208">
        <f>$F$56</f>
        <v>0</v>
      </c>
      <c r="G59" s="2162"/>
      <c r="H59" s="2208">
        <f>IF(OR($F$20=$R$6,$F$20=$U$6),CO2データ!I235,IF($F$20=$S$6,CO2データ!L235,CO2データ!O235))</f>
        <v>0</v>
      </c>
      <c r="I59" s="2208">
        <f>IF(OR($F$20=$R$6,$F$20=$U$6),CO2データ!J235,IF($F$20=$S$6,CO2データ!M235,CO2データ!P235))</f>
        <v>0</v>
      </c>
      <c r="J59" s="2208">
        <f>IF(OR($F$20=$R$6,$F$20=$U$6),CO2データ!K235,IF($F$20=$S$6,CO2データ!N235,CO2データ!Q235))</f>
        <v>0</v>
      </c>
      <c r="K59" s="2236"/>
      <c r="L59" s="2234">
        <f t="shared" si="8"/>
        <v>0</v>
      </c>
      <c r="M59" s="2236"/>
      <c r="N59" s="2234"/>
      <c r="O59" s="2238">
        <f t="shared" si="9"/>
        <v>0</v>
      </c>
      <c r="P59" t="s">
        <v>85</v>
      </c>
    </row>
    <row r="60" spans="2:16" hidden="1">
      <c r="B60" s="2232"/>
      <c r="C60" s="2162"/>
      <c r="D60" s="2162"/>
      <c r="E60" s="2162"/>
      <c r="F60" s="2208">
        <f>$F$56</f>
        <v>0</v>
      </c>
      <c r="G60" s="2162"/>
      <c r="H60" s="2208">
        <f>IF(OR($F$20=$R$6,$F$20=$U$6),CO2データ!I236,IF($F$20=$S$6,CO2データ!L236,CO2データ!O236))</f>
        <v>2.4E-2</v>
      </c>
      <c r="I60" s="2208">
        <f>IF(OR($F$20=$R$6,$F$20=$U$6),CO2データ!J236,IF($F$20=$S$6,CO2データ!M236,CO2データ!P236))</f>
        <v>0</v>
      </c>
      <c r="J60" s="2208">
        <f>IF(OR($F$20=$R$6,$F$20=$U$6),CO2データ!K236,IF($F$20=$S$6,CO2データ!N236,CO2データ!Q236))</f>
        <v>2.4E-2</v>
      </c>
      <c r="K60" s="2236"/>
      <c r="L60" s="2234">
        <f t="shared" si="8"/>
        <v>1.6800000000000002E-2</v>
      </c>
      <c r="M60" s="2236"/>
      <c r="N60" s="2234"/>
      <c r="O60" s="2238">
        <f t="shared" si="9"/>
        <v>2.4E-2</v>
      </c>
      <c r="P60" t="s">
        <v>85</v>
      </c>
    </row>
    <row r="61" spans="2:16" hidden="1">
      <c r="B61" s="2232"/>
      <c r="C61" s="2162"/>
      <c r="D61" s="2162"/>
      <c r="E61" s="2162"/>
      <c r="F61" s="2208">
        <f>$F$56</f>
        <v>0</v>
      </c>
      <c r="G61" s="2162"/>
      <c r="H61" s="2208">
        <f>IF(OR($F$20=$R$6,$F$20=$U$6),CO2データ!I237,IF($F$20=$S$6,CO2データ!L237,CO2データ!O237))</f>
        <v>2E-3</v>
      </c>
      <c r="I61" s="2208">
        <f>IF(OR($F$20=$R$6,$F$20=$U$6),CO2データ!J237,IF($F$20=$S$6,CO2データ!M237,CO2データ!P237))</f>
        <v>0</v>
      </c>
      <c r="J61" s="2208">
        <f>IF(OR($F$20=$R$6,$F$20=$U$6),CO2データ!K237,IF($F$20=$S$6,CO2データ!N237,CO2データ!Q237))</f>
        <v>1.8600000000000001E-3</v>
      </c>
      <c r="K61" s="2236"/>
      <c r="L61" s="2234">
        <f t="shared" si="8"/>
        <v>1.4000000000000002E-3</v>
      </c>
      <c r="M61" s="2236"/>
      <c r="N61" s="2234"/>
      <c r="O61" s="2238">
        <f t="shared" si="9"/>
        <v>2E-3</v>
      </c>
      <c r="P61" t="s">
        <v>85</v>
      </c>
    </row>
    <row r="62" spans="2:16" hidden="1">
      <c r="B62" s="2232"/>
      <c r="C62" s="2162"/>
      <c r="D62" s="2162" t="s">
        <v>163</v>
      </c>
      <c r="E62" s="2162"/>
      <c r="F62" s="2208">
        <f>F14</f>
        <v>0</v>
      </c>
      <c r="G62" s="2162"/>
      <c r="H62" s="2208">
        <f>IF(OR($F$20=$R$6,$F$20=$U$6),CO2データ!I238,IF($F$20=$S$6,CO2データ!L238,CO2データ!O238))</f>
        <v>0.34499999999999997</v>
      </c>
      <c r="I62" s="2208">
        <f>IF(OR($F$20=$R$6,$F$20=$U$6),CO2データ!J238,IF($F$20=$S$6,CO2データ!M238,CO2データ!P238))</f>
        <v>0</v>
      </c>
      <c r="J62" s="2208">
        <f>IF(OR($F$20=$R$6,$F$20=$U$6),CO2データ!K238,IF($F$20=$S$6,CO2データ!N238,CO2データ!Q238))</f>
        <v>0</v>
      </c>
      <c r="K62" s="2236"/>
      <c r="L62" s="2234">
        <f t="shared" si="8"/>
        <v>0.24149999999999999</v>
      </c>
      <c r="M62" s="2236"/>
      <c r="N62" s="2234"/>
      <c r="O62" s="2238">
        <f t="shared" si="9"/>
        <v>0.34499999999999997</v>
      </c>
      <c r="P62" t="s">
        <v>158</v>
      </c>
    </row>
    <row r="63" spans="2:16" hidden="1">
      <c r="B63" s="2232"/>
      <c r="C63" s="2162"/>
      <c r="D63" s="2162"/>
      <c r="E63" s="2162"/>
      <c r="F63" s="2208">
        <f>$F$62</f>
        <v>0</v>
      </c>
      <c r="G63" s="2162"/>
      <c r="H63" s="2208">
        <f>IF(OR($F$20=$R$6,$F$20=$U$6),CO2データ!I239,IF($F$20=$S$6,CO2データ!L239,CO2データ!O239))</f>
        <v>0</v>
      </c>
      <c r="I63" s="2208">
        <f>IF(OR($F$20=$R$6,$F$20=$U$6),CO2データ!J239,IF($F$20=$S$6,CO2データ!M239,CO2データ!P239))</f>
        <v>0</v>
      </c>
      <c r="J63" s="2208">
        <f>IF(OR($F$20=$R$6,$F$20=$U$6),CO2データ!K239,IF($F$20=$S$6,CO2データ!N239,CO2データ!Q239))</f>
        <v>0.34499999999999997</v>
      </c>
      <c r="K63" s="2236"/>
      <c r="L63" s="2234">
        <f t="shared" si="8"/>
        <v>0</v>
      </c>
      <c r="M63" s="2236"/>
      <c r="N63" s="2234"/>
      <c r="O63" s="2238">
        <f t="shared" si="9"/>
        <v>0</v>
      </c>
      <c r="P63" t="s">
        <v>158</v>
      </c>
    </row>
    <row r="64" spans="2:16" hidden="1">
      <c r="B64" s="2232"/>
      <c r="C64" s="2162"/>
      <c r="D64" s="2162"/>
      <c r="E64" s="2162"/>
      <c r="F64" s="2208">
        <f>$F$62</f>
        <v>0</v>
      </c>
      <c r="G64" s="2162"/>
      <c r="H64" s="2208">
        <f>IF(OR($F$20=$R$6,$F$20=$U$6),CO2データ!I240,IF($F$20=$S$6,CO2データ!L240,CO2データ!O240))</f>
        <v>0.13900000000000001</v>
      </c>
      <c r="I64" s="2208">
        <f>IF(OR($F$20=$R$6,$F$20=$U$6),CO2データ!J240,IF($F$20=$S$6,CO2データ!M240,CO2データ!P240))</f>
        <v>0</v>
      </c>
      <c r="J64" s="2208">
        <f>IF(OR($F$20=$R$6,$F$20=$U$6),CO2データ!K240,IF($F$20=$S$6,CO2データ!N240,CO2データ!Q240))</f>
        <v>0.13900000000000001</v>
      </c>
      <c r="K64" s="2236"/>
      <c r="L64" s="2234">
        <f t="shared" si="8"/>
        <v>9.7300000000000011E-2</v>
      </c>
      <c r="M64" s="2236"/>
      <c r="N64" s="2234"/>
      <c r="O64" s="2238">
        <f t="shared" si="9"/>
        <v>0.13900000000000001</v>
      </c>
      <c r="P64" t="s">
        <v>85</v>
      </c>
    </row>
    <row r="65" spans="2:16" hidden="1">
      <c r="B65" s="2232"/>
      <c r="C65" s="2162"/>
      <c r="D65" s="2162"/>
      <c r="E65" s="2162"/>
      <c r="F65" s="2208">
        <f>$F$62</f>
        <v>0</v>
      </c>
      <c r="G65" s="2162"/>
      <c r="H65" s="2208">
        <f>IF(OR($F$20=$R$6,$F$20=$U$6),CO2データ!I241,IF($F$20=$S$6,CO2データ!L241,CO2データ!O241))</f>
        <v>0</v>
      </c>
      <c r="I65" s="2208">
        <f>IF(OR($F$20=$R$6,$F$20=$U$6),CO2データ!J241,IF($F$20=$S$6,CO2データ!M241,CO2データ!P241))</f>
        <v>0</v>
      </c>
      <c r="J65" s="2208">
        <f>IF(OR($F$20=$R$6,$F$20=$U$6),CO2データ!K241,IF($F$20=$S$6,CO2データ!N241,CO2データ!Q241))</f>
        <v>0</v>
      </c>
      <c r="K65" s="2236"/>
      <c r="L65" s="2234">
        <f t="shared" si="8"/>
        <v>0</v>
      </c>
      <c r="M65" s="2236"/>
      <c r="N65" s="2234"/>
      <c r="O65" s="2238">
        <f t="shared" si="9"/>
        <v>0</v>
      </c>
      <c r="P65" t="s">
        <v>85</v>
      </c>
    </row>
    <row r="66" spans="2:16" hidden="1">
      <c r="B66" s="2232"/>
      <c r="C66" s="2162"/>
      <c r="D66" s="2162"/>
      <c r="E66" s="2162"/>
      <c r="F66" s="2208">
        <f>$F$62</f>
        <v>0</v>
      </c>
      <c r="G66" s="2162"/>
      <c r="H66" s="2208">
        <f>IF(OR($F$20=$R$6,$F$20=$U$6),CO2データ!I242,IF($F$20=$S$6,CO2データ!L242,CO2データ!O242))</f>
        <v>0.04</v>
      </c>
      <c r="I66" s="2208">
        <f>IF(OR($F$20=$R$6,$F$20=$U$6),CO2データ!J242,IF($F$20=$S$6,CO2データ!M242,CO2データ!P242))</f>
        <v>0</v>
      </c>
      <c r="J66" s="2208">
        <f>IF(OR($F$20=$R$6,$F$20=$U$6),CO2データ!K242,IF($F$20=$S$6,CO2データ!N242,CO2データ!Q242))</f>
        <v>0.04</v>
      </c>
      <c r="K66" s="2236"/>
      <c r="L66" s="2234">
        <f t="shared" si="8"/>
        <v>2.8000000000000001E-2</v>
      </c>
      <c r="M66" s="2236"/>
      <c r="N66" s="2234"/>
      <c r="O66" s="2238">
        <f t="shared" si="9"/>
        <v>0.04</v>
      </c>
      <c r="P66" t="s">
        <v>85</v>
      </c>
    </row>
    <row r="67" spans="2:16" hidden="1">
      <c r="B67" s="2232"/>
      <c r="C67" s="2162"/>
      <c r="D67" s="2162"/>
      <c r="E67" s="2162"/>
      <c r="F67" s="2208">
        <f>$F$62</f>
        <v>0</v>
      </c>
      <c r="G67" s="2162"/>
      <c r="H67" s="2208">
        <f>IF(OR($F$20=$R$6,$F$20=$U$6),CO2データ!I243,IF($F$20=$S$6,CO2データ!L243,CO2データ!O243))</f>
        <v>4.0000000000000001E-3</v>
      </c>
      <c r="I67" s="2208">
        <f>IF(OR($F$20=$R$6,$F$20=$U$6),CO2データ!J243,IF($F$20=$S$6,CO2データ!M243,CO2データ!P243))</f>
        <v>0</v>
      </c>
      <c r="J67" s="2208">
        <f>IF(OR($F$20=$R$6,$F$20=$U$6),CO2データ!K243,IF($F$20=$S$6,CO2データ!N243,CO2データ!Q243))</f>
        <v>4.3499999999999997E-3</v>
      </c>
      <c r="K67" s="2236"/>
      <c r="L67" s="2234">
        <f t="shared" si="8"/>
        <v>2.8000000000000004E-3</v>
      </c>
      <c r="M67" s="2236"/>
      <c r="N67" s="2234"/>
      <c r="O67" s="2238">
        <f t="shared" si="9"/>
        <v>4.0000000000000001E-3</v>
      </c>
      <c r="P67" t="s">
        <v>85</v>
      </c>
    </row>
    <row r="68" spans="2:16" hidden="1">
      <c r="B68" s="2232"/>
      <c r="C68" s="2162"/>
      <c r="D68" s="2162" t="s">
        <v>472</v>
      </c>
      <c r="E68" s="2162"/>
      <c r="F68" s="2208">
        <f>F15</f>
        <v>0.26109660574412535</v>
      </c>
      <c r="G68" s="2162"/>
      <c r="H68" s="2208">
        <f>IF(OR($F$20=$R$6,$F$20=$U$6),CO2データ!I244,IF($F$20=$S$6,CO2データ!L244,CO2データ!O244))</f>
        <v>0.35399999999999998</v>
      </c>
      <c r="I68" s="2208">
        <f>IF(OR($F$20=$R$6,$F$20=$U$6),CO2データ!J244,IF($F$20=$S$6,CO2データ!M244,CO2データ!P244))</f>
        <v>0</v>
      </c>
      <c r="J68" s="2208">
        <f>IF(OR($F$20=$R$6,$F$20=$U$6),CO2データ!K244,IF($F$20=$S$6,CO2データ!N244,CO2データ!Q244))</f>
        <v>0</v>
      </c>
      <c r="K68" s="2236"/>
      <c r="L68" s="2234">
        <f t="shared" si="8"/>
        <v>0.24779999999999999</v>
      </c>
      <c r="M68" s="2236"/>
      <c r="N68" s="2234"/>
      <c r="O68" s="2238">
        <f t="shared" si="9"/>
        <v>0.35399999999999998</v>
      </c>
      <c r="P68" t="s">
        <v>158</v>
      </c>
    </row>
    <row r="69" spans="2:16" hidden="1">
      <c r="B69" s="2232"/>
      <c r="C69" s="2162"/>
      <c r="D69" s="2162"/>
      <c r="E69" s="2162"/>
      <c r="F69" s="2208">
        <f>$F$68</f>
        <v>0.26109660574412535</v>
      </c>
      <c r="G69" s="2162"/>
      <c r="H69" s="2208">
        <f>IF(OR($F$20=$R$6,$F$20=$U$6),CO2データ!I245,IF($F$20=$S$6,CO2データ!L245,CO2データ!O245))</f>
        <v>0</v>
      </c>
      <c r="I69" s="2208">
        <f>IF(OR($F$20=$R$6,$F$20=$U$6),CO2データ!J245,IF($F$20=$S$6,CO2データ!M245,CO2データ!P245))</f>
        <v>0</v>
      </c>
      <c r="J69" s="2208">
        <f>IF(OR($F$20=$R$6,$F$20=$U$6),CO2データ!K245,IF($F$20=$S$6,CO2データ!N245,CO2データ!Q245))</f>
        <v>0.35399999999999998</v>
      </c>
      <c r="K69" s="2236"/>
      <c r="L69" s="2234">
        <f t="shared" si="8"/>
        <v>0</v>
      </c>
      <c r="M69" s="2236"/>
      <c r="N69" s="2234"/>
      <c r="O69" s="2238">
        <f t="shared" si="9"/>
        <v>0</v>
      </c>
      <c r="P69" t="s">
        <v>158</v>
      </c>
    </row>
    <row r="70" spans="2:16" hidden="1">
      <c r="B70" s="2232"/>
      <c r="C70" s="2162"/>
      <c r="D70" s="2162"/>
      <c r="E70" s="2162"/>
      <c r="F70" s="2208">
        <f>$F$68</f>
        <v>0.26109660574412535</v>
      </c>
      <c r="G70" s="2162"/>
      <c r="H70" s="2208">
        <f>IF(OR($F$20=$R$6,$F$20=$U$6),CO2データ!I246,IF($F$20=$S$6,CO2データ!L246,CO2データ!O246))</f>
        <v>8.7999999999999995E-2</v>
      </c>
      <c r="I70" s="2208">
        <f>IF(OR($F$20=$R$6,$F$20=$U$6),CO2データ!J246,IF($F$20=$S$6,CO2データ!M246,CO2データ!P246))</f>
        <v>0</v>
      </c>
      <c r="J70" s="2208">
        <f>IF(OR($F$20=$R$6,$F$20=$U$6),CO2データ!K246,IF($F$20=$S$6,CO2データ!N246,CO2データ!Q246))</f>
        <v>8.7999999999999995E-2</v>
      </c>
      <c r="K70" s="2236"/>
      <c r="L70" s="2234">
        <f t="shared" si="8"/>
        <v>6.1600000000000002E-2</v>
      </c>
      <c r="M70" s="2236"/>
      <c r="N70" s="2234"/>
      <c r="O70" s="2238">
        <f t="shared" si="9"/>
        <v>8.7999999999999995E-2</v>
      </c>
      <c r="P70" t="s">
        <v>85</v>
      </c>
    </row>
    <row r="71" spans="2:16" hidden="1">
      <c r="B71" s="2232"/>
      <c r="C71" s="2162"/>
      <c r="D71" s="2162"/>
      <c r="E71" s="2162"/>
      <c r="F71" s="2208">
        <f>$F$68</f>
        <v>0.26109660574412535</v>
      </c>
      <c r="G71" s="2162"/>
      <c r="H71" s="2208">
        <f>IF(OR($F$20=$R$6,$F$20=$U$6),CO2データ!I247,IF($F$20=$S$6,CO2データ!L247,CO2データ!O247))</f>
        <v>0</v>
      </c>
      <c r="I71" s="2208">
        <f>IF(OR($F$20=$R$6,$F$20=$U$6),CO2データ!J247,IF($F$20=$S$6,CO2データ!M247,CO2データ!P247))</f>
        <v>0</v>
      </c>
      <c r="J71" s="2208">
        <f>IF(OR($F$20=$R$6,$F$20=$U$6),CO2データ!K247,IF($F$20=$S$6,CO2データ!N247,CO2データ!Q247))</f>
        <v>0</v>
      </c>
      <c r="K71" s="2236"/>
      <c r="L71" s="2234">
        <f t="shared" si="8"/>
        <v>0</v>
      </c>
      <c r="M71" s="2236"/>
      <c r="N71" s="2234"/>
      <c r="O71" s="2238">
        <f t="shared" si="9"/>
        <v>0</v>
      </c>
      <c r="P71" t="s">
        <v>85</v>
      </c>
    </row>
    <row r="72" spans="2:16" hidden="1">
      <c r="B72" s="2232"/>
      <c r="C72" s="2162"/>
      <c r="D72" s="2162"/>
      <c r="E72" s="2162"/>
      <c r="F72" s="2208">
        <f>$F$68</f>
        <v>0.26109660574412535</v>
      </c>
      <c r="G72" s="2162"/>
      <c r="H72" s="2208">
        <f>IF(OR($F$20=$R$6,$F$20=$U$6),CO2データ!I248,IF($F$20=$S$6,CO2データ!L248,CO2データ!O248))</f>
        <v>3.1E-2</v>
      </c>
      <c r="I72" s="2208">
        <f>IF(OR($F$20=$R$6,$F$20=$U$6),CO2データ!J248,IF($F$20=$S$6,CO2データ!M248,CO2データ!P248))</f>
        <v>0</v>
      </c>
      <c r="J72" s="2208">
        <f>IF(OR($F$20=$R$6,$F$20=$U$6),CO2データ!K248,IF($F$20=$S$6,CO2データ!N248,CO2データ!Q248))</f>
        <v>3.1E-2</v>
      </c>
      <c r="K72" s="2236"/>
      <c r="L72" s="2234">
        <f t="shared" si="8"/>
        <v>2.1700000000000001E-2</v>
      </c>
      <c r="M72" s="2236"/>
      <c r="N72" s="2234"/>
      <c r="O72" s="2238">
        <f t="shared" si="9"/>
        <v>3.1E-2</v>
      </c>
      <c r="P72" t="s">
        <v>85</v>
      </c>
    </row>
    <row r="73" spans="2:16" hidden="1">
      <c r="B73" s="2232"/>
      <c r="C73" s="2162"/>
      <c r="D73" s="2162"/>
      <c r="E73" s="2162"/>
      <c r="F73" s="2208">
        <f>$F$68</f>
        <v>0.26109660574412535</v>
      </c>
      <c r="G73" s="2162"/>
      <c r="H73" s="2208">
        <f>IF(OR($F$20=$R$6,$F$20=$U$6),CO2データ!I249,IF($F$20=$S$6,CO2データ!L249,CO2データ!O249))</f>
        <v>2E-3</v>
      </c>
      <c r="I73" s="2208">
        <f>IF(OR($F$20=$R$6,$F$20=$U$6),CO2データ!J249,IF($F$20=$S$6,CO2データ!M249,CO2データ!P249))</f>
        <v>0</v>
      </c>
      <c r="J73" s="2208">
        <f>IF(OR($F$20=$R$6,$F$20=$U$6),CO2データ!K249,IF($F$20=$S$6,CO2データ!N249,CO2データ!Q249))</f>
        <v>2.0999999999999999E-3</v>
      </c>
      <c r="K73" s="2236"/>
      <c r="L73" s="2234">
        <f t="shared" si="8"/>
        <v>1.4000000000000002E-3</v>
      </c>
      <c r="M73" s="2236"/>
      <c r="N73" s="2234"/>
      <c r="O73" s="2238">
        <f t="shared" si="9"/>
        <v>2E-3</v>
      </c>
      <c r="P73" t="s">
        <v>85</v>
      </c>
    </row>
    <row r="74" spans="2:16" hidden="1">
      <c r="B74" s="2232"/>
      <c r="C74" s="2162"/>
      <c r="D74" s="2162" t="s">
        <v>164</v>
      </c>
      <c r="E74" s="2162"/>
      <c r="F74" s="2208">
        <f>F16</f>
        <v>0</v>
      </c>
      <c r="G74" s="2162"/>
      <c r="H74" s="2208">
        <f>IF(OR($F$20=$R$6,$F$20=$U$6),CO2データ!I250,IF($F$20=$S$6,CO2データ!L250,CO2データ!O250))</f>
        <v>0.317</v>
      </c>
      <c r="I74" s="2208">
        <f>IF(OR($F$20=$R$6,$F$20=$U$6),CO2データ!J250,IF($F$20=$S$6,CO2データ!M250,CO2データ!P250))</f>
        <v>0</v>
      </c>
      <c r="J74" s="2208">
        <f>IF(OR($F$20=$R$6,$F$20=$U$6),CO2データ!K250,IF($F$20=$S$6,CO2データ!N250,CO2データ!Q250))</f>
        <v>0</v>
      </c>
      <c r="K74" s="2236"/>
      <c r="L74" s="2234">
        <f t="shared" si="8"/>
        <v>0.22189999999999999</v>
      </c>
      <c r="M74" s="2236"/>
      <c r="N74" s="2234"/>
      <c r="O74" s="2238">
        <f t="shared" si="9"/>
        <v>0.317</v>
      </c>
      <c r="P74" t="s">
        <v>158</v>
      </c>
    </row>
    <row r="75" spans="2:16" hidden="1">
      <c r="B75" s="2232"/>
      <c r="C75" s="2162"/>
      <c r="D75" s="2162"/>
      <c r="E75" s="2162"/>
      <c r="F75" s="2208">
        <f>$F$74</f>
        <v>0</v>
      </c>
      <c r="G75" s="2162"/>
      <c r="H75" s="2208">
        <f>IF(OR($F$20=$R$6,$F$20=$U$6),CO2データ!I251,IF($F$20=$S$6,CO2データ!L251,CO2データ!O251))</f>
        <v>0</v>
      </c>
      <c r="I75" s="2208">
        <f>IF(OR($F$20=$R$6,$F$20=$U$6),CO2データ!J251,IF($F$20=$S$6,CO2データ!M251,CO2データ!P251))</f>
        <v>0</v>
      </c>
      <c r="J75" s="2208">
        <f>IF(OR($F$20=$R$6,$F$20=$U$6),CO2データ!K251,IF($F$20=$S$6,CO2データ!N251,CO2データ!Q251))</f>
        <v>0.317</v>
      </c>
      <c r="K75" s="2236"/>
      <c r="L75" s="2234">
        <f t="shared" si="8"/>
        <v>0</v>
      </c>
      <c r="M75" s="2236"/>
      <c r="N75" s="2234"/>
      <c r="O75" s="2238">
        <f t="shared" si="9"/>
        <v>0</v>
      </c>
      <c r="P75" t="s">
        <v>158</v>
      </c>
    </row>
    <row r="76" spans="2:16" hidden="1">
      <c r="B76" s="2232"/>
      <c r="C76" s="2162"/>
      <c r="D76" s="2162"/>
      <c r="E76" s="2162"/>
      <c r="F76" s="2208">
        <f>$F$74</f>
        <v>0</v>
      </c>
      <c r="G76" s="2162"/>
      <c r="H76" s="2208">
        <f>IF(OR($F$20=$R$6,$F$20=$U$6),CO2データ!I252,IF($F$20=$S$6,CO2データ!L252,CO2データ!O252))</f>
        <v>7.3999999999999996E-2</v>
      </c>
      <c r="I76" s="2208">
        <f>IF(OR($F$20=$R$6,$F$20=$U$6),CO2データ!J252,IF($F$20=$S$6,CO2データ!M252,CO2データ!P252))</f>
        <v>0</v>
      </c>
      <c r="J76" s="2208">
        <f>IF(OR($F$20=$R$6,$F$20=$U$6),CO2データ!K252,IF($F$20=$S$6,CO2データ!N252,CO2データ!Q252))</f>
        <v>7.3999999999999996E-2</v>
      </c>
      <c r="K76" s="2236"/>
      <c r="L76" s="2234">
        <f t="shared" si="8"/>
        <v>5.1799999999999999E-2</v>
      </c>
      <c r="M76" s="2236"/>
      <c r="N76" s="2234"/>
      <c r="O76" s="2238">
        <f t="shared" si="9"/>
        <v>7.3999999999999996E-2</v>
      </c>
      <c r="P76" t="s">
        <v>85</v>
      </c>
    </row>
    <row r="77" spans="2:16" hidden="1">
      <c r="B77" s="2232"/>
      <c r="C77" s="2162"/>
      <c r="D77" s="2162"/>
      <c r="E77" s="2162"/>
      <c r="F77" s="2208">
        <f>$F$74</f>
        <v>0</v>
      </c>
      <c r="G77" s="2162"/>
      <c r="H77" s="2208">
        <f>IF(OR($F$20=$R$6,$F$20=$U$6),CO2データ!I253,IF($F$20=$S$6,CO2データ!L253,CO2データ!O253))</f>
        <v>0</v>
      </c>
      <c r="I77" s="2208">
        <f>IF(OR($F$20=$R$6,$F$20=$U$6),CO2データ!J253,IF($F$20=$S$6,CO2データ!M253,CO2データ!P253))</f>
        <v>0</v>
      </c>
      <c r="J77" s="2208">
        <f>IF(OR($F$20=$R$6,$F$20=$U$6),CO2データ!K253,IF($F$20=$S$6,CO2データ!N253,CO2データ!Q253))</f>
        <v>0</v>
      </c>
      <c r="K77" s="2236"/>
      <c r="L77" s="2234">
        <f t="shared" si="8"/>
        <v>0</v>
      </c>
      <c r="M77" s="2236"/>
      <c r="N77" s="2234"/>
      <c r="O77" s="2238">
        <f t="shared" si="9"/>
        <v>0</v>
      </c>
      <c r="P77" t="s">
        <v>85</v>
      </c>
    </row>
    <row r="78" spans="2:16" hidden="1">
      <c r="B78" s="2232"/>
      <c r="C78" s="2162"/>
      <c r="D78" s="2162"/>
      <c r="E78" s="2162"/>
      <c r="F78" s="2208">
        <f>$F$74</f>
        <v>0</v>
      </c>
      <c r="G78" s="2162"/>
      <c r="H78" s="2208">
        <f>IF(OR($F$20=$R$6,$F$20=$U$6),CO2データ!I254,IF($F$20=$S$6,CO2データ!L254,CO2データ!O254))</f>
        <v>3.4000000000000002E-2</v>
      </c>
      <c r="I78" s="2208">
        <f>IF(OR($F$20=$R$6,$F$20=$U$6),CO2データ!J254,IF($F$20=$S$6,CO2データ!M254,CO2データ!P254))</f>
        <v>0</v>
      </c>
      <c r="J78" s="2208">
        <f>IF(OR($F$20=$R$6,$F$20=$U$6),CO2データ!K254,IF($F$20=$S$6,CO2データ!N254,CO2データ!Q254))</f>
        <v>3.4000000000000002E-2</v>
      </c>
      <c r="K78" s="2236"/>
      <c r="L78" s="2234">
        <f t="shared" si="8"/>
        <v>2.3800000000000002E-2</v>
      </c>
      <c r="M78" s="2236"/>
      <c r="N78" s="2234"/>
      <c r="O78" s="2238">
        <f t="shared" si="9"/>
        <v>3.4000000000000002E-2</v>
      </c>
      <c r="P78" t="s">
        <v>85</v>
      </c>
    </row>
    <row r="79" spans="2:16" hidden="1">
      <c r="B79" s="2232"/>
      <c r="C79" s="2162"/>
      <c r="D79" s="2162"/>
      <c r="E79" s="2162"/>
      <c r="F79" s="2208">
        <f>$F$74</f>
        <v>0</v>
      </c>
      <c r="G79" s="2162"/>
      <c r="H79" s="2208">
        <f>IF(OR($F$20=$R$6,$F$20=$U$6),CO2データ!I255,IF($F$20=$S$6,CO2データ!L255,CO2データ!O255))</f>
        <v>2E-3</v>
      </c>
      <c r="I79" s="2208">
        <f>IF(OR($F$20=$R$6,$F$20=$U$6),CO2データ!J255,IF($F$20=$S$6,CO2データ!M255,CO2データ!P255))</f>
        <v>0</v>
      </c>
      <c r="J79" s="2208">
        <f>IF(OR($F$20=$R$6,$F$20=$U$6),CO2データ!K255,IF($F$20=$S$6,CO2データ!N255,CO2データ!Q255))</f>
        <v>2E-3</v>
      </c>
      <c r="K79" s="2236"/>
      <c r="L79" s="2234">
        <f t="shared" si="8"/>
        <v>1.4000000000000002E-3</v>
      </c>
      <c r="M79" s="2236"/>
      <c r="N79" s="2234"/>
      <c r="O79" s="2238">
        <f t="shared" si="9"/>
        <v>2E-3</v>
      </c>
      <c r="P79" t="s">
        <v>85</v>
      </c>
    </row>
    <row r="80" spans="2:16" hidden="1">
      <c r="B80" s="2232"/>
      <c r="C80" s="2162"/>
      <c r="D80" s="2162" t="s">
        <v>1635</v>
      </c>
      <c r="E80" s="2162"/>
      <c r="F80" s="2208">
        <f>F17</f>
        <v>0</v>
      </c>
      <c r="G80" s="2162"/>
      <c r="H80" s="2208">
        <f>IF(OR($F$20=$R$6,$F$20=$U$6),CO2データ!I256,IF($F$20=$S$6,CO2データ!L256,CO2データ!O256))</f>
        <v>0.436</v>
      </c>
      <c r="I80" s="2208">
        <f>IF(OR($F$20=$R$6,$F$20=$U$6),CO2データ!J256,IF($F$20=$S$6,CO2データ!M256,CO2データ!P256))</f>
        <v>0</v>
      </c>
      <c r="J80" s="2208">
        <f>IF(OR($F$20=$R$6,$F$20=$U$6),CO2データ!K256,IF($F$20=$S$6,CO2データ!N256,CO2データ!Q256))</f>
        <v>0</v>
      </c>
      <c r="K80" s="2236"/>
      <c r="L80" s="2234">
        <f t="shared" si="8"/>
        <v>0.30520000000000003</v>
      </c>
      <c r="M80" s="2236"/>
      <c r="N80" s="2234"/>
      <c r="O80" s="2238">
        <f t="shared" si="9"/>
        <v>0.436</v>
      </c>
      <c r="P80" t="s">
        <v>158</v>
      </c>
    </row>
    <row r="81" spans="2:16" hidden="1">
      <c r="B81" s="2232"/>
      <c r="C81" s="2162"/>
      <c r="D81" s="2162"/>
      <c r="E81" s="2162"/>
      <c r="F81" s="2208">
        <f>$F$80</f>
        <v>0</v>
      </c>
      <c r="G81" s="2162"/>
      <c r="H81" s="2208">
        <f>IF(OR($F$20=$R$6,$F$20=$U$6),CO2データ!I257,IF($F$20=$S$6,CO2データ!L257,CO2データ!O257))</f>
        <v>0</v>
      </c>
      <c r="I81" s="2208">
        <f>IF(OR($F$20=$R$6,$F$20=$U$6),CO2データ!J257,IF($F$20=$S$6,CO2データ!M257,CO2データ!P257))</f>
        <v>0</v>
      </c>
      <c r="J81" s="2208">
        <f>IF(OR($F$20=$R$6,$F$20=$U$6),CO2データ!K257,IF($F$20=$S$6,CO2データ!N257,CO2データ!Q257))</f>
        <v>0.436</v>
      </c>
      <c r="K81" s="2236"/>
      <c r="L81" s="2234">
        <f t="shared" si="8"/>
        <v>0</v>
      </c>
      <c r="M81" s="2236"/>
      <c r="N81" s="2234"/>
      <c r="O81" s="2238">
        <f t="shared" si="9"/>
        <v>0</v>
      </c>
      <c r="P81" t="s">
        <v>158</v>
      </c>
    </row>
    <row r="82" spans="2:16" hidden="1">
      <c r="B82" s="2232"/>
      <c r="C82" s="2162"/>
      <c r="D82" s="2162"/>
      <c r="E82" s="2162"/>
      <c r="F82" s="2208">
        <f>$F$80</f>
        <v>0</v>
      </c>
      <c r="G82" s="2162"/>
      <c r="H82" s="2208">
        <f>IF(OR($F$20=$R$6,$F$20=$U$6),CO2データ!I258,IF($F$20=$S$6,CO2データ!L258,CO2データ!O258))</f>
        <v>0.10299999999999999</v>
      </c>
      <c r="I82" s="2208">
        <f>IF(OR($F$20=$R$6,$F$20=$U$6),CO2データ!J258,IF($F$20=$S$6,CO2データ!M258,CO2データ!P258))</f>
        <v>0</v>
      </c>
      <c r="J82" s="2208">
        <f>IF(OR($F$20=$R$6,$F$20=$U$6),CO2データ!K258,IF($F$20=$S$6,CO2データ!N258,CO2データ!Q258))</f>
        <v>0.10299999999999999</v>
      </c>
      <c r="K82" s="2236"/>
      <c r="L82" s="2234">
        <f t="shared" si="8"/>
        <v>7.2099999999999997E-2</v>
      </c>
      <c r="M82" s="2236"/>
      <c r="N82" s="2234"/>
      <c r="O82" s="2238">
        <f t="shared" si="9"/>
        <v>0.10299999999999999</v>
      </c>
      <c r="P82" t="s">
        <v>85</v>
      </c>
    </row>
    <row r="83" spans="2:16" hidden="1">
      <c r="B83" s="2232"/>
      <c r="C83" s="2162"/>
      <c r="D83" s="2162"/>
      <c r="E83" s="2162"/>
      <c r="F83" s="2208">
        <f>$F$80</f>
        <v>0</v>
      </c>
      <c r="G83" s="2162"/>
      <c r="H83" s="2208">
        <f>IF(OR($F$20=$R$6,$F$20=$U$6),CO2データ!I259,IF($F$20=$S$6,CO2データ!L259,CO2データ!O259))</f>
        <v>0</v>
      </c>
      <c r="I83" s="2208">
        <f>IF(OR($F$20=$R$6,$F$20=$U$6),CO2データ!J259,IF($F$20=$S$6,CO2データ!M259,CO2データ!P259))</f>
        <v>0</v>
      </c>
      <c r="J83" s="2208">
        <f>IF(OR($F$20=$R$6,$F$20=$U$6),CO2データ!K259,IF($F$20=$S$6,CO2データ!N259,CO2データ!Q259))</f>
        <v>0</v>
      </c>
      <c r="K83" s="2236"/>
      <c r="L83" s="2234">
        <f t="shared" si="8"/>
        <v>0</v>
      </c>
      <c r="M83" s="2236"/>
      <c r="N83" s="2234"/>
      <c r="O83" s="2238">
        <f t="shared" si="9"/>
        <v>0</v>
      </c>
      <c r="P83" t="s">
        <v>85</v>
      </c>
    </row>
    <row r="84" spans="2:16" hidden="1">
      <c r="B84" s="2232"/>
      <c r="C84" s="2162"/>
      <c r="D84" s="2162"/>
      <c r="E84" s="2162"/>
      <c r="F84" s="2208">
        <f>$F$80</f>
        <v>0</v>
      </c>
      <c r="G84" s="2162"/>
      <c r="H84" s="2208">
        <f>IF(OR($F$20=$R$6,$F$20=$U$6),CO2データ!I260,IF($F$20=$S$6,CO2データ!L260,CO2データ!O260))</f>
        <v>3.4000000000000002E-2</v>
      </c>
      <c r="I84" s="2208">
        <f>IF(OR($F$20=$R$6,$F$20=$U$6),CO2データ!J260,IF($F$20=$S$6,CO2データ!M260,CO2データ!P260))</f>
        <v>0</v>
      </c>
      <c r="J84" s="2208">
        <f>IF(OR($F$20=$R$6,$F$20=$U$6),CO2データ!K260,IF($F$20=$S$6,CO2データ!N260,CO2データ!Q260))</f>
        <v>3.4000000000000002E-2</v>
      </c>
      <c r="K84" s="2236"/>
      <c r="L84" s="2234">
        <f t="shared" si="8"/>
        <v>2.3800000000000002E-2</v>
      </c>
      <c r="M84" s="2236"/>
      <c r="N84" s="2234"/>
      <c r="O84" s="2238">
        <f t="shared" si="9"/>
        <v>3.4000000000000002E-2</v>
      </c>
      <c r="P84" t="s">
        <v>85</v>
      </c>
    </row>
    <row r="85" spans="2:16" hidden="1">
      <c r="B85" s="2232"/>
      <c r="C85" s="2162"/>
      <c r="D85" s="2162"/>
      <c r="E85" s="2162"/>
      <c r="F85" s="2208">
        <f>$F$80</f>
        <v>0</v>
      </c>
      <c r="G85" s="2162"/>
      <c r="H85" s="2208">
        <f>IF(OR($F$20=$R$6,$F$20=$U$6),CO2データ!I261,IF($F$20=$S$6,CO2データ!L261,CO2データ!O261))</f>
        <v>5.0000000000000001E-3</v>
      </c>
      <c r="I85" s="2208">
        <f>IF(OR($F$20=$R$6,$F$20=$U$6),CO2データ!J261,IF($F$20=$S$6,CO2データ!M261,CO2データ!P261))</f>
        <v>0</v>
      </c>
      <c r="J85" s="2208">
        <f>IF(OR($F$20=$R$6,$F$20=$U$6),CO2データ!K261,IF($F$20=$S$6,CO2データ!N261,CO2データ!Q261))</f>
        <v>4.7099999999999998E-3</v>
      </c>
      <c r="K85" s="2236"/>
      <c r="L85" s="2234">
        <f t="shared" si="8"/>
        <v>3.5000000000000001E-3</v>
      </c>
      <c r="M85" s="2236"/>
      <c r="N85" s="2234"/>
      <c r="O85" s="2238">
        <f t="shared" si="9"/>
        <v>5.0000000000000001E-3</v>
      </c>
      <c r="P85" t="s">
        <v>85</v>
      </c>
    </row>
    <row r="86" spans="2:16" hidden="1">
      <c r="B86" s="2232"/>
      <c r="C86" s="2162"/>
      <c r="D86" s="2162" t="s">
        <v>763</v>
      </c>
      <c r="E86" s="2162"/>
      <c r="F86" s="2208">
        <f>F18</f>
        <v>2.0887728459530026E-2</v>
      </c>
      <c r="G86" s="2162"/>
      <c r="H86" s="2208">
        <f>IF(OR($F$20=$R$6,$F$20=$U$6),CO2データ!I262,IF($F$20=$S$6,CO2データ!L262,CO2データ!O262))</f>
        <v>0.32300000000000001</v>
      </c>
      <c r="I86" s="2208">
        <f>IF(OR($F$20=$R$6,$F$20=$U$6),CO2データ!J262,IF($F$20=$S$6,CO2データ!M262,CO2データ!P262))</f>
        <v>0</v>
      </c>
      <c r="J86" s="2208">
        <f>IF(OR($F$20=$R$6,$F$20=$U$6),CO2データ!K262,IF($F$20=$S$6,CO2データ!N262,CO2データ!Q262))</f>
        <v>0</v>
      </c>
      <c r="K86" s="2236"/>
      <c r="L86" s="2234">
        <f t="shared" si="8"/>
        <v>0.22610000000000002</v>
      </c>
      <c r="M86" s="2236"/>
      <c r="N86" s="2234"/>
      <c r="O86" s="2238">
        <f t="shared" si="9"/>
        <v>0.32300000000000001</v>
      </c>
      <c r="P86" t="s">
        <v>158</v>
      </c>
    </row>
    <row r="87" spans="2:16" hidden="1">
      <c r="B87" s="2232"/>
      <c r="C87" s="2162"/>
      <c r="D87" s="2162"/>
      <c r="E87" s="2162"/>
      <c r="F87" s="2208">
        <f>$F$86</f>
        <v>2.0887728459530026E-2</v>
      </c>
      <c r="G87" s="2162"/>
      <c r="H87" s="2208">
        <f>IF(OR($F$20=$R$6,$F$20=$U$6),CO2データ!I263,IF($F$20=$S$6,CO2データ!L263,CO2データ!O263))</f>
        <v>0</v>
      </c>
      <c r="I87" s="2208">
        <f>IF(OR($F$20=$R$6,$F$20=$U$6),CO2データ!J263,IF($F$20=$S$6,CO2データ!M263,CO2データ!P263))</f>
        <v>0</v>
      </c>
      <c r="J87" s="2208">
        <f>IF(OR($F$20=$R$6,$F$20=$U$6),CO2データ!K263,IF($F$20=$S$6,CO2データ!N263,CO2データ!Q263))</f>
        <v>0.32300000000000001</v>
      </c>
      <c r="K87" s="2236"/>
      <c r="L87" s="2234">
        <f t="shared" si="8"/>
        <v>0</v>
      </c>
      <c r="M87" s="2236"/>
      <c r="N87" s="2234"/>
      <c r="O87" s="2238">
        <f t="shared" si="9"/>
        <v>0</v>
      </c>
      <c r="P87" t="s">
        <v>158</v>
      </c>
    </row>
    <row r="88" spans="2:16" hidden="1">
      <c r="B88" s="2232"/>
      <c r="C88" s="2162"/>
      <c r="D88" s="2162"/>
      <c r="E88" s="2162"/>
      <c r="F88" s="2208">
        <f>$F$86</f>
        <v>2.0887728459530026E-2</v>
      </c>
      <c r="G88" s="2162"/>
      <c r="H88" s="2208">
        <f>IF(OR($F$20=$R$6,$F$20=$U$6),CO2データ!I264,IF($F$20=$S$6,CO2データ!L264,CO2データ!O264))</f>
        <v>4.8000000000000001E-2</v>
      </c>
      <c r="I88" s="2208">
        <f>IF(OR($F$20=$R$6,$F$20=$U$6),CO2データ!J264,IF($F$20=$S$6,CO2データ!M264,CO2データ!P264))</f>
        <v>0</v>
      </c>
      <c r="J88" s="2208">
        <f>IF(OR($F$20=$R$6,$F$20=$U$6),CO2データ!K264,IF($F$20=$S$6,CO2データ!N264,CO2データ!Q264))</f>
        <v>4.8000000000000001E-2</v>
      </c>
      <c r="K88" s="2236"/>
      <c r="L88" s="2234">
        <f t="shared" si="8"/>
        <v>3.3600000000000005E-2</v>
      </c>
      <c r="M88" s="2236"/>
      <c r="N88" s="2234"/>
      <c r="O88" s="2238">
        <f t="shared" si="9"/>
        <v>4.8000000000000001E-2</v>
      </c>
      <c r="P88" t="s">
        <v>85</v>
      </c>
    </row>
    <row r="89" spans="2:16" hidden="1">
      <c r="B89" s="2232"/>
      <c r="C89" s="2162"/>
      <c r="D89" s="2162"/>
      <c r="E89" s="2162"/>
      <c r="F89" s="2208">
        <f>$F$86</f>
        <v>2.0887728459530026E-2</v>
      </c>
      <c r="G89" s="2162"/>
      <c r="H89" s="2208">
        <f>IF(OR($F$20=$R$6,$F$20=$U$6),CO2データ!I265,IF($F$20=$S$6,CO2データ!L265,CO2データ!O265))</f>
        <v>0</v>
      </c>
      <c r="I89" s="2208">
        <f>IF(OR($F$20=$R$6,$F$20=$U$6),CO2データ!J265,IF($F$20=$S$6,CO2データ!M265,CO2データ!P265))</f>
        <v>0</v>
      </c>
      <c r="J89" s="2208">
        <f>IF(OR($F$20=$R$6,$F$20=$U$6),CO2データ!K265,IF($F$20=$S$6,CO2データ!N265,CO2データ!Q265))</f>
        <v>0</v>
      </c>
      <c r="K89" s="2236"/>
      <c r="L89" s="2234">
        <f t="shared" si="8"/>
        <v>0</v>
      </c>
      <c r="M89" s="2236"/>
      <c r="N89" s="2234"/>
      <c r="O89" s="2238">
        <f t="shared" si="9"/>
        <v>0</v>
      </c>
      <c r="P89" t="s">
        <v>85</v>
      </c>
    </row>
    <row r="90" spans="2:16" hidden="1">
      <c r="B90" s="2232"/>
      <c r="C90" s="2162"/>
      <c r="D90" s="2162"/>
      <c r="E90" s="2162"/>
      <c r="F90" s="2208">
        <f>$F$86</f>
        <v>2.0887728459530026E-2</v>
      </c>
      <c r="G90" s="2162"/>
      <c r="H90" s="2208">
        <f>IF(OR($F$20=$R$6,$F$20=$U$6),CO2データ!I266,IF($F$20=$S$6,CO2データ!L266,CO2データ!O266))</f>
        <v>1.9E-2</v>
      </c>
      <c r="I90" s="2208">
        <f>IF(OR($F$20=$R$6,$F$20=$U$6),CO2データ!J266,IF($F$20=$S$6,CO2データ!M266,CO2データ!P266))</f>
        <v>0</v>
      </c>
      <c r="J90" s="2208">
        <f>IF(OR($F$20=$R$6,$F$20=$U$6),CO2データ!K266,IF($F$20=$S$6,CO2データ!N266,CO2データ!Q266))</f>
        <v>1.9E-2</v>
      </c>
      <c r="K90" s="2236"/>
      <c r="L90" s="2234">
        <f t="shared" si="8"/>
        <v>1.3299999999999999E-2</v>
      </c>
      <c r="M90" s="2236"/>
      <c r="N90" s="2234"/>
      <c r="O90" s="2238">
        <f t="shared" si="9"/>
        <v>1.9E-2</v>
      </c>
      <c r="P90" t="s">
        <v>85</v>
      </c>
    </row>
    <row r="91" spans="2:16" hidden="1">
      <c r="B91" s="2232"/>
      <c r="C91" s="2162"/>
      <c r="D91" s="2162"/>
      <c r="E91" s="2162"/>
      <c r="F91" s="2208">
        <f>$F$86</f>
        <v>2.0887728459530026E-2</v>
      </c>
      <c r="G91" s="2162"/>
      <c r="H91" s="2208">
        <f>IF(OR($F$20=$R$6,$F$20=$U$6),CO2データ!I267,IF($F$20=$S$6,CO2データ!L267,CO2データ!O267))</f>
        <v>2E-3</v>
      </c>
      <c r="I91" s="2208">
        <f>IF(OR($F$20=$R$6,$F$20=$U$6),CO2データ!J267,IF($F$20=$S$6,CO2データ!M267,CO2データ!P267))</f>
        <v>0</v>
      </c>
      <c r="J91" s="2208">
        <f>IF(OR($F$20=$R$6,$F$20=$U$6),CO2データ!K267,IF($F$20=$S$6,CO2データ!N267,CO2データ!Q267))</f>
        <v>1.98E-3</v>
      </c>
      <c r="K91" s="2236"/>
      <c r="L91" s="2234">
        <f t="shared" si="8"/>
        <v>1.4000000000000002E-3</v>
      </c>
      <c r="M91" s="2236"/>
      <c r="N91" s="2234"/>
      <c r="O91" s="2238">
        <f t="shared" si="9"/>
        <v>2E-3</v>
      </c>
      <c r="P91" t="s">
        <v>85</v>
      </c>
    </row>
    <row r="92" spans="2:16" ht="14.25" hidden="1" thickBot="1">
      <c r="B92" s="2221"/>
      <c r="C92" s="2112"/>
      <c r="D92" s="2112"/>
      <c r="E92" s="2112"/>
      <c r="F92" s="2112"/>
      <c r="G92" s="2112"/>
      <c r="H92" s="2112"/>
      <c r="I92" s="2112"/>
      <c r="J92" s="2112"/>
      <c r="K92" s="2112"/>
      <c r="L92" s="2112"/>
      <c r="M92" s="2112"/>
      <c r="N92" s="2112"/>
      <c r="O92" s="2113"/>
    </row>
    <row r="93" spans="2:16" hidden="1">
      <c r="B93" s="2232"/>
      <c r="C93" s="2162" t="s">
        <v>1651</v>
      </c>
      <c r="D93" s="2162" t="s">
        <v>474</v>
      </c>
      <c r="E93" s="2162"/>
      <c r="F93" s="2112"/>
      <c r="G93" s="2112"/>
      <c r="H93" s="2112"/>
      <c r="I93" s="2112"/>
      <c r="J93" s="2112"/>
      <c r="K93" s="2236"/>
      <c r="L93" s="2239">
        <f t="shared" ref="L93:L98" si="10">$F38*L38+$F44*L44+$F50*L50+$F56*L56+$F62*L62+$F68*L68+$F74*L74+$F80*L80+$F86*L86</f>
        <v>0.35440287206266319</v>
      </c>
      <c r="M93" s="2236"/>
      <c r="N93" s="2240"/>
      <c r="O93" s="2239">
        <f t="shared" ref="O93:O98" si="11">$F38*O38+$F44*O44+$F50*O50+$F56*O56+$F62*O62+$F68*O68+$F74*O74+$F80*O80+$F86*O86</f>
        <v>0.50628981723237598</v>
      </c>
      <c r="P93" t="s">
        <v>158</v>
      </c>
    </row>
    <row r="94" spans="2:16" hidden="1">
      <c r="B94" s="2232"/>
      <c r="C94" s="2162"/>
      <c r="D94" s="2162"/>
      <c r="E94" s="2162"/>
      <c r="F94" s="2112"/>
      <c r="G94" s="2112"/>
      <c r="H94" s="2112"/>
      <c r="I94" s="2112"/>
      <c r="J94" s="2112"/>
      <c r="K94" s="2236"/>
      <c r="L94" s="2241">
        <f t="shared" si="10"/>
        <v>0</v>
      </c>
      <c r="M94" s="2236"/>
      <c r="N94" s="2240"/>
      <c r="O94" s="2241">
        <f t="shared" si="11"/>
        <v>0</v>
      </c>
      <c r="P94" t="s">
        <v>158</v>
      </c>
    </row>
    <row r="95" spans="2:16" hidden="1">
      <c r="B95" s="2232"/>
      <c r="C95" s="2162"/>
      <c r="D95" s="2162"/>
      <c r="E95" s="2162"/>
      <c r="F95" s="2112"/>
      <c r="G95" s="2112"/>
      <c r="H95" s="2112"/>
      <c r="I95" s="2112"/>
      <c r="J95" s="2112"/>
      <c r="K95" s="2236"/>
      <c r="L95" s="2241">
        <f t="shared" si="10"/>
        <v>8.514046997389034E-2</v>
      </c>
      <c r="M95" s="2236"/>
      <c r="N95" s="2240"/>
      <c r="O95" s="2241">
        <f t="shared" si="11"/>
        <v>0.12162924281984336</v>
      </c>
      <c r="P95" t="s">
        <v>85</v>
      </c>
    </row>
    <row r="96" spans="2:16" hidden="1">
      <c r="B96" s="2232"/>
      <c r="C96" s="2162"/>
      <c r="D96" s="2162"/>
      <c r="E96" s="2162"/>
      <c r="F96" s="2112"/>
      <c r="G96" s="2112"/>
      <c r="H96" s="2112"/>
      <c r="I96" s="2112"/>
      <c r="J96" s="2112"/>
      <c r="K96" s="2236"/>
      <c r="L96" s="2241">
        <f t="shared" si="10"/>
        <v>0</v>
      </c>
      <c r="M96" s="2236"/>
      <c r="N96" s="2240"/>
      <c r="O96" s="2241">
        <f t="shared" si="11"/>
        <v>0</v>
      </c>
      <c r="P96" t="s">
        <v>85</v>
      </c>
    </row>
    <row r="97" spans="2:16" hidden="1">
      <c r="B97" s="2232"/>
      <c r="C97" s="2162"/>
      <c r="D97" s="2162"/>
      <c r="E97" s="2162"/>
      <c r="F97" s="2112"/>
      <c r="G97" s="2112"/>
      <c r="H97" s="2112"/>
      <c r="I97" s="2112"/>
      <c r="J97" s="2112"/>
      <c r="K97" s="2236"/>
      <c r="L97" s="2241">
        <f t="shared" si="10"/>
        <v>4.1126370757180161E-2</v>
      </c>
      <c r="M97" s="2236"/>
      <c r="N97" s="2240"/>
      <c r="O97" s="2241">
        <f t="shared" si="11"/>
        <v>5.8751958224543092E-2</v>
      </c>
      <c r="P97" t="s">
        <v>85</v>
      </c>
    </row>
    <row r="98" spans="2:16" ht="14.25" hidden="1" thickBot="1">
      <c r="B98" s="2232"/>
      <c r="C98" s="2162"/>
      <c r="D98" s="2162"/>
      <c r="E98" s="2162"/>
      <c r="F98" s="2112"/>
      <c r="G98" s="2112"/>
      <c r="H98" s="2112"/>
      <c r="I98" s="2112"/>
      <c r="J98" s="2112"/>
      <c r="K98" s="2236"/>
      <c r="L98" s="2242">
        <f t="shared" si="10"/>
        <v>2.9078328981723242E-3</v>
      </c>
      <c r="M98" s="2236"/>
      <c r="N98" s="2240"/>
      <c r="O98" s="2242">
        <f t="shared" si="11"/>
        <v>4.154046997389034E-3</v>
      </c>
      <c r="P98" t="s">
        <v>85</v>
      </c>
    </row>
    <row r="99" spans="2:16" hidden="1">
      <c r="B99" s="2221"/>
      <c r="C99" s="2112"/>
      <c r="D99" s="2112"/>
      <c r="E99" s="2112"/>
      <c r="F99" s="2112"/>
      <c r="G99" s="2112"/>
      <c r="H99" s="2112"/>
      <c r="I99" s="2112"/>
      <c r="J99" s="2112"/>
      <c r="K99" s="2112"/>
      <c r="L99" s="2112"/>
      <c r="M99" s="2112"/>
      <c r="N99" s="2112"/>
      <c r="O99" s="2113"/>
    </row>
    <row r="100" spans="2:16" ht="16.5">
      <c r="B100" s="1344" t="s">
        <v>165</v>
      </c>
      <c r="C100" s="1354"/>
      <c r="D100" s="1357"/>
      <c r="E100" s="1354"/>
      <c r="F100" s="2112"/>
      <c r="G100" s="2112"/>
      <c r="H100" s="1345"/>
      <c r="I100" s="1346"/>
      <c r="J100" s="1346"/>
      <c r="K100" s="1346"/>
      <c r="L100" s="1346"/>
      <c r="M100" s="1346"/>
      <c r="N100" s="1346"/>
      <c r="O100" s="1360"/>
    </row>
    <row r="101" spans="2:16" ht="14.25">
      <c r="B101" s="1344"/>
      <c r="C101" s="1348" t="s">
        <v>166</v>
      </c>
      <c r="D101" s="1357"/>
      <c r="E101" s="1354"/>
      <c r="F101" s="2112"/>
      <c r="G101" s="2112"/>
      <c r="H101" s="1345"/>
      <c r="I101" s="1346"/>
      <c r="J101" s="1345" t="s">
        <v>140</v>
      </c>
      <c r="K101" s="1346"/>
      <c r="L101" s="1345" t="s">
        <v>140</v>
      </c>
      <c r="M101" s="1346"/>
      <c r="N101" s="1346"/>
      <c r="O101" s="1347" t="s">
        <v>140</v>
      </c>
    </row>
    <row r="102" spans="2:16">
      <c r="B102" s="2111"/>
      <c r="C102" s="1357"/>
      <c r="D102" s="1357" t="s">
        <v>147</v>
      </c>
      <c r="E102" s="1354"/>
      <c r="F102" s="2207" t="s">
        <v>142</v>
      </c>
      <c r="G102" s="1354"/>
      <c r="H102" s="1351" t="s">
        <v>143</v>
      </c>
      <c r="I102" s="1351" t="s">
        <v>144</v>
      </c>
      <c r="J102" s="1351" t="s">
        <v>145</v>
      </c>
      <c r="K102" s="1352" t="s">
        <v>146</v>
      </c>
      <c r="L102" s="1353" t="s">
        <v>71</v>
      </c>
      <c r="M102" s="1354"/>
      <c r="N102" s="1352" t="s">
        <v>146</v>
      </c>
      <c r="O102" s="1355" t="s">
        <v>71</v>
      </c>
    </row>
    <row r="103" spans="2:16">
      <c r="B103" s="2111"/>
      <c r="C103" s="1357"/>
      <c r="D103" s="1357"/>
      <c r="E103" s="1357" t="s">
        <v>456</v>
      </c>
      <c r="F103" s="2208">
        <f t="shared" ref="F103:F111" si="12">F10</f>
        <v>0.71801566579634468</v>
      </c>
      <c r="G103" s="1354"/>
      <c r="H103" s="2208">
        <f>IF(OR($F$20=$R$6,$F$20=$U$6),CO2データ!I67,IF($F$20=$S$6,CO2データ!L67,CO2データ!O67))</f>
        <v>15.990999999999998</v>
      </c>
      <c r="I103" s="2208">
        <f>IF(OR($F$20=$R$6,$F$20=$U$6),CO2データ!J67,IF($F$20=$S$6,CO2データ!M67,CO2データ!P67))</f>
        <v>15.990999999999998</v>
      </c>
      <c r="J103" s="2208">
        <f>IF(OR($F$20=$R$6,$F$20=$U$6),CO2データ!K67,IF($F$20=$S$6,CO2データ!N67,CO2データ!Q67))</f>
        <v>15.990999999999998</v>
      </c>
      <c r="K103" s="2192">
        <f>スコア表示!M80</f>
        <v>3</v>
      </c>
      <c r="L103" s="2210">
        <f t="shared" ref="L103:L111" si="13">IF(K103&gt;=5,$J103,IF(K103&gt;=4,$I103,$H103))</f>
        <v>15.990999999999998</v>
      </c>
      <c r="M103" s="1354"/>
      <c r="N103" s="2192">
        <v>3</v>
      </c>
      <c r="O103" s="2211">
        <f>IF(OR($F$20=$R$6,$F$20=$U$6),CO2データ!I65,IF($F$20=$S$6,CO2データ!L65,CO2データ!O65))</f>
        <v>15.990999999999998</v>
      </c>
    </row>
    <row r="104" spans="2:16">
      <c r="B104" s="2111"/>
      <c r="C104" s="1354"/>
      <c r="D104" s="1357"/>
      <c r="E104" s="1357" t="s">
        <v>458</v>
      </c>
      <c r="F104" s="2208">
        <f t="shared" si="12"/>
        <v>0</v>
      </c>
      <c r="G104" s="1354"/>
      <c r="H104" s="2208">
        <f>IF(OR($F$20=$R$6,$F$20=$U$6),CO2データ!I70,IF($F$20=$S$6,CO2データ!L70,CO2データ!O70))</f>
        <v>11.802</v>
      </c>
      <c r="I104" s="2208">
        <f>IF(OR($F$20=$R$6,$F$20=$U$6),CO2データ!J70,IF($F$20=$S$6,CO2データ!M70,CO2データ!P70))</f>
        <v>11.802</v>
      </c>
      <c r="J104" s="2208">
        <f>IF(OR($F$20=$R$6,$F$20=$U$6),CO2データ!K70,IF($F$20=$S$6,CO2データ!N70,CO2データ!Q70))</f>
        <v>11.802</v>
      </c>
      <c r="K104" s="2192">
        <f t="shared" ref="K104:K111" si="14">K$103</f>
        <v>3</v>
      </c>
      <c r="L104" s="2210">
        <f t="shared" si="13"/>
        <v>11.802</v>
      </c>
      <c r="M104" s="1354"/>
      <c r="N104" s="2192">
        <v>3</v>
      </c>
      <c r="O104" s="2211">
        <f>IF(OR($F$20=$R$6,$F$20=$U$6),CO2データ!I68,IF($F$20=$S$6,CO2データ!L68,CO2データ!O68))</f>
        <v>11.802</v>
      </c>
    </row>
    <row r="105" spans="2:16">
      <c r="B105" s="2111"/>
      <c r="C105" s="1354"/>
      <c r="D105" s="2112"/>
      <c r="E105" s="1357" t="s">
        <v>460</v>
      </c>
      <c r="F105" s="2208">
        <f t="shared" si="12"/>
        <v>0</v>
      </c>
      <c r="G105" s="1354"/>
      <c r="H105" s="2208">
        <f>IF(OR($F$20=$R$6,$F$20=$U$6),CO2データ!I73,IF($F$20=$S$6,CO2データ!L73,CO2データ!O73))</f>
        <v>6.88</v>
      </c>
      <c r="I105" s="2208">
        <f>IF(OR($F$20=$R$6,$F$20=$U$6),CO2データ!J73,IF($F$20=$S$6,CO2データ!M73,CO2データ!P73))</f>
        <v>6.88</v>
      </c>
      <c r="J105" s="2208">
        <f>IF(OR($F$20=$R$6,$F$20=$U$6),CO2データ!K73,IF($F$20=$S$6,CO2データ!N73,CO2データ!Q73))</f>
        <v>6.88</v>
      </c>
      <c r="K105" s="2192">
        <f t="shared" si="14"/>
        <v>3</v>
      </c>
      <c r="L105" s="2210">
        <f t="shared" si="13"/>
        <v>6.88</v>
      </c>
      <c r="M105" s="1354"/>
      <c r="N105" s="2192">
        <v>3</v>
      </c>
      <c r="O105" s="2211">
        <f>IF(OR($F$20=$R$6,$F$20=$U$6),CO2データ!I71,IF($F$20=$S$6,CO2データ!L71,CO2データ!O71))</f>
        <v>6.88</v>
      </c>
    </row>
    <row r="106" spans="2:16">
      <c r="B106" s="2111"/>
      <c r="C106" s="1354"/>
      <c r="D106" s="1357"/>
      <c r="E106" s="1357" t="s">
        <v>462</v>
      </c>
      <c r="F106" s="2208">
        <f t="shared" si="12"/>
        <v>0</v>
      </c>
      <c r="G106" s="1354"/>
      <c r="H106" s="2208">
        <f>IF(OR($F$20=$R$6,$F$20=$U$6),CO2データ!I76,IF($F$20=$S$6,CO2データ!L76,CO2データ!O76))</f>
        <v>6.88</v>
      </c>
      <c r="I106" s="2208">
        <f>IF(OR($F$20=$R$6,$F$20=$U$6),CO2データ!J76,IF($F$20=$S$6,CO2データ!M76,CO2データ!P76))</f>
        <v>6.88</v>
      </c>
      <c r="J106" s="2208">
        <f>IF(OR($F$20=$R$6,$F$20=$U$6),CO2データ!K76,IF($F$20=$S$6,CO2データ!N76,CO2データ!Q76))</f>
        <v>6.88</v>
      </c>
      <c r="K106" s="2192">
        <f t="shared" si="14"/>
        <v>3</v>
      </c>
      <c r="L106" s="2210">
        <f t="shared" si="13"/>
        <v>6.88</v>
      </c>
      <c r="M106" s="1354"/>
      <c r="N106" s="2192">
        <v>3</v>
      </c>
      <c r="O106" s="2211">
        <f>IF(OR($F$20=$R$6,$F$20=$U$6),CO2データ!I74,IF($F$20=$S$6,CO2データ!L74,CO2データ!O74))</f>
        <v>6.88</v>
      </c>
    </row>
    <row r="107" spans="2:16">
      <c r="B107" s="2111"/>
      <c r="C107" s="2112"/>
      <c r="D107" s="2112"/>
      <c r="E107" s="151" t="s">
        <v>766</v>
      </c>
      <c r="F107" s="2208">
        <f t="shared" si="12"/>
        <v>0</v>
      </c>
      <c r="G107" s="1354"/>
      <c r="H107" s="2208">
        <f>IF(OR($F$20=$R$6,$F$20=$U$6),CO2データ!I79,IF($F$20=$S$6,CO2データ!L79,CO2データ!O79))</f>
        <v>12.809999999999999</v>
      </c>
      <c r="I107" s="2208">
        <f>IF(OR($F$20=$R$6,$F$20=$U$6),CO2データ!J79,IF($F$20=$S$6,CO2データ!M79,CO2データ!P79))</f>
        <v>12.809999999999999</v>
      </c>
      <c r="J107" s="2208">
        <f>IF(OR($F$20=$R$6,$F$20=$U$6),CO2データ!K79,IF($F$20=$S$6,CO2データ!N79,CO2データ!Q79))</f>
        <v>12.809999999999999</v>
      </c>
      <c r="K107" s="2192">
        <f t="shared" si="14"/>
        <v>3</v>
      </c>
      <c r="L107" s="2210">
        <f t="shared" si="13"/>
        <v>12.809999999999999</v>
      </c>
      <c r="M107" s="1354"/>
      <c r="N107" s="2192">
        <v>3</v>
      </c>
      <c r="O107" s="2211">
        <f>IF(OR($F$20=$R$6,$F$20=$U$6),CO2データ!I77,IF($F$20=$S$6,CO2データ!L77,CO2データ!O77))</f>
        <v>12.809999999999999</v>
      </c>
    </row>
    <row r="108" spans="2:16">
      <c r="B108" s="2111"/>
      <c r="C108" s="2112"/>
      <c r="D108" s="2112"/>
      <c r="E108" s="151" t="s">
        <v>472</v>
      </c>
      <c r="F108" s="2208">
        <f t="shared" si="12"/>
        <v>0.26109660574412535</v>
      </c>
      <c r="G108" s="1354"/>
      <c r="H108" s="2208">
        <f>IF(OR($F$20=$R$6,$F$20=$U$6),CO2データ!I82,IF($F$20=$S$6,CO2データ!L82,CO2データ!O82))</f>
        <v>8.6499999999999986</v>
      </c>
      <c r="I108" s="2208">
        <f>IF(OR($F$20=$R$6,$F$20=$U$6),CO2データ!J82,IF($F$20=$S$6,CO2データ!M82,CO2データ!P82))</f>
        <v>8.6499999999999986</v>
      </c>
      <c r="J108" s="2208">
        <f>IF(OR($F$20=$R$6,$F$20=$U$6),CO2データ!K82,IF($F$20=$S$6,CO2データ!N82,CO2データ!Q82))</f>
        <v>8.6499999999999986</v>
      </c>
      <c r="K108" s="2192">
        <f t="shared" si="14"/>
        <v>3</v>
      </c>
      <c r="L108" s="2210">
        <f t="shared" si="13"/>
        <v>8.6499999999999986</v>
      </c>
      <c r="M108" s="1354"/>
      <c r="N108" s="2192">
        <v>3</v>
      </c>
      <c r="O108" s="2211">
        <f>IF(OR($F$20=$R$6,$F$20=$U$6),CO2データ!I80,IF($F$20=$S$6,CO2データ!L80,CO2データ!O80))</f>
        <v>8.6499999999999986</v>
      </c>
    </row>
    <row r="109" spans="2:16">
      <c r="B109" s="2111"/>
      <c r="C109" s="2112"/>
      <c r="D109" s="2112"/>
      <c r="E109" s="151" t="s">
        <v>466</v>
      </c>
      <c r="F109" s="2208">
        <f t="shared" si="12"/>
        <v>0</v>
      </c>
      <c r="G109" s="1354"/>
      <c r="H109" s="2208">
        <f>IF(OR($F$20=$R$6,$F$20=$U$6),CO2データ!I85,IF($F$20=$S$6,CO2データ!L85,CO2データ!O85))</f>
        <v>15.425999999999998</v>
      </c>
      <c r="I109" s="2208">
        <f>IF(OR($F$20=$R$6,$F$20=$U$6),CO2データ!J85,IF($F$20=$S$6,CO2データ!M85,CO2データ!P85))</f>
        <v>15.425999999999998</v>
      </c>
      <c r="J109" s="2208">
        <f>IF(OR($F$20=$R$6,$F$20=$U$6),CO2データ!K85,IF($F$20=$S$6,CO2データ!N85,CO2データ!Q85))</f>
        <v>15.425999999999998</v>
      </c>
      <c r="K109" s="2192">
        <f t="shared" si="14"/>
        <v>3</v>
      </c>
      <c r="L109" s="2210">
        <f t="shared" si="13"/>
        <v>15.425999999999998</v>
      </c>
      <c r="M109" s="1354"/>
      <c r="N109" s="2192">
        <v>3</v>
      </c>
      <c r="O109" s="2211">
        <f>IF(OR($F$20=$R$6,$F$20=$U$6),CO2データ!I83,IF($F$20=$S$6,CO2データ!L83,CO2データ!O83))</f>
        <v>15.425999999999998</v>
      </c>
    </row>
    <row r="110" spans="2:16">
      <c r="B110" s="2111"/>
      <c r="C110" s="2112"/>
      <c r="D110" s="2112"/>
      <c r="E110" s="151" t="s">
        <v>767</v>
      </c>
      <c r="F110" s="2208">
        <f t="shared" si="12"/>
        <v>0</v>
      </c>
      <c r="G110" s="1354"/>
      <c r="H110" s="2208">
        <f>IF(OR($F$20=$R$6,$F$20=$U$6),CO2データ!I88,IF($F$20=$S$6,CO2データ!L88,CO2データ!O88))</f>
        <v>13.297999999999998</v>
      </c>
      <c r="I110" s="2208">
        <f>IF(OR($F$20=$R$6,$F$20=$U$6),CO2データ!J88,IF($F$20=$S$6,CO2データ!M88,CO2データ!P88))</f>
        <v>13.297999999999998</v>
      </c>
      <c r="J110" s="2208">
        <f>IF(OR($F$20=$R$6,$F$20=$U$6),CO2データ!K88,IF($F$20=$S$6,CO2データ!N88,CO2データ!Q88))</f>
        <v>13.297999999999998</v>
      </c>
      <c r="K110" s="2192">
        <f t="shared" si="14"/>
        <v>3</v>
      </c>
      <c r="L110" s="2210">
        <f t="shared" si="13"/>
        <v>13.297999999999998</v>
      </c>
      <c r="M110" s="1354"/>
      <c r="N110" s="2192">
        <v>3</v>
      </c>
      <c r="O110" s="2211">
        <f>IF(OR($F$20=$R$6,$F$20=$U$6),CO2データ!I86,IF($F$20=$S$6,CO2データ!L86,CO2データ!O86))</f>
        <v>13.297999999999998</v>
      </c>
    </row>
    <row r="111" spans="2:16">
      <c r="B111" s="2111"/>
      <c r="C111" s="2112"/>
      <c r="D111" s="2112"/>
      <c r="E111" s="151" t="s">
        <v>470</v>
      </c>
      <c r="F111" s="2208">
        <f t="shared" si="12"/>
        <v>2.0887728459530026E-2</v>
      </c>
      <c r="G111" s="1354"/>
      <c r="H111" s="2208">
        <f>IF(OR($F$20=$R$6,$F$20=$U$6),CO2データ!I91,IF($F$20=$S$6,CO2データ!L91,CO2データ!O91))</f>
        <v>8.0190000000000001</v>
      </c>
      <c r="I111" s="2208">
        <f>IF(OR($F$20=$R$6,$F$20=$U$6),CO2データ!J91,IF($F$20=$S$6,CO2データ!M91,CO2データ!P91))</f>
        <v>9.7210000000000001</v>
      </c>
      <c r="J111" s="2208">
        <f>IF(OR($F$20=$R$6,$F$20=$U$6),CO2データ!K91,IF($F$20=$S$6,CO2データ!N91,CO2データ!Q91))</f>
        <v>10.979000000000001</v>
      </c>
      <c r="K111" s="2192">
        <f t="shared" si="14"/>
        <v>3</v>
      </c>
      <c r="L111" s="2210">
        <f t="shared" si="13"/>
        <v>8.0190000000000001</v>
      </c>
      <c r="M111" s="1354"/>
      <c r="N111" s="2192">
        <v>3</v>
      </c>
      <c r="O111" s="2211">
        <f>IF(OR($F$20=$R$6,$F$20=$U$6),CO2データ!I89,IF($F$20=$S$6,CO2データ!L89,CO2データ!O89))</f>
        <v>8.0190000000000001</v>
      </c>
    </row>
    <row r="112" spans="2:16" ht="14.25" thickBot="1">
      <c r="B112" s="2111"/>
      <c r="C112" s="2112"/>
      <c r="D112" s="2112"/>
      <c r="E112" s="2112"/>
      <c r="F112" s="2112"/>
      <c r="G112" s="2112"/>
      <c r="H112" s="2112"/>
      <c r="I112" s="2112"/>
      <c r="J112" s="2112"/>
      <c r="K112" s="2112"/>
      <c r="L112" s="2112"/>
      <c r="M112" s="2112"/>
      <c r="N112" s="2112"/>
      <c r="O112" s="2113"/>
    </row>
    <row r="113" spans="2:18" ht="14.25" thickBot="1">
      <c r="B113" s="2221"/>
      <c r="C113" s="1348" t="s">
        <v>167</v>
      </c>
      <c r="D113" s="1357"/>
      <c r="E113" s="151"/>
      <c r="F113" s="2112"/>
      <c r="G113" s="2112"/>
      <c r="H113" s="2112"/>
      <c r="I113" s="2112"/>
      <c r="J113" s="2112"/>
      <c r="K113" s="2112"/>
      <c r="L113" s="2224">
        <f>SUMPRODUCT(F103:F111,L103:L111)</f>
        <v>13.907772845953003</v>
      </c>
      <c r="M113" s="2112"/>
      <c r="N113" s="2112"/>
      <c r="O113" s="2224">
        <f>SUMPRODUCT(F103:F111,O103:O111)</f>
        <v>13.907772845953003</v>
      </c>
    </row>
    <row r="114" spans="2:18">
      <c r="B114" s="2111"/>
      <c r="C114" s="2112"/>
      <c r="D114" s="2112"/>
      <c r="E114" s="2112"/>
      <c r="F114" s="2112"/>
      <c r="G114" s="2112"/>
      <c r="H114" s="2112"/>
      <c r="I114" s="2112"/>
      <c r="J114" s="2112"/>
      <c r="K114" s="2112"/>
      <c r="L114" s="2112"/>
      <c r="M114" s="2112"/>
      <c r="N114" s="2112"/>
      <c r="O114" s="2113"/>
    </row>
    <row r="115" spans="2:18" ht="17.25" thickBot="1">
      <c r="B115" s="1344" t="s">
        <v>168</v>
      </c>
      <c r="C115" s="2112"/>
      <c r="D115" s="2112"/>
      <c r="E115" s="2112"/>
      <c r="F115" s="2112"/>
      <c r="G115" s="2112"/>
      <c r="H115" s="2112"/>
      <c r="I115" s="2112"/>
      <c r="J115" s="2112"/>
      <c r="K115" s="2112"/>
      <c r="L115" s="1345" t="s">
        <v>140</v>
      </c>
      <c r="M115" s="1354"/>
      <c r="N115" s="1354"/>
      <c r="O115" s="1347" t="s">
        <v>140</v>
      </c>
      <c r="R115" t="s">
        <v>1652</v>
      </c>
    </row>
    <row r="116" spans="2:18" ht="14.25" thickBot="1">
      <c r="B116" s="1344"/>
      <c r="C116" s="1348" t="s">
        <v>1032</v>
      </c>
      <c r="D116" s="2112"/>
      <c r="E116" s="2112"/>
      <c r="F116" s="2112" t="s">
        <v>1211</v>
      </c>
      <c r="G116" s="2112"/>
      <c r="H116" s="2112" t="s">
        <v>1653</v>
      </c>
      <c r="I116" s="2112"/>
      <c r="J116" s="2112" t="s">
        <v>1113</v>
      </c>
      <c r="K116" s="2112"/>
      <c r="L116" s="1888" t="e">
        <f>SUM(L118:L121)</f>
        <v>#VALUE!</v>
      </c>
      <c r="M116" s="1354"/>
      <c r="N116" s="1889" t="s">
        <v>1033</v>
      </c>
      <c r="O116" s="1888" t="e">
        <f>SUM(O118:O121)</f>
        <v>#VALUE!</v>
      </c>
    </row>
    <row r="117" spans="2:18">
      <c r="B117" s="1344"/>
      <c r="C117" s="1348"/>
      <c r="D117" s="2112"/>
      <c r="E117" s="2112"/>
      <c r="F117" s="2243" t="s">
        <v>1598</v>
      </c>
      <c r="G117" s="2112"/>
      <c r="H117" s="1341" t="s">
        <v>1307</v>
      </c>
      <c r="I117" s="1341" t="s">
        <v>1308</v>
      </c>
      <c r="J117" s="1357" t="s">
        <v>1654</v>
      </c>
      <c r="K117" s="2112"/>
      <c r="L117" s="1894"/>
      <c r="M117" s="1354"/>
      <c r="N117" s="1889"/>
      <c r="O117" s="2189"/>
    </row>
    <row r="118" spans="2:18">
      <c r="B118" s="1344"/>
      <c r="C118" s="1348"/>
      <c r="D118" s="2112"/>
      <c r="E118" s="2112" t="s">
        <v>1280</v>
      </c>
      <c r="F118" s="2244">
        <f>省エネ_対象外!I52</f>
        <v>15000</v>
      </c>
      <c r="G118" s="2112"/>
      <c r="H118" s="2244" t="e">
        <f>省エネ_対象外!Q97+H125</f>
        <v>#VALUE!</v>
      </c>
      <c r="I118" s="2278"/>
      <c r="J118" s="2120" t="e">
        <f>省エネ_対象外!L117</f>
        <v>#VALUE!</v>
      </c>
      <c r="K118" s="2112"/>
      <c r="L118" s="1894"/>
      <c r="M118" s="1354"/>
      <c r="N118" s="1889"/>
      <c r="O118" s="2246" t="e">
        <f>IF(F118=0,0,H118*J118/F118*1000)</f>
        <v>#VALUE!</v>
      </c>
    </row>
    <row r="119" spans="2:18">
      <c r="B119" s="1344"/>
      <c r="C119" s="1348"/>
      <c r="D119" s="2112"/>
      <c r="E119" s="2112"/>
      <c r="F119" s="2112"/>
      <c r="G119" s="2112"/>
      <c r="H119" s="2112"/>
      <c r="I119" s="2244">
        <f>I125+H125</f>
        <v>0</v>
      </c>
      <c r="J119" s="2112"/>
      <c r="K119" s="2112"/>
      <c r="L119" s="2245" t="e">
        <f>IF(F118=0,0,L125+(H125*J118)/F118*1000)</f>
        <v>#VALUE!</v>
      </c>
      <c r="M119" s="1354"/>
      <c r="N119" s="1889"/>
      <c r="O119" s="2279"/>
    </row>
    <row r="120" spans="2:18">
      <c r="B120" s="1344"/>
      <c r="C120" s="1348"/>
      <c r="D120" s="2112"/>
      <c r="E120" s="2112" t="s">
        <v>1310</v>
      </c>
      <c r="F120" s="2244">
        <f>省エネ_対象外!N52</f>
        <v>300</v>
      </c>
      <c r="G120" s="2112"/>
      <c r="H120" s="2244">
        <f>省エネ_対象外!Q131</f>
        <v>0</v>
      </c>
      <c r="I120" s="2244" t="str">
        <f>省エネ_対象外!N131</f>
        <v>-</v>
      </c>
      <c r="J120" s="2120" t="e">
        <f>CO2データ!R168</f>
        <v>#VALUE!</v>
      </c>
      <c r="K120" s="2112"/>
      <c r="L120" s="2245" t="e">
        <f>IF(F120=0,0,I120*J120/F120*1000)</f>
        <v>#VALUE!</v>
      </c>
      <c r="M120" s="1354"/>
      <c r="N120" s="1889"/>
      <c r="O120" s="2246" t="e">
        <f>IF(F120=0,0,H120*J120/F120*1000)</f>
        <v>#VALUE!</v>
      </c>
    </row>
    <row r="121" spans="2:18">
      <c r="B121" s="1344"/>
      <c r="C121" s="1348"/>
      <c r="D121" s="2112"/>
      <c r="E121" s="2112" t="s">
        <v>1311</v>
      </c>
      <c r="F121" s="2244">
        <f>省エネ_対象外!M52</f>
        <v>20</v>
      </c>
      <c r="G121" s="2112"/>
      <c r="H121" s="2244">
        <f>省エネ_対象外!Q135</f>
        <v>0</v>
      </c>
      <c r="I121" s="2244" t="str">
        <f>省エネ_対象外!N135</f>
        <v>-</v>
      </c>
      <c r="J121" s="2120" t="e">
        <f>CO2データ!R169</f>
        <v>#VALUE!</v>
      </c>
      <c r="K121" s="2112"/>
      <c r="L121" s="2245" t="e">
        <f>IF(F121=0,0,I121*J121/F121*1000)</f>
        <v>#VALUE!</v>
      </c>
      <c r="M121" s="1354"/>
      <c r="N121" s="1889"/>
      <c r="O121" s="2246" t="e">
        <f>IF(F121=0,0,H121*J121/F121*1000)</f>
        <v>#VALUE!</v>
      </c>
    </row>
    <row r="122" spans="2:18" ht="14.25" thickBot="1">
      <c r="B122" s="1344"/>
      <c r="C122" s="2112"/>
      <c r="D122" s="2112"/>
      <c r="E122" s="2112"/>
      <c r="F122" s="2112"/>
      <c r="G122" s="2112"/>
      <c r="H122" s="2112"/>
      <c r="I122" s="2112"/>
      <c r="J122" s="2112"/>
      <c r="K122" s="2112"/>
      <c r="L122" s="1345"/>
      <c r="M122" s="1354"/>
      <c r="N122" s="1354"/>
      <c r="O122" s="1347"/>
    </row>
    <row r="123" spans="2:18" ht="14.25" thickBot="1">
      <c r="B123" s="2111"/>
      <c r="C123" s="1348" t="s">
        <v>1034</v>
      </c>
      <c r="D123" s="2112"/>
      <c r="E123" s="2112"/>
      <c r="F123" s="2112" t="s">
        <v>1211</v>
      </c>
      <c r="G123" s="2112"/>
      <c r="H123" s="2112" t="s">
        <v>1653</v>
      </c>
      <c r="I123" s="2112"/>
      <c r="J123" s="2112" t="s">
        <v>1113</v>
      </c>
      <c r="K123" s="2112"/>
      <c r="L123" s="1888" t="e">
        <f>SUM(L125:L127)</f>
        <v>#VALUE!</v>
      </c>
      <c r="M123" s="2112"/>
      <c r="N123" s="2112"/>
      <c r="O123" s="2113"/>
    </row>
    <row r="124" spans="2:18">
      <c r="B124" s="2111"/>
      <c r="C124" s="1348"/>
      <c r="D124" s="2112"/>
      <c r="E124" s="2112"/>
      <c r="F124" s="2118" t="s">
        <v>1598</v>
      </c>
      <c r="G124" s="2112"/>
      <c r="H124" s="2247" t="s">
        <v>1312</v>
      </c>
      <c r="I124" s="1341" t="s">
        <v>1313</v>
      </c>
      <c r="J124" s="1357" t="s">
        <v>1654</v>
      </c>
      <c r="K124" s="2112"/>
      <c r="L124" s="2112"/>
      <c r="M124" s="2112"/>
      <c r="N124" s="2112"/>
      <c r="O124" s="2113"/>
    </row>
    <row r="125" spans="2:18">
      <c r="B125" s="2111"/>
      <c r="C125" s="1348"/>
      <c r="D125" s="2112"/>
      <c r="E125" s="2112" t="s">
        <v>1280</v>
      </c>
      <c r="F125" s="2244">
        <f>F118</f>
        <v>15000</v>
      </c>
      <c r="G125" s="2112"/>
      <c r="H125" s="2244">
        <f>省エネ_対象外!I66</f>
        <v>0</v>
      </c>
      <c r="I125" s="2244">
        <f>省エネ_対象外!N97</f>
        <v>0</v>
      </c>
      <c r="J125" s="2120" t="e">
        <f>CO2データ!R170</f>
        <v>#VALUE!</v>
      </c>
      <c r="K125" s="2112"/>
      <c r="L125" s="2245" t="e">
        <f>IF(F125=0,0,I125*J125/F125*1000)</f>
        <v>#VALUE!</v>
      </c>
      <c r="M125" s="2112"/>
      <c r="N125" s="2112"/>
      <c r="O125" s="2113"/>
    </row>
    <row r="126" spans="2:18">
      <c r="B126" s="2111"/>
      <c r="C126" s="1348"/>
      <c r="D126" s="2112"/>
      <c r="E126" s="2112" t="s">
        <v>1310</v>
      </c>
      <c r="F126" s="2244">
        <f>F120</f>
        <v>300</v>
      </c>
      <c r="G126" s="2112"/>
      <c r="H126" s="2244">
        <f>省エネ_対象外!N66</f>
        <v>0</v>
      </c>
      <c r="I126" s="2244" t="e">
        <f>I120-H126</f>
        <v>#VALUE!</v>
      </c>
      <c r="J126" s="2120" t="e">
        <f>J120</f>
        <v>#VALUE!</v>
      </c>
      <c r="K126" s="2112"/>
      <c r="L126" s="2245" t="e">
        <f>IF(F126=0,0,I126*J126/F126*1000)</f>
        <v>#VALUE!</v>
      </c>
      <c r="M126" s="2112"/>
      <c r="N126" s="2112"/>
      <c r="O126" s="2113"/>
    </row>
    <row r="127" spans="2:18">
      <c r="B127" s="2111"/>
      <c r="C127" s="1348"/>
      <c r="D127" s="2112"/>
      <c r="E127" s="2112" t="s">
        <v>1311</v>
      </c>
      <c r="F127" s="2244">
        <f>F121</f>
        <v>20</v>
      </c>
      <c r="G127" s="2112"/>
      <c r="H127" s="2244">
        <f>省エネ_対象外!M66</f>
        <v>0</v>
      </c>
      <c r="I127" s="2244" t="e">
        <f>I121-H127</f>
        <v>#VALUE!</v>
      </c>
      <c r="J127" s="2120" t="e">
        <f>J121</f>
        <v>#VALUE!</v>
      </c>
      <c r="K127" s="2112"/>
      <c r="L127" s="2245" t="e">
        <f>IF(F127=0,0,I127*J127/F127*1000)</f>
        <v>#VALUE!</v>
      </c>
      <c r="M127" s="2112"/>
      <c r="N127" s="2112"/>
      <c r="O127" s="2113"/>
    </row>
    <row r="128" spans="2:18">
      <c r="B128" s="2111"/>
      <c r="C128" s="1348"/>
      <c r="D128" s="2112"/>
      <c r="E128" s="2112"/>
      <c r="F128" s="2112"/>
      <c r="G128" s="2112"/>
      <c r="H128" s="2112"/>
      <c r="I128" s="2112"/>
      <c r="J128" s="2112"/>
      <c r="K128" s="2112"/>
      <c r="L128" s="2112"/>
      <c r="M128" s="2112"/>
      <c r="N128" s="2112"/>
      <c r="O128" s="2113"/>
    </row>
    <row r="129" spans="2:15" hidden="1">
      <c r="B129" s="2111"/>
      <c r="C129" s="1348"/>
      <c r="D129" s="2112"/>
      <c r="E129" s="2112"/>
      <c r="F129" s="2112" t="s">
        <v>1036</v>
      </c>
      <c r="G129" s="2112"/>
      <c r="H129" s="2244"/>
      <c r="I129" s="2120"/>
      <c r="J129" s="2167"/>
      <c r="K129" s="2112"/>
      <c r="L129" s="2112"/>
      <c r="M129" s="2112"/>
      <c r="N129" s="2112"/>
      <c r="O129" s="2113"/>
    </row>
    <row r="130" spans="2:15" hidden="1">
      <c r="B130" s="2111"/>
      <c r="C130" s="1348"/>
      <c r="D130" s="2112"/>
      <c r="E130" s="2112"/>
      <c r="F130" s="2112"/>
      <c r="G130" s="2112"/>
      <c r="H130" s="1354"/>
      <c r="I130" s="2112"/>
      <c r="J130" s="2112"/>
      <c r="K130" s="2112"/>
      <c r="L130" s="2202"/>
      <c r="M130" s="2112"/>
      <c r="N130" s="2112"/>
      <c r="O130" s="2113"/>
    </row>
    <row r="131" spans="2:15" ht="16.5">
      <c r="B131" s="1344" t="s">
        <v>169</v>
      </c>
      <c r="C131" s="1354"/>
      <c r="D131" s="1357"/>
      <c r="E131" s="1354"/>
      <c r="F131" s="1346"/>
      <c r="G131" s="1354"/>
      <c r="H131" s="1354"/>
      <c r="I131" s="1354"/>
      <c r="J131" s="1354"/>
      <c r="K131" s="2248"/>
      <c r="L131" s="1345" t="s">
        <v>140</v>
      </c>
      <c r="M131" s="1354"/>
      <c r="N131" s="1354"/>
      <c r="O131" s="1347" t="s">
        <v>140</v>
      </c>
    </row>
    <row r="132" spans="2:15">
      <c r="B132" s="2160"/>
      <c r="C132" s="1354"/>
      <c r="D132" s="1357"/>
      <c r="E132" s="1354"/>
      <c r="F132" s="1346"/>
      <c r="G132" s="1354"/>
      <c r="H132" s="1354"/>
      <c r="I132" s="1354"/>
      <c r="J132" s="1354"/>
      <c r="K132" s="2248"/>
      <c r="L132" s="1353" t="s">
        <v>71</v>
      </c>
      <c r="M132" s="1354"/>
      <c r="N132" s="1361"/>
      <c r="O132" s="1355" t="s">
        <v>71</v>
      </c>
    </row>
    <row r="133" spans="2:15">
      <c r="B133" s="2160"/>
      <c r="C133" s="1362" t="s">
        <v>916</v>
      </c>
      <c r="D133" s="1363"/>
      <c r="E133" s="1363"/>
      <c r="F133" s="1364"/>
      <c r="G133" s="1354"/>
      <c r="H133" s="1354"/>
      <c r="I133" s="1354"/>
      <c r="J133" s="1354"/>
      <c r="K133" s="2248"/>
      <c r="L133" s="1365">
        <f>L24</f>
        <v>13.071952219321147</v>
      </c>
      <c r="M133" s="1354"/>
      <c r="N133" s="1354"/>
      <c r="O133" s="1366">
        <f>O24</f>
        <v>15.490086161879896</v>
      </c>
    </row>
    <row r="134" spans="2:15">
      <c r="B134" s="2160"/>
      <c r="C134" s="1362" t="s">
        <v>170</v>
      </c>
      <c r="D134" s="1363"/>
      <c r="E134" s="1363"/>
      <c r="F134" s="1364"/>
      <c r="G134" s="1354"/>
      <c r="H134" s="1354"/>
      <c r="I134" s="1354"/>
      <c r="J134" s="1354"/>
      <c r="K134" s="2248"/>
      <c r="L134" s="1365">
        <f>L113</f>
        <v>13.907772845953003</v>
      </c>
      <c r="M134" s="1354"/>
      <c r="N134" s="1354"/>
      <c r="O134" s="1366">
        <f>O113</f>
        <v>13.907772845953003</v>
      </c>
    </row>
    <row r="135" spans="2:15">
      <c r="B135" s="2160"/>
      <c r="C135" s="1362" t="s">
        <v>918</v>
      </c>
      <c r="D135" s="1363"/>
      <c r="E135" s="1363"/>
      <c r="F135" s="1364"/>
      <c r="G135" s="1354"/>
      <c r="H135" s="1354"/>
      <c r="I135" s="1354"/>
      <c r="J135" s="1354"/>
      <c r="K135" s="2248"/>
      <c r="L135" s="1367" t="e">
        <f>L123</f>
        <v>#VALUE!</v>
      </c>
      <c r="M135" s="1354"/>
      <c r="N135" s="1354"/>
      <c r="O135" s="2249" t="e">
        <f>O116</f>
        <v>#VALUE!</v>
      </c>
    </row>
    <row r="136" spans="2:15">
      <c r="B136" s="2160"/>
      <c r="C136" s="2288" t="s">
        <v>474</v>
      </c>
      <c r="D136" s="2289"/>
      <c r="E136" s="2290"/>
      <c r="F136" s="2291"/>
      <c r="G136" s="1354"/>
      <c r="H136" s="1354"/>
      <c r="I136" s="1354"/>
      <c r="J136" s="1354"/>
      <c r="K136" s="2248"/>
      <c r="L136" s="2292" t="e">
        <f>IF(COUNTIF(L133:L135,$R$115)&gt;0,$R$115,SUM(L133:L135))</f>
        <v>#VALUE!</v>
      </c>
      <c r="M136" s="1354"/>
      <c r="N136" s="1354"/>
      <c r="O136" s="2293" t="e">
        <f>IF(COUNTIF(O133:O135,$R$115)&gt;0,$R$115,SUM(O133:O135))</f>
        <v>#VALUE!</v>
      </c>
    </row>
    <row r="137" spans="2:15">
      <c r="B137" s="2160"/>
      <c r="C137" s="2283" t="s">
        <v>171</v>
      </c>
      <c r="D137" s="1363"/>
      <c r="E137" s="1363"/>
      <c r="F137" s="1364"/>
      <c r="G137" s="1354"/>
      <c r="H137" s="1354"/>
      <c r="I137" s="1354"/>
      <c r="J137" s="1354"/>
      <c r="K137" s="2248"/>
      <c r="L137" s="1373" t="e">
        <f>IF(O136=R115,R115,L136/O136)</f>
        <v>#VALUE!</v>
      </c>
      <c r="M137" s="1354"/>
      <c r="N137" s="1354"/>
      <c r="O137" s="1374">
        <v>1</v>
      </c>
    </row>
    <row r="138" spans="2:15" ht="14.25" thickBot="1">
      <c r="B138" s="1344"/>
      <c r="C138" s="1350"/>
      <c r="D138" s="1350"/>
      <c r="E138" s="1350"/>
      <c r="F138" s="1350"/>
      <c r="G138" s="1354"/>
      <c r="H138" s="1354"/>
      <c r="I138" s="1354"/>
      <c r="J138" s="1354"/>
      <c r="K138" s="2248"/>
      <c r="L138" s="2282"/>
      <c r="M138" s="1354"/>
      <c r="N138" s="1354"/>
      <c r="O138" s="1375"/>
    </row>
    <row r="139" spans="2:15" ht="17.25" thickBot="1">
      <c r="B139" s="1344" t="s">
        <v>174</v>
      </c>
      <c r="C139" s="1350"/>
      <c r="D139" s="1350"/>
      <c r="E139" s="1350"/>
      <c r="F139" s="1350"/>
      <c r="G139" s="1350"/>
      <c r="H139" s="1350"/>
      <c r="I139" s="1350"/>
      <c r="J139" s="1350"/>
      <c r="K139" s="1376" t="s">
        <v>175</v>
      </c>
      <c r="L139" s="1891" t="e">
        <f>ROUNDDOWN(IF(L137=R115,0,IF(L137&lt;0.5,5,IF(L137&gt;1.25,1,IF(L137&gt;1,-8*L137+11,3+(1-L137)*4)))),1)</f>
        <v>#VALUE!</v>
      </c>
      <c r="M139" s="1354"/>
      <c r="N139" s="1350"/>
      <c r="O139" s="1375"/>
    </row>
    <row r="140" spans="2:15" ht="14.25" thickBot="1">
      <c r="B140" s="1377"/>
      <c r="C140" s="1378"/>
      <c r="D140" s="1378"/>
      <c r="E140" s="1378"/>
      <c r="F140" s="1378"/>
      <c r="G140" s="1378"/>
      <c r="H140" s="1378"/>
      <c r="I140" s="1378"/>
      <c r="J140" s="1378"/>
      <c r="K140" s="1378"/>
      <c r="L140" s="1378"/>
      <c r="M140" s="1378"/>
      <c r="N140" s="1378"/>
      <c r="O140" s="1379"/>
    </row>
    <row r="141" spans="2:15"/>
    <row r="142" spans="2:15"/>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sheetData>
  <sheetProtection password="82B4" sheet="1" objects="1" scenarios="1"/>
  <mergeCells count="4">
    <mergeCell ref="L2:M2"/>
    <mergeCell ref="N2:O2"/>
    <mergeCell ref="L3:M3"/>
    <mergeCell ref="B3:E3"/>
  </mergeCells>
  <phoneticPr fontId="20"/>
  <conditionalFormatting sqref="E135 E133">
    <cfRule type="cellIs" dxfId="8" priority="4" stopIfTrue="1" operator="equal">
      <formula>5</formula>
    </cfRule>
    <cfRule type="cellIs" dxfId="7" priority="5" stopIfTrue="1" operator="equal">
      <formula>4</formula>
    </cfRule>
    <cfRule type="cellIs" dxfId="6" priority="6" stopIfTrue="1" operator="equal">
      <formula>2</formula>
    </cfRule>
  </conditionalFormatting>
  <conditionalFormatting sqref="E137">
    <cfRule type="cellIs" dxfId="5" priority="1" stopIfTrue="1" operator="equal">
      <formula>5</formula>
    </cfRule>
    <cfRule type="cellIs" dxfId="4" priority="2" stopIfTrue="1" operator="equal">
      <formula>4</formula>
    </cfRule>
    <cfRule type="cellIs" dxfId="3"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&amp;L&amp;F&amp;R&amp;A</oddHeader>
    <oddFooter>&amp;C&amp;P/&amp;N</oddFooter>
  </headerFooter>
</worksheet>
</file>

<file path=xl/worksheets/sheet24.xml><?xml version="1.0" encoding="utf-8"?>
<worksheet xmlns="http://schemas.openxmlformats.org/spreadsheetml/2006/main" xmlns:r="http://schemas.openxmlformats.org/officeDocument/2006/relationships">
  <sheetPr codeName="Sheet20"/>
  <dimension ref="B1:AA302"/>
  <sheetViews>
    <sheetView showGridLines="0" zoomScaleNormal="100" workbookViewId="0">
      <selection activeCell="L14" sqref="L14"/>
    </sheetView>
  </sheetViews>
  <sheetFormatPr defaultColWidth="0" defaultRowHeight="13.5" zeroHeight="1"/>
  <cols>
    <col min="1" max="2" width="1.5" customWidth="1"/>
    <col min="3" max="3" width="3.875" customWidth="1"/>
    <col min="4" max="4" width="11" customWidth="1"/>
    <col min="5" max="5" width="12.875" customWidth="1"/>
    <col min="6" max="6" width="11.625" customWidth="1"/>
    <col min="7" max="7" width="24" hidden="1" customWidth="1"/>
    <col min="8" max="8" width="8" hidden="1" customWidth="1"/>
    <col min="9" max="18" width="10.875" customWidth="1"/>
    <col min="19" max="19" width="11" hidden="1" customWidth="1"/>
    <col min="20" max="20" width="3.375" hidden="1" customWidth="1"/>
    <col min="21" max="21" width="8.375" hidden="1" customWidth="1"/>
    <col min="22" max="26" width="12.75" hidden="1" customWidth="1"/>
  </cols>
  <sheetData>
    <row r="1" spans="2:17" ht="14.25">
      <c r="B1" s="1380" t="s">
        <v>1044</v>
      </c>
    </row>
    <row r="2" spans="2:17" ht="4.5" customHeight="1"/>
    <row r="3" spans="2:17">
      <c r="C3" s="1381" t="s">
        <v>176</v>
      </c>
      <c r="D3" s="1382"/>
      <c r="E3" s="1359"/>
      <c r="F3" s="1359"/>
      <c r="G3" s="1359"/>
      <c r="H3" s="1359"/>
      <c r="I3" s="1383" t="s">
        <v>147</v>
      </c>
      <c r="J3" s="1384"/>
      <c r="K3" s="1384"/>
      <c r="L3" s="1385"/>
      <c r="M3" s="1385"/>
      <c r="N3" s="1385"/>
      <c r="O3" s="1385"/>
      <c r="P3" s="1385"/>
      <c r="Q3" s="1386"/>
    </row>
    <row r="4" spans="2:17">
      <c r="C4" s="1387"/>
      <c r="D4" s="1388" t="s">
        <v>177</v>
      </c>
      <c r="E4" s="1387"/>
      <c r="F4" s="1387"/>
      <c r="G4" s="1387"/>
      <c r="H4" s="1387"/>
      <c r="I4" s="1389" t="s">
        <v>1075</v>
      </c>
      <c r="J4" s="1385" t="s">
        <v>264</v>
      </c>
      <c r="K4" s="1390"/>
      <c r="L4" s="1389" t="s">
        <v>421</v>
      </c>
      <c r="M4" s="1385"/>
      <c r="N4" s="1390"/>
      <c r="O4" s="1389" t="s">
        <v>422</v>
      </c>
      <c r="P4" s="1385"/>
      <c r="Q4" s="1390"/>
    </row>
    <row r="5" spans="2:17">
      <c r="C5" s="1391" t="s">
        <v>178</v>
      </c>
      <c r="D5" s="1392"/>
      <c r="E5" s="1393"/>
      <c r="F5" s="1394"/>
      <c r="G5" s="1395"/>
      <c r="H5" s="1395"/>
      <c r="I5" s="1396" t="s">
        <v>1076</v>
      </c>
      <c r="J5" s="1396" t="s">
        <v>1077</v>
      </c>
      <c r="K5" s="1396" t="s">
        <v>1078</v>
      </c>
      <c r="L5" s="1396" t="s">
        <v>1076</v>
      </c>
      <c r="M5" s="1396" t="s">
        <v>1077</v>
      </c>
      <c r="N5" s="1396" t="s">
        <v>1078</v>
      </c>
      <c r="O5" s="1396" t="s">
        <v>1076</v>
      </c>
      <c r="P5" s="1396" t="s">
        <v>1077</v>
      </c>
      <c r="Q5" s="1396" t="s">
        <v>1078</v>
      </c>
    </row>
    <row r="6" spans="2:17" hidden="1">
      <c r="C6" s="1397"/>
      <c r="D6" s="1398"/>
      <c r="E6" s="1397"/>
      <c r="F6" s="1397"/>
      <c r="G6" s="1399">
        <v>1</v>
      </c>
      <c r="H6" s="1399"/>
      <c r="I6" s="1395">
        <v>3</v>
      </c>
      <c r="J6" s="1395">
        <v>4</v>
      </c>
      <c r="K6" s="1395">
        <v>5</v>
      </c>
      <c r="L6" s="1395">
        <v>6</v>
      </c>
      <c r="M6" s="1395">
        <v>7</v>
      </c>
      <c r="N6" s="1395">
        <v>8</v>
      </c>
      <c r="O6" s="1395">
        <v>9</v>
      </c>
      <c r="P6" s="1395">
        <v>10</v>
      </c>
      <c r="Q6" s="1395">
        <v>11</v>
      </c>
    </row>
    <row r="7" spans="2:17">
      <c r="C7" s="1400" t="s">
        <v>456</v>
      </c>
      <c r="D7" s="1401"/>
      <c r="E7" s="1393"/>
      <c r="F7" s="1394"/>
      <c r="G7" s="1399">
        <v>10</v>
      </c>
      <c r="H7" s="1399"/>
      <c r="I7" s="1415">
        <v>14.004999999999999</v>
      </c>
      <c r="J7" s="1415">
        <v>14.004999999999999</v>
      </c>
      <c r="K7" s="1415">
        <v>14.004999999999999</v>
      </c>
      <c r="L7" s="1415">
        <v>13.23</v>
      </c>
      <c r="M7" s="1415">
        <v>13.23</v>
      </c>
      <c r="N7" s="1415">
        <v>13.23</v>
      </c>
      <c r="O7" s="1415">
        <v>13.998000000000001</v>
      </c>
      <c r="P7" s="1415">
        <v>13.998000000000001</v>
      </c>
      <c r="Q7" s="1415">
        <v>13.998000000000001</v>
      </c>
    </row>
    <row r="8" spans="2:17">
      <c r="C8" s="1402"/>
      <c r="D8" s="526" t="s">
        <v>155</v>
      </c>
      <c r="E8" s="526"/>
      <c r="F8" s="1403">
        <v>1</v>
      </c>
      <c r="G8" s="1399">
        <v>11</v>
      </c>
      <c r="H8" s="1399"/>
      <c r="I8" s="1416">
        <v>6.4519999999999991</v>
      </c>
      <c r="J8" s="1416">
        <v>6.4519999999999991</v>
      </c>
      <c r="K8" s="1416">
        <v>6.4519999999999991</v>
      </c>
      <c r="L8" s="1416">
        <v>6.6009999999999991</v>
      </c>
      <c r="M8" s="1416">
        <v>6.6009999999999991</v>
      </c>
      <c r="N8" s="1416">
        <v>6.6009999999999991</v>
      </c>
      <c r="O8" s="1416">
        <v>6.5150000000000006</v>
      </c>
      <c r="P8" s="1416">
        <v>6.5150000000000006</v>
      </c>
      <c r="Q8" s="1416">
        <v>6.5150000000000006</v>
      </c>
    </row>
    <row r="9" spans="2:17">
      <c r="C9" s="1402"/>
      <c r="D9" s="526" t="s">
        <v>156</v>
      </c>
      <c r="E9" s="526"/>
      <c r="F9" s="1403">
        <v>1</v>
      </c>
      <c r="G9" s="1404">
        <v>12</v>
      </c>
      <c r="H9" s="1404"/>
      <c r="I9" s="1416">
        <v>13.42</v>
      </c>
      <c r="J9" s="1416">
        <v>13.42</v>
      </c>
      <c r="K9" s="1416">
        <v>13.42</v>
      </c>
      <c r="L9" s="1416">
        <v>12.416</v>
      </c>
      <c r="M9" s="1416">
        <v>12.416</v>
      </c>
      <c r="N9" s="1416">
        <v>12.416</v>
      </c>
      <c r="O9" s="1416">
        <v>13.272</v>
      </c>
      <c r="P9" s="1416">
        <v>13.272</v>
      </c>
      <c r="Q9" s="1416">
        <v>13.272</v>
      </c>
    </row>
    <row r="10" spans="2:17" hidden="1">
      <c r="C10" s="1405"/>
      <c r="D10" s="1407" t="s">
        <v>181</v>
      </c>
      <c r="E10" s="1407"/>
      <c r="F10" s="1408"/>
      <c r="G10" s="1409">
        <v>13</v>
      </c>
      <c r="H10" s="2222">
        <f>CO2計算_後!F21</f>
        <v>0.3</v>
      </c>
      <c r="I10" s="1416">
        <f>(I7-I8)*$H10</f>
        <v>2.2658999999999998</v>
      </c>
      <c r="J10" s="1416">
        <f t="shared" ref="J10:Q10" si="0">(J7-J8)*$H10</f>
        <v>2.2658999999999998</v>
      </c>
      <c r="K10" s="1416">
        <f t="shared" si="0"/>
        <v>2.2658999999999998</v>
      </c>
      <c r="L10" s="1416">
        <f t="shared" si="0"/>
        <v>1.9887000000000004</v>
      </c>
      <c r="M10" s="1416">
        <f t="shared" si="0"/>
        <v>1.9887000000000004</v>
      </c>
      <c r="N10" s="1416">
        <f t="shared" si="0"/>
        <v>1.9887000000000004</v>
      </c>
      <c r="O10" s="1416">
        <f t="shared" si="0"/>
        <v>2.2448999999999999</v>
      </c>
      <c r="P10" s="1416">
        <f t="shared" si="0"/>
        <v>2.2448999999999999</v>
      </c>
      <c r="Q10" s="1416">
        <f t="shared" si="0"/>
        <v>2.2448999999999999</v>
      </c>
    </row>
    <row r="11" spans="2:17" hidden="1">
      <c r="C11" s="1405"/>
      <c r="D11" s="1407" t="s">
        <v>182</v>
      </c>
      <c r="E11" s="1407"/>
      <c r="F11" s="1408"/>
      <c r="G11" s="1411">
        <v>14</v>
      </c>
      <c r="H11" s="2222">
        <f>CO2計算_後!F22</f>
        <v>0</v>
      </c>
      <c r="I11" s="1416">
        <f t="shared" ref="I11:Q11" si="1">(I7-I9)*$H11</f>
        <v>0</v>
      </c>
      <c r="J11" s="1416">
        <f t="shared" si="1"/>
        <v>0</v>
      </c>
      <c r="K11" s="1416">
        <f t="shared" si="1"/>
        <v>0</v>
      </c>
      <c r="L11" s="1416">
        <f t="shared" si="1"/>
        <v>0</v>
      </c>
      <c r="M11" s="1416">
        <f t="shared" si="1"/>
        <v>0</v>
      </c>
      <c r="N11" s="1416">
        <f t="shared" si="1"/>
        <v>0</v>
      </c>
      <c r="O11" s="1416">
        <f t="shared" si="1"/>
        <v>0</v>
      </c>
      <c r="P11" s="1416">
        <f t="shared" si="1"/>
        <v>0</v>
      </c>
      <c r="Q11" s="1416">
        <f t="shared" si="1"/>
        <v>0</v>
      </c>
    </row>
    <row r="12" spans="2:17" hidden="1">
      <c r="C12" s="1412"/>
      <c r="D12" s="1407" t="s">
        <v>474</v>
      </c>
      <c r="E12" s="1407"/>
      <c r="F12" s="1408"/>
      <c r="G12" s="1414">
        <v>15</v>
      </c>
      <c r="H12" s="1414"/>
      <c r="I12" s="1416">
        <f t="shared" ref="I12:Q12" si="2">I7-I10-I11</f>
        <v>11.739099999999999</v>
      </c>
      <c r="J12" s="1416">
        <f t="shared" si="2"/>
        <v>11.739099999999999</v>
      </c>
      <c r="K12" s="1416">
        <f t="shared" si="2"/>
        <v>11.739099999999999</v>
      </c>
      <c r="L12" s="1416">
        <f t="shared" si="2"/>
        <v>11.241300000000001</v>
      </c>
      <c r="M12" s="1416">
        <f t="shared" si="2"/>
        <v>11.241300000000001</v>
      </c>
      <c r="N12" s="1416">
        <f t="shared" si="2"/>
        <v>11.241300000000001</v>
      </c>
      <c r="O12" s="1416">
        <f t="shared" si="2"/>
        <v>11.753100000000002</v>
      </c>
      <c r="P12" s="1416">
        <f t="shared" si="2"/>
        <v>11.753100000000002</v>
      </c>
      <c r="Q12" s="1416">
        <f t="shared" si="2"/>
        <v>11.753100000000002</v>
      </c>
    </row>
    <row r="13" spans="2:17">
      <c r="C13" s="1400" t="s">
        <v>159</v>
      </c>
      <c r="D13" s="1393"/>
      <c r="E13" s="1393"/>
      <c r="F13" s="1394"/>
      <c r="G13" s="1399">
        <f t="shared" ref="G13:G60" si="3">G7+10</f>
        <v>20</v>
      </c>
      <c r="H13" s="1399"/>
      <c r="I13" s="1415">
        <v>10.473000000000001</v>
      </c>
      <c r="J13" s="1415">
        <v>10.473000000000001</v>
      </c>
      <c r="K13" s="1415">
        <v>10.473000000000001</v>
      </c>
      <c r="L13" s="1415">
        <v>11.762999999999998</v>
      </c>
      <c r="M13" s="1415">
        <v>11.762999999999998</v>
      </c>
      <c r="N13" s="1415">
        <v>11.762999999999998</v>
      </c>
      <c r="O13" s="1415">
        <v>14.002000000000002</v>
      </c>
      <c r="P13" s="1415">
        <v>14.002000000000002</v>
      </c>
      <c r="Q13" s="1415">
        <v>14.002000000000002</v>
      </c>
    </row>
    <row r="14" spans="2:17">
      <c r="C14" s="1402"/>
      <c r="D14" s="526" t="s">
        <v>155</v>
      </c>
      <c r="E14" s="526"/>
      <c r="F14" s="1403">
        <v>1</v>
      </c>
      <c r="G14" s="1399">
        <f t="shared" si="3"/>
        <v>21</v>
      </c>
      <c r="H14" s="1399"/>
      <c r="I14" s="1416">
        <v>5.2279999999999998</v>
      </c>
      <c r="J14" s="1416">
        <v>5.2279999999999998</v>
      </c>
      <c r="K14" s="1416">
        <v>5.2279999999999998</v>
      </c>
      <c r="L14" s="1416">
        <v>5.3689999999999998</v>
      </c>
      <c r="M14" s="1416">
        <v>5.3689999999999998</v>
      </c>
      <c r="N14" s="1416">
        <v>5.3689999999999998</v>
      </c>
      <c r="O14" s="1416">
        <v>5.2780000000000005</v>
      </c>
      <c r="P14" s="1416">
        <v>5.2780000000000005</v>
      </c>
      <c r="Q14" s="1416">
        <v>5.2780000000000005</v>
      </c>
    </row>
    <row r="15" spans="2:17">
      <c r="C15" s="1402"/>
      <c r="D15" s="526" t="s">
        <v>156</v>
      </c>
      <c r="E15" s="526"/>
      <c r="F15" s="1403">
        <v>1</v>
      </c>
      <c r="G15" s="1399">
        <f t="shared" si="3"/>
        <v>22</v>
      </c>
      <c r="H15" s="1404"/>
      <c r="I15" s="1416">
        <v>10.11</v>
      </c>
      <c r="J15" s="1416">
        <v>10.11</v>
      </c>
      <c r="K15" s="1416">
        <v>10.11</v>
      </c>
      <c r="L15" s="1416">
        <v>10.846</v>
      </c>
      <c r="M15" s="1416">
        <v>10.846</v>
      </c>
      <c r="N15" s="1416">
        <v>10.846</v>
      </c>
      <c r="O15" s="1416">
        <v>13.005000000000001</v>
      </c>
      <c r="P15" s="1416">
        <v>13.005000000000001</v>
      </c>
      <c r="Q15" s="1416">
        <v>13.005000000000001</v>
      </c>
    </row>
    <row r="16" spans="2:17" hidden="1">
      <c r="C16" s="1405"/>
      <c r="D16" s="1407" t="s">
        <v>181</v>
      </c>
      <c r="E16" s="1407"/>
      <c r="F16" s="1408"/>
      <c r="G16" s="1399">
        <f t="shared" si="3"/>
        <v>23</v>
      </c>
      <c r="H16" s="1410">
        <f>H$10</f>
        <v>0.3</v>
      </c>
      <c r="I16" s="1416">
        <f>(I13-I14)*$H16</f>
        <v>1.5735000000000003</v>
      </c>
      <c r="J16" s="1416">
        <f t="shared" ref="J16:Q16" si="4">(J13-J14)*$H16</f>
        <v>1.5735000000000003</v>
      </c>
      <c r="K16" s="1416">
        <f t="shared" si="4"/>
        <v>1.5735000000000003</v>
      </c>
      <c r="L16" s="1416">
        <f t="shared" si="4"/>
        <v>1.9181999999999995</v>
      </c>
      <c r="M16" s="1416">
        <f t="shared" si="4"/>
        <v>1.9181999999999995</v>
      </c>
      <c r="N16" s="1416">
        <f t="shared" si="4"/>
        <v>1.9181999999999995</v>
      </c>
      <c r="O16" s="1416">
        <f t="shared" si="4"/>
        <v>2.6172000000000004</v>
      </c>
      <c r="P16" s="1416">
        <f t="shared" si="4"/>
        <v>2.6172000000000004</v>
      </c>
      <c r="Q16" s="1416">
        <f t="shared" si="4"/>
        <v>2.6172000000000004</v>
      </c>
    </row>
    <row r="17" spans="3:17" hidden="1">
      <c r="C17" s="1405"/>
      <c r="D17" s="1407" t="s">
        <v>182</v>
      </c>
      <c r="E17" s="1407"/>
      <c r="F17" s="1408"/>
      <c r="G17" s="1399">
        <f t="shared" si="3"/>
        <v>24</v>
      </c>
      <c r="H17" s="1410">
        <f>H$11</f>
        <v>0</v>
      </c>
      <c r="I17" s="1416">
        <f t="shared" ref="I17:Q17" si="5">(I13-I15)*$H17</f>
        <v>0</v>
      </c>
      <c r="J17" s="1416">
        <f t="shared" si="5"/>
        <v>0</v>
      </c>
      <c r="K17" s="1416">
        <f t="shared" si="5"/>
        <v>0</v>
      </c>
      <c r="L17" s="1416">
        <f t="shared" si="5"/>
        <v>0</v>
      </c>
      <c r="M17" s="1416">
        <f t="shared" si="5"/>
        <v>0</v>
      </c>
      <c r="N17" s="1416">
        <f t="shared" si="5"/>
        <v>0</v>
      </c>
      <c r="O17" s="1416">
        <f t="shared" si="5"/>
        <v>0</v>
      </c>
      <c r="P17" s="1416">
        <f t="shared" si="5"/>
        <v>0</v>
      </c>
      <c r="Q17" s="1416">
        <f t="shared" si="5"/>
        <v>0</v>
      </c>
    </row>
    <row r="18" spans="3:17" hidden="1">
      <c r="C18" s="1412"/>
      <c r="D18" s="1407" t="s">
        <v>474</v>
      </c>
      <c r="E18" s="1407"/>
      <c r="F18" s="1408"/>
      <c r="G18" s="1399">
        <f t="shared" si="3"/>
        <v>25</v>
      </c>
      <c r="H18" s="1414"/>
      <c r="I18" s="1416">
        <f t="shared" ref="I18:Q18" si="6">I13-I16-I17</f>
        <v>8.8994999999999997</v>
      </c>
      <c r="J18" s="1416">
        <f t="shared" si="6"/>
        <v>8.8994999999999997</v>
      </c>
      <c r="K18" s="1416">
        <f t="shared" si="6"/>
        <v>8.8994999999999997</v>
      </c>
      <c r="L18" s="1416">
        <f t="shared" si="6"/>
        <v>9.8447999999999993</v>
      </c>
      <c r="M18" s="1416">
        <f t="shared" si="6"/>
        <v>9.8447999999999993</v>
      </c>
      <c r="N18" s="1416">
        <f t="shared" si="6"/>
        <v>9.8447999999999993</v>
      </c>
      <c r="O18" s="1416">
        <f t="shared" si="6"/>
        <v>11.384800000000002</v>
      </c>
      <c r="P18" s="1416">
        <f t="shared" si="6"/>
        <v>11.384800000000002</v>
      </c>
      <c r="Q18" s="1416">
        <f t="shared" si="6"/>
        <v>11.384800000000002</v>
      </c>
    </row>
    <row r="19" spans="3:17">
      <c r="C19" s="1400" t="s">
        <v>160</v>
      </c>
      <c r="D19" s="1393"/>
      <c r="E19" s="1393"/>
      <c r="F19" s="1394"/>
      <c r="G19" s="1399">
        <f t="shared" si="3"/>
        <v>30</v>
      </c>
      <c r="H19" s="1399"/>
      <c r="I19" s="1415">
        <v>16.572000000000003</v>
      </c>
      <c r="J19" s="1415">
        <v>16.572000000000003</v>
      </c>
      <c r="K19" s="1415">
        <v>16.572000000000003</v>
      </c>
      <c r="L19" s="1415">
        <v>22.385999999999999</v>
      </c>
      <c r="M19" s="1415">
        <v>22.385999999999999</v>
      </c>
      <c r="N19" s="1415">
        <v>22.385999999999999</v>
      </c>
      <c r="O19" s="1415">
        <v>16.960999999999999</v>
      </c>
      <c r="P19" s="1415">
        <v>16.960999999999999</v>
      </c>
      <c r="Q19" s="1415">
        <v>16.960999999999999</v>
      </c>
    </row>
    <row r="20" spans="3:17">
      <c r="C20" s="1402"/>
      <c r="D20" s="526" t="s">
        <v>155</v>
      </c>
      <c r="E20" s="526"/>
      <c r="F20" s="1403">
        <v>1</v>
      </c>
      <c r="G20" s="1399">
        <f t="shared" si="3"/>
        <v>31</v>
      </c>
      <c r="H20" s="1399"/>
      <c r="I20" s="1416">
        <v>8.4039999999999999</v>
      </c>
      <c r="J20" s="1416">
        <v>8.4039999999999999</v>
      </c>
      <c r="K20" s="1416">
        <v>8.4039999999999999</v>
      </c>
      <c r="L20" s="1416">
        <v>8.5990000000000002</v>
      </c>
      <c r="M20" s="1416">
        <v>8.5990000000000002</v>
      </c>
      <c r="N20" s="1416">
        <v>8.5990000000000002</v>
      </c>
      <c r="O20" s="1416">
        <v>8.4849999999999994</v>
      </c>
      <c r="P20" s="1416">
        <v>8.4849999999999994</v>
      </c>
      <c r="Q20" s="1416">
        <v>8.4849999999999994</v>
      </c>
    </row>
    <row r="21" spans="3:17">
      <c r="C21" s="1402"/>
      <c r="D21" s="526" t="s">
        <v>156</v>
      </c>
      <c r="E21" s="526"/>
      <c r="F21" s="1403">
        <v>1</v>
      </c>
      <c r="G21" s="1399">
        <f t="shared" si="3"/>
        <v>32</v>
      </c>
      <c r="H21" s="1404"/>
      <c r="I21" s="1416">
        <v>15.867000000000001</v>
      </c>
      <c r="J21" s="1416">
        <v>15.867000000000001</v>
      </c>
      <c r="K21" s="1416">
        <v>15.867000000000001</v>
      </c>
      <c r="L21" s="1416">
        <v>20.512</v>
      </c>
      <c r="M21" s="1416">
        <v>20.512</v>
      </c>
      <c r="N21" s="1416">
        <v>20.512</v>
      </c>
      <c r="O21" s="1416">
        <v>16.321999999999999</v>
      </c>
      <c r="P21" s="1416">
        <v>16.321999999999999</v>
      </c>
      <c r="Q21" s="1416">
        <v>16.321999999999999</v>
      </c>
    </row>
    <row r="22" spans="3:17" hidden="1">
      <c r="C22" s="1405"/>
      <c r="D22" s="1407" t="s">
        <v>181</v>
      </c>
      <c r="E22" s="1407"/>
      <c r="F22" s="1408"/>
      <c r="G22" s="1399">
        <f t="shared" si="3"/>
        <v>33</v>
      </c>
      <c r="H22" s="1410">
        <f>H$10</f>
        <v>0.3</v>
      </c>
      <c r="I22" s="1416">
        <f>(I19-I20)*$H22</f>
        <v>2.4504000000000006</v>
      </c>
      <c r="J22" s="1416">
        <f t="shared" ref="J22:Q22" si="7">(J19-J20)*$H22</f>
        <v>2.4504000000000006</v>
      </c>
      <c r="K22" s="1416">
        <f t="shared" si="7"/>
        <v>2.4504000000000006</v>
      </c>
      <c r="L22" s="1416">
        <f t="shared" si="7"/>
        <v>4.1360999999999999</v>
      </c>
      <c r="M22" s="1416">
        <f t="shared" si="7"/>
        <v>4.1360999999999999</v>
      </c>
      <c r="N22" s="1416">
        <f t="shared" si="7"/>
        <v>4.1360999999999999</v>
      </c>
      <c r="O22" s="1416">
        <f t="shared" si="7"/>
        <v>2.5427999999999997</v>
      </c>
      <c r="P22" s="1416">
        <f t="shared" si="7"/>
        <v>2.5427999999999997</v>
      </c>
      <c r="Q22" s="1416">
        <f t="shared" si="7"/>
        <v>2.5427999999999997</v>
      </c>
    </row>
    <row r="23" spans="3:17" hidden="1">
      <c r="C23" s="1405"/>
      <c r="D23" s="1407" t="s">
        <v>182</v>
      </c>
      <c r="E23" s="1407"/>
      <c r="F23" s="1408"/>
      <c r="G23" s="1399">
        <f t="shared" si="3"/>
        <v>34</v>
      </c>
      <c r="H23" s="1410">
        <f>H$11</f>
        <v>0</v>
      </c>
      <c r="I23" s="1416">
        <f t="shared" ref="I23:Q23" si="8">(I19-I21)*$H23</f>
        <v>0</v>
      </c>
      <c r="J23" s="1416">
        <f t="shared" si="8"/>
        <v>0</v>
      </c>
      <c r="K23" s="1416">
        <f t="shared" si="8"/>
        <v>0</v>
      </c>
      <c r="L23" s="1416">
        <f t="shared" si="8"/>
        <v>0</v>
      </c>
      <c r="M23" s="1416">
        <f t="shared" si="8"/>
        <v>0</v>
      </c>
      <c r="N23" s="1416">
        <f t="shared" si="8"/>
        <v>0</v>
      </c>
      <c r="O23" s="1416">
        <f t="shared" si="8"/>
        <v>0</v>
      </c>
      <c r="P23" s="1416">
        <f t="shared" si="8"/>
        <v>0</v>
      </c>
      <c r="Q23" s="1416">
        <f t="shared" si="8"/>
        <v>0</v>
      </c>
    </row>
    <row r="24" spans="3:17" hidden="1">
      <c r="C24" s="1412"/>
      <c r="D24" s="1407" t="s">
        <v>474</v>
      </c>
      <c r="E24" s="1407"/>
      <c r="F24" s="1408"/>
      <c r="G24" s="1399">
        <f t="shared" si="3"/>
        <v>35</v>
      </c>
      <c r="H24" s="1414"/>
      <c r="I24" s="1416">
        <f t="shared" ref="I24:Q24" si="9">I19-I22-I23</f>
        <v>14.121600000000003</v>
      </c>
      <c r="J24" s="1416">
        <f t="shared" si="9"/>
        <v>14.121600000000003</v>
      </c>
      <c r="K24" s="1416">
        <f t="shared" si="9"/>
        <v>14.121600000000003</v>
      </c>
      <c r="L24" s="1416">
        <f t="shared" si="9"/>
        <v>18.2499</v>
      </c>
      <c r="M24" s="1416">
        <f t="shared" si="9"/>
        <v>18.2499</v>
      </c>
      <c r="N24" s="1416">
        <f t="shared" si="9"/>
        <v>18.2499</v>
      </c>
      <c r="O24" s="1416">
        <f t="shared" si="9"/>
        <v>14.418199999999999</v>
      </c>
      <c r="P24" s="1416">
        <f t="shared" si="9"/>
        <v>14.418199999999999</v>
      </c>
      <c r="Q24" s="1416">
        <f t="shared" si="9"/>
        <v>14.418199999999999</v>
      </c>
    </row>
    <row r="25" spans="3:17">
      <c r="C25" s="1400" t="s">
        <v>162</v>
      </c>
      <c r="D25" s="1393"/>
      <c r="E25" s="1393"/>
      <c r="F25" s="1394"/>
      <c r="G25" s="1399">
        <f t="shared" si="3"/>
        <v>40</v>
      </c>
      <c r="H25" s="1399"/>
      <c r="I25" s="1415">
        <v>16.571999999999999</v>
      </c>
      <c r="J25" s="1415">
        <v>16.572000000000003</v>
      </c>
      <c r="K25" s="1415">
        <v>16.572000000000003</v>
      </c>
      <c r="L25" s="1415">
        <v>22.385999999999999</v>
      </c>
      <c r="M25" s="1415">
        <v>22.385999999999999</v>
      </c>
      <c r="N25" s="1415">
        <v>22.385999999999999</v>
      </c>
      <c r="O25" s="1415">
        <v>16.960999999999999</v>
      </c>
      <c r="P25" s="1415">
        <v>16.960999999999999</v>
      </c>
      <c r="Q25" s="1415">
        <v>16.960999999999999</v>
      </c>
    </row>
    <row r="26" spans="3:17">
      <c r="C26" s="1402"/>
      <c r="D26" s="526" t="s">
        <v>155</v>
      </c>
      <c r="E26" s="526"/>
      <c r="F26" s="1403">
        <v>1</v>
      </c>
      <c r="G26" s="1399">
        <f t="shared" si="3"/>
        <v>41</v>
      </c>
      <c r="H26" s="1399"/>
      <c r="I26" s="1416">
        <v>8.4039999999999999</v>
      </c>
      <c r="J26" s="1416">
        <v>8.4039999999999999</v>
      </c>
      <c r="K26" s="1416">
        <v>8.4039999999999999</v>
      </c>
      <c r="L26" s="1416">
        <v>8.5990000000000002</v>
      </c>
      <c r="M26" s="1416">
        <v>8.5990000000000002</v>
      </c>
      <c r="N26" s="1416">
        <v>8.5990000000000002</v>
      </c>
      <c r="O26" s="1416">
        <v>8.4849999999999994</v>
      </c>
      <c r="P26" s="1416">
        <v>8.4849999999999994</v>
      </c>
      <c r="Q26" s="1416">
        <v>8.4849999999999994</v>
      </c>
    </row>
    <row r="27" spans="3:17">
      <c r="C27" s="1402"/>
      <c r="D27" s="526" t="s">
        <v>156</v>
      </c>
      <c r="E27" s="526"/>
      <c r="F27" s="1403">
        <v>1</v>
      </c>
      <c r="G27" s="1399">
        <f t="shared" si="3"/>
        <v>42</v>
      </c>
      <c r="H27" s="1404"/>
      <c r="I27" s="1416">
        <v>15.867000000000001</v>
      </c>
      <c r="J27" s="1416">
        <v>15.867000000000001</v>
      </c>
      <c r="K27" s="1416">
        <v>15.867000000000001</v>
      </c>
      <c r="L27" s="1416">
        <v>20.512</v>
      </c>
      <c r="M27" s="1416">
        <v>20.512</v>
      </c>
      <c r="N27" s="1416">
        <v>20.512</v>
      </c>
      <c r="O27" s="1416">
        <v>16.321999999999999</v>
      </c>
      <c r="P27" s="1416">
        <v>16.321999999999999</v>
      </c>
      <c r="Q27" s="1416">
        <v>16.321999999999999</v>
      </c>
    </row>
    <row r="28" spans="3:17" hidden="1">
      <c r="C28" s="1405"/>
      <c r="D28" s="1407" t="s">
        <v>181</v>
      </c>
      <c r="E28" s="1407"/>
      <c r="F28" s="1408"/>
      <c r="G28" s="1399">
        <f t="shared" si="3"/>
        <v>43</v>
      </c>
      <c r="H28" s="1410">
        <f>H$10</f>
        <v>0.3</v>
      </c>
      <c r="I28" s="1416">
        <f>(I25-I26)*$H28</f>
        <v>2.4503999999999997</v>
      </c>
      <c r="J28" s="1416">
        <f t="shared" ref="J28:Q28" si="10">(J25-J26)*$H28</f>
        <v>2.4504000000000006</v>
      </c>
      <c r="K28" s="1416">
        <f t="shared" si="10"/>
        <v>2.4504000000000006</v>
      </c>
      <c r="L28" s="1416">
        <f t="shared" si="10"/>
        <v>4.1360999999999999</v>
      </c>
      <c r="M28" s="1416">
        <f t="shared" si="10"/>
        <v>4.1360999999999999</v>
      </c>
      <c r="N28" s="1416">
        <f t="shared" si="10"/>
        <v>4.1360999999999999</v>
      </c>
      <c r="O28" s="1416">
        <f t="shared" si="10"/>
        <v>2.5427999999999997</v>
      </c>
      <c r="P28" s="1416">
        <f t="shared" si="10"/>
        <v>2.5427999999999997</v>
      </c>
      <c r="Q28" s="1416">
        <f t="shared" si="10"/>
        <v>2.5427999999999997</v>
      </c>
    </row>
    <row r="29" spans="3:17" hidden="1">
      <c r="C29" s="1405"/>
      <c r="D29" s="1407" t="s">
        <v>182</v>
      </c>
      <c r="E29" s="1407"/>
      <c r="F29" s="1408"/>
      <c r="G29" s="1399">
        <f t="shared" si="3"/>
        <v>44</v>
      </c>
      <c r="H29" s="1410">
        <f>H$11</f>
        <v>0</v>
      </c>
      <c r="I29" s="1416">
        <f t="shared" ref="I29:Q29" si="11">(I25-I27)*$H29</f>
        <v>0</v>
      </c>
      <c r="J29" s="1416">
        <f t="shared" si="11"/>
        <v>0</v>
      </c>
      <c r="K29" s="1416">
        <f t="shared" si="11"/>
        <v>0</v>
      </c>
      <c r="L29" s="1416">
        <f t="shared" si="11"/>
        <v>0</v>
      </c>
      <c r="M29" s="1416">
        <f t="shared" si="11"/>
        <v>0</v>
      </c>
      <c r="N29" s="1416">
        <f t="shared" si="11"/>
        <v>0</v>
      </c>
      <c r="O29" s="1416">
        <f t="shared" si="11"/>
        <v>0</v>
      </c>
      <c r="P29" s="1416">
        <f t="shared" si="11"/>
        <v>0</v>
      </c>
      <c r="Q29" s="1416">
        <f t="shared" si="11"/>
        <v>0</v>
      </c>
    </row>
    <row r="30" spans="3:17" hidden="1">
      <c r="C30" s="1412"/>
      <c r="D30" s="1407" t="s">
        <v>474</v>
      </c>
      <c r="E30" s="1407"/>
      <c r="F30" s="1408"/>
      <c r="G30" s="1399">
        <f t="shared" si="3"/>
        <v>45</v>
      </c>
      <c r="H30" s="1414"/>
      <c r="I30" s="1416">
        <f t="shared" ref="I30:Q30" si="12">I25-I28-I29</f>
        <v>14.121599999999999</v>
      </c>
      <c r="J30" s="1416">
        <f t="shared" si="12"/>
        <v>14.121600000000003</v>
      </c>
      <c r="K30" s="1416">
        <f t="shared" si="12"/>
        <v>14.121600000000003</v>
      </c>
      <c r="L30" s="1416">
        <f t="shared" si="12"/>
        <v>18.2499</v>
      </c>
      <c r="M30" s="1416">
        <f t="shared" si="12"/>
        <v>18.2499</v>
      </c>
      <c r="N30" s="1416">
        <f t="shared" si="12"/>
        <v>18.2499</v>
      </c>
      <c r="O30" s="1416">
        <f t="shared" si="12"/>
        <v>14.418199999999999</v>
      </c>
      <c r="P30" s="1416">
        <f t="shared" si="12"/>
        <v>14.418199999999999</v>
      </c>
      <c r="Q30" s="1416">
        <f t="shared" si="12"/>
        <v>14.418199999999999</v>
      </c>
    </row>
    <row r="31" spans="3:17">
      <c r="C31" s="1400" t="s">
        <v>163</v>
      </c>
      <c r="D31" s="1393"/>
      <c r="E31" s="1393"/>
      <c r="F31" s="1394"/>
      <c r="G31" s="1399">
        <f t="shared" si="3"/>
        <v>50</v>
      </c>
      <c r="H31" s="1399"/>
      <c r="I31" s="1415">
        <v>11.535</v>
      </c>
      <c r="J31" s="1415">
        <v>11.535</v>
      </c>
      <c r="K31" s="1415">
        <v>11.535</v>
      </c>
      <c r="L31" s="1415">
        <v>12.471</v>
      </c>
      <c r="M31" s="1415">
        <v>12.471</v>
      </c>
      <c r="N31" s="1415">
        <v>12.471</v>
      </c>
      <c r="O31" s="1415">
        <v>13.079000000000001</v>
      </c>
      <c r="P31" s="1415">
        <v>13.079000000000001</v>
      </c>
      <c r="Q31" s="1415">
        <v>13.079000000000001</v>
      </c>
    </row>
    <row r="32" spans="3:17">
      <c r="C32" s="1402"/>
      <c r="D32" s="526" t="s">
        <v>155</v>
      </c>
      <c r="E32" s="526"/>
      <c r="F32" s="1403">
        <v>1</v>
      </c>
      <c r="G32" s="1399">
        <f t="shared" si="3"/>
        <v>51</v>
      </c>
      <c r="H32" s="1399"/>
      <c r="I32" s="1416">
        <v>5.452</v>
      </c>
      <c r="J32" s="1416">
        <v>5.452</v>
      </c>
      <c r="K32" s="1416">
        <v>5.452</v>
      </c>
      <c r="L32" s="1416">
        <v>5.5779999999999994</v>
      </c>
      <c r="M32" s="1416">
        <v>5.5779999999999994</v>
      </c>
      <c r="N32" s="1416">
        <v>5.5779999999999994</v>
      </c>
      <c r="O32" s="1416">
        <v>5.5039999999999996</v>
      </c>
      <c r="P32" s="1416">
        <v>5.5039999999999996</v>
      </c>
      <c r="Q32" s="1416">
        <v>5.5039999999999996</v>
      </c>
    </row>
    <row r="33" spans="3:17">
      <c r="C33" s="1402"/>
      <c r="D33" s="526" t="s">
        <v>156</v>
      </c>
      <c r="E33" s="526"/>
      <c r="F33" s="1403">
        <v>1</v>
      </c>
      <c r="G33" s="1399">
        <f t="shared" si="3"/>
        <v>52</v>
      </c>
      <c r="H33" s="1404"/>
      <c r="I33" s="1416">
        <v>11.178000000000001</v>
      </c>
      <c r="J33" s="1416">
        <v>11.178000000000001</v>
      </c>
      <c r="K33" s="1416">
        <v>11.178000000000001</v>
      </c>
      <c r="L33" s="1416">
        <v>11.533999999999999</v>
      </c>
      <c r="M33" s="1416">
        <v>11.533999999999999</v>
      </c>
      <c r="N33" s="1416">
        <v>11.533999999999999</v>
      </c>
      <c r="O33" s="1416">
        <v>12.182</v>
      </c>
      <c r="P33" s="1416">
        <v>12.182</v>
      </c>
      <c r="Q33" s="1416">
        <v>12.182</v>
      </c>
    </row>
    <row r="34" spans="3:17" hidden="1">
      <c r="C34" s="1405"/>
      <c r="D34" s="1407" t="s">
        <v>181</v>
      </c>
      <c r="E34" s="1407"/>
      <c r="F34" s="1408"/>
      <c r="G34" s="1399">
        <f t="shared" si="3"/>
        <v>53</v>
      </c>
      <c r="H34" s="1410">
        <f>H$10</f>
        <v>0.3</v>
      </c>
      <c r="I34" s="1416">
        <f>(I31-I32)*$H34</f>
        <v>1.8249</v>
      </c>
      <c r="J34" s="1416">
        <f t="shared" ref="J34:Q34" si="13">(J31-J32)*$H34</f>
        <v>1.8249</v>
      </c>
      <c r="K34" s="1416">
        <f t="shared" si="13"/>
        <v>1.8249</v>
      </c>
      <c r="L34" s="1416">
        <f t="shared" si="13"/>
        <v>2.0679000000000003</v>
      </c>
      <c r="M34" s="1416">
        <f t="shared" si="13"/>
        <v>2.0679000000000003</v>
      </c>
      <c r="N34" s="1416">
        <f t="shared" si="13"/>
        <v>2.0679000000000003</v>
      </c>
      <c r="O34" s="1416">
        <f t="shared" si="13"/>
        <v>2.2725000000000004</v>
      </c>
      <c r="P34" s="1416">
        <f t="shared" si="13"/>
        <v>2.2725000000000004</v>
      </c>
      <c r="Q34" s="1416">
        <f t="shared" si="13"/>
        <v>2.2725000000000004</v>
      </c>
    </row>
    <row r="35" spans="3:17" hidden="1">
      <c r="C35" s="1405"/>
      <c r="D35" s="1407" t="s">
        <v>182</v>
      </c>
      <c r="E35" s="1407"/>
      <c r="F35" s="1408"/>
      <c r="G35" s="1399">
        <f t="shared" si="3"/>
        <v>54</v>
      </c>
      <c r="H35" s="1410">
        <f>H$11</f>
        <v>0</v>
      </c>
      <c r="I35" s="1416">
        <f t="shared" ref="I35:Q35" si="14">(I31-I33)*$H35</f>
        <v>0</v>
      </c>
      <c r="J35" s="1416">
        <f t="shared" si="14"/>
        <v>0</v>
      </c>
      <c r="K35" s="1416">
        <f t="shared" si="14"/>
        <v>0</v>
      </c>
      <c r="L35" s="1416">
        <f t="shared" si="14"/>
        <v>0</v>
      </c>
      <c r="M35" s="1416">
        <f t="shared" si="14"/>
        <v>0</v>
      </c>
      <c r="N35" s="1416">
        <f t="shared" si="14"/>
        <v>0</v>
      </c>
      <c r="O35" s="1416">
        <f t="shared" si="14"/>
        <v>0</v>
      </c>
      <c r="P35" s="1416">
        <f t="shared" si="14"/>
        <v>0</v>
      </c>
      <c r="Q35" s="1416">
        <f t="shared" si="14"/>
        <v>0</v>
      </c>
    </row>
    <row r="36" spans="3:17" hidden="1">
      <c r="C36" s="1412"/>
      <c r="D36" s="1407" t="s">
        <v>474</v>
      </c>
      <c r="E36" s="1407"/>
      <c r="F36" s="1408"/>
      <c r="G36" s="1399">
        <f t="shared" si="3"/>
        <v>55</v>
      </c>
      <c r="H36" s="1414"/>
      <c r="I36" s="1416">
        <f t="shared" ref="I36:Q36" si="15">I31-I34-I35</f>
        <v>9.7101000000000006</v>
      </c>
      <c r="J36" s="1416">
        <f t="shared" si="15"/>
        <v>9.7101000000000006</v>
      </c>
      <c r="K36" s="1416">
        <f t="shared" si="15"/>
        <v>9.7101000000000006</v>
      </c>
      <c r="L36" s="1416">
        <f t="shared" si="15"/>
        <v>10.4031</v>
      </c>
      <c r="M36" s="1416">
        <f t="shared" si="15"/>
        <v>10.4031</v>
      </c>
      <c r="N36" s="1416">
        <f t="shared" si="15"/>
        <v>10.4031</v>
      </c>
      <c r="O36" s="1416">
        <f t="shared" si="15"/>
        <v>10.8065</v>
      </c>
      <c r="P36" s="1416">
        <f t="shared" si="15"/>
        <v>10.8065</v>
      </c>
      <c r="Q36" s="1416">
        <f t="shared" si="15"/>
        <v>10.8065</v>
      </c>
    </row>
    <row r="37" spans="3:17">
      <c r="C37" s="1400" t="s">
        <v>472</v>
      </c>
      <c r="D37" s="1393"/>
      <c r="E37" s="1393"/>
      <c r="F37" s="1394"/>
      <c r="G37" s="1399">
        <f t="shared" si="3"/>
        <v>60</v>
      </c>
      <c r="H37" s="1399"/>
      <c r="I37" s="1415">
        <v>19.561999999999998</v>
      </c>
      <c r="J37" s="1415">
        <v>19.561999999999998</v>
      </c>
      <c r="K37" s="1415">
        <v>19.561999999999998</v>
      </c>
      <c r="L37" s="1415">
        <v>22.5</v>
      </c>
      <c r="M37" s="1415">
        <v>22.5</v>
      </c>
      <c r="N37" s="1415">
        <v>22.5</v>
      </c>
      <c r="O37" s="1415">
        <v>23.650000000000002</v>
      </c>
      <c r="P37" s="1415">
        <v>23.650000000000002</v>
      </c>
      <c r="Q37" s="1415">
        <v>23.650000000000002</v>
      </c>
    </row>
    <row r="38" spans="3:17">
      <c r="C38" s="1402"/>
      <c r="D38" s="526" t="s">
        <v>155</v>
      </c>
      <c r="E38" s="526"/>
      <c r="F38" s="1403">
        <v>1</v>
      </c>
      <c r="G38" s="1399">
        <f t="shared" si="3"/>
        <v>61</v>
      </c>
      <c r="H38" s="1399"/>
      <c r="I38" s="1416">
        <v>9.9849999999999994</v>
      </c>
      <c r="J38" s="1416">
        <v>9.9849999999999994</v>
      </c>
      <c r="K38" s="1416">
        <v>9.9849999999999994</v>
      </c>
      <c r="L38" s="1416">
        <v>10.302</v>
      </c>
      <c r="M38" s="1416">
        <v>10.302</v>
      </c>
      <c r="N38" s="1416">
        <v>10.302</v>
      </c>
      <c r="O38" s="1416">
        <v>9.9700000000000006</v>
      </c>
      <c r="P38" s="1416">
        <v>9.9700000000000006</v>
      </c>
      <c r="Q38" s="1416">
        <v>9.9700000000000006</v>
      </c>
    </row>
    <row r="39" spans="3:17">
      <c r="C39" s="1402"/>
      <c r="D39" s="526" t="s">
        <v>156</v>
      </c>
      <c r="E39" s="526"/>
      <c r="F39" s="1403">
        <v>1</v>
      </c>
      <c r="G39" s="1399">
        <f t="shared" si="3"/>
        <v>62</v>
      </c>
      <c r="H39" s="1404"/>
      <c r="I39" s="1416">
        <v>18.811</v>
      </c>
      <c r="J39" s="1416">
        <v>18.811</v>
      </c>
      <c r="K39" s="1416">
        <v>18.811</v>
      </c>
      <c r="L39" s="1416">
        <v>20.811999999999998</v>
      </c>
      <c r="M39" s="1416">
        <v>20.811999999999998</v>
      </c>
      <c r="N39" s="1416">
        <v>20.811999999999998</v>
      </c>
      <c r="O39" s="1416">
        <v>22.231999999999999</v>
      </c>
      <c r="P39" s="1416">
        <v>22.231999999999999</v>
      </c>
      <c r="Q39" s="1416">
        <v>22.231999999999999</v>
      </c>
    </row>
    <row r="40" spans="3:17" hidden="1">
      <c r="C40" s="1405"/>
      <c r="D40" s="1407" t="s">
        <v>181</v>
      </c>
      <c r="E40" s="1407"/>
      <c r="F40" s="1408"/>
      <c r="G40" s="1399">
        <f t="shared" si="3"/>
        <v>63</v>
      </c>
      <c r="H40" s="1410">
        <f>H$10</f>
        <v>0.3</v>
      </c>
      <c r="I40" s="1416">
        <f>(I37-I38)*$H40</f>
        <v>2.8730999999999995</v>
      </c>
      <c r="J40" s="1416">
        <f t="shared" ref="J40:Q40" si="16">(J37-J38)*$H40</f>
        <v>2.8730999999999995</v>
      </c>
      <c r="K40" s="1416">
        <f t="shared" si="16"/>
        <v>2.8730999999999995</v>
      </c>
      <c r="L40" s="1416">
        <f t="shared" si="16"/>
        <v>3.6593999999999998</v>
      </c>
      <c r="M40" s="1416">
        <f t="shared" si="16"/>
        <v>3.6593999999999998</v>
      </c>
      <c r="N40" s="1416">
        <f t="shared" si="16"/>
        <v>3.6593999999999998</v>
      </c>
      <c r="O40" s="1416">
        <f t="shared" si="16"/>
        <v>4.1040000000000001</v>
      </c>
      <c r="P40" s="1416">
        <f t="shared" si="16"/>
        <v>4.1040000000000001</v>
      </c>
      <c r="Q40" s="1416">
        <f t="shared" si="16"/>
        <v>4.1040000000000001</v>
      </c>
    </row>
    <row r="41" spans="3:17" hidden="1">
      <c r="C41" s="1405"/>
      <c r="D41" s="1407" t="s">
        <v>182</v>
      </c>
      <c r="E41" s="1407"/>
      <c r="F41" s="1408"/>
      <c r="G41" s="1399">
        <f t="shared" si="3"/>
        <v>64</v>
      </c>
      <c r="H41" s="1410">
        <f>H$11</f>
        <v>0</v>
      </c>
      <c r="I41" s="1416">
        <f t="shared" ref="I41:Q41" si="17">(I37-I39)*$H41</f>
        <v>0</v>
      </c>
      <c r="J41" s="1416">
        <f t="shared" si="17"/>
        <v>0</v>
      </c>
      <c r="K41" s="1416">
        <f t="shared" si="17"/>
        <v>0</v>
      </c>
      <c r="L41" s="1416">
        <f t="shared" si="17"/>
        <v>0</v>
      </c>
      <c r="M41" s="1416">
        <f t="shared" si="17"/>
        <v>0</v>
      </c>
      <c r="N41" s="1416">
        <f t="shared" si="17"/>
        <v>0</v>
      </c>
      <c r="O41" s="1416">
        <f t="shared" si="17"/>
        <v>0</v>
      </c>
      <c r="P41" s="1416">
        <f t="shared" si="17"/>
        <v>0</v>
      </c>
      <c r="Q41" s="1416">
        <f t="shared" si="17"/>
        <v>0</v>
      </c>
    </row>
    <row r="42" spans="3:17" hidden="1">
      <c r="C42" s="1412"/>
      <c r="D42" s="1407" t="s">
        <v>474</v>
      </c>
      <c r="E42" s="1407"/>
      <c r="F42" s="1408"/>
      <c r="G42" s="1399">
        <f t="shared" si="3"/>
        <v>65</v>
      </c>
      <c r="H42" s="1414"/>
      <c r="I42" s="1416">
        <f t="shared" ref="I42:Q42" si="18">I37-I40-I41</f>
        <v>16.688899999999997</v>
      </c>
      <c r="J42" s="1416">
        <f t="shared" si="18"/>
        <v>16.688899999999997</v>
      </c>
      <c r="K42" s="1416">
        <f t="shared" si="18"/>
        <v>16.688899999999997</v>
      </c>
      <c r="L42" s="1416">
        <f t="shared" si="18"/>
        <v>18.840600000000002</v>
      </c>
      <c r="M42" s="1416">
        <f t="shared" si="18"/>
        <v>18.840600000000002</v>
      </c>
      <c r="N42" s="1416">
        <f t="shared" si="18"/>
        <v>18.840600000000002</v>
      </c>
      <c r="O42" s="1416">
        <f t="shared" si="18"/>
        <v>19.546000000000003</v>
      </c>
      <c r="P42" s="1416">
        <f t="shared" si="18"/>
        <v>19.546000000000003</v>
      </c>
      <c r="Q42" s="1416">
        <f t="shared" si="18"/>
        <v>19.546000000000003</v>
      </c>
    </row>
    <row r="43" spans="3:17">
      <c r="C43" s="1400" t="s">
        <v>164</v>
      </c>
      <c r="D43" s="1393"/>
      <c r="E43" s="1393"/>
      <c r="F43" s="1394"/>
      <c r="G43" s="1399">
        <f t="shared" si="3"/>
        <v>70</v>
      </c>
      <c r="H43" s="1399"/>
      <c r="I43" s="1415">
        <v>10.405000000000001</v>
      </c>
      <c r="J43" s="1415">
        <v>10.405000000000001</v>
      </c>
      <c r="K43" s="1415">
        <v>10.405000000000001</v>
      </c>
      <c r="L43" s="1415">
        <v>12.261000000000001</v>
      </c>
      <c r="M43" s="1415">
        <v>12.261000000000001</v>
      </c>
      <c r="N43" s="1415">
        <v>12.261000000000001</v>
      </c>
      <c r="O43" s="1415">
        <v>13.704000000000001</v>
      </c>
      <c r="P43" s="1415">
        <v>13.704000000000001</v>
      </c>
      <c r="Q43" s="1415">
        <v>13.704000000000001</v>
      </c>
    </row>
    <row r="44" spans="3:17">
      <c r="C44" s="1402"/>
      <c r="D44" s="526" t="s">
        <v>155</v>
      </c>
      <c r="E44" s="526"/>
      <c r="F44" s="1403">
        <v>1</v>
      </c>
      <c r="G44" s="1399">
        <f t="shared" si="3"/>
        <v>71</v>
      </c>
      <c r="H44" s="1399"/>
      <c r="I44" s="1416">
        <v>6.2990000000000004</v>
      </c>
      <c r="J44" s="1416">
        <v>6.2990000000000004</v>
      </c>
      <c r="K44" s="1416">
        <v>6.2990000000000004</v>
      </c>
      <c r="L44" s="1416">
        <v>6.4450000000000003</v>
      </c>
      <c r="M44" s="1416">
        <v>6.4450000000000003</v>
      </c>
      <c r="N44" s="1416">
        <v>6.4450000000000003</v>
      </c>
      <c r="O44" s="1416">
        <v>6.36</v>
      </c>
      <c r="P44" s="1416">
        <v>6.36</v>
      </c>
      <c r="Q44" s="1416">
        <v>6.36</v>
      </c>
    </row>
    <row r="45" spans="3:17">
      <c r="C45" s="1402"/>
      <c r="D45" s="526" t="s">
        <v>156</v>
      </c>
      <c r="E45" s="526"/>
      <c r="F45" s="1403">
        <v>1</v>
      </c>
      <c r="G45" s="1399">
        <f t="shared" si="3"/>
        <v>72</v>
      </c>
      <c r="H45" s="1404"/>
      <c r="I45" s="1416">
        <v>10.077999999999999</v>
      </c>
      <c r="J45" s="1416">
        <v>10.077999999999999</v>
      </c>
      <c r="K45" s="1416">
        <v>10.077999999999999</v>
      </c>
      <c r="L45" s="1416">
        <v>11.452000000000002</v>
      </c>
      <c r="M45" s="1416">
        <v>11.452000000000002</v>
      </c>
      <c r="N45" s="1416">
        <v>11.452000000000002</v>
      </c>
      <c r="O45" s="1416">
        <v>12.857999999999999</v>
      </c>
      <c r="P45" s="1416">
        <v>12.857999999999999</v>
      </c>
      <c r="Q45" s="1416">
        <v>12.857999999999999</v>
      </c>
    </row>
    <row r="46" spans="3:17" hidden="1">
      <c r="C46" s="1405"/>
      <c r="D46" s="1407" t="s">
        <v>181</v>
      </c>
      <c r="E46" s="1407"/>
      <c r="F46" s="1408"/>
      <c r="G46" s="1399">
        <f t="shared" si="3"/>
        <v>73</v>
      </c>
      <c r="H46" s="1410">
        <f>H$10</f>
        <v>0.3</v>
      </c>
      <c r="I46" s="1416">
        <f>(I43-I44)*$H46</f>
        <v>1.2318000000000002</v>
      </c>
      <c r="J46" s="1416">
        <f t="shared" ref="J46:Q46" si="19">(J43-J44)*$H46</f>
        <v>1.2318000000000002</v>
      </c>
      <c r="K46" s="1416">
        <f t="shared" si="19"/>
        <v>1.2318000000000002</v>
      </c>
      <c r="L46" s="1416">
        <f t="shared" si="19"/>
        <v>1.7448000000000001</v>
      </c>
      <c r="M46" s="1416">
        <f t="shared" si="19"/>
        <v>1.7448000000000001</v>
      </c>
      <c r="N46" s="1416">
        <f t="shared" si="19"/>
        <v>1.7448000000000001</v>
      </c>
      <c r="O46" s="1416">
        <f t="shared" si="19"/>
        <v>2.2031999999999998</v>
      </c>
      <c r="P46" s="1416">
        <f t="shared" si="19"/>
        <v>2.2031999999999998</v>
      </c>
      <c r="Q46" s="1416">
        <f t="shared" si="19"/>
        <v>2.2031999999999998</v>
      </c>
    </row>
    <row r="47" spans="3:17" hidden="1">
      <c r="C47" s="1405"/>
      <c r="D47" s="1407" t="s">
        <v>182</v>
      </c>
      <c r="E47" s="1407"/>
      <c r="F47" s="1408"/>
      <c r="G47" s="1399">
        <f t="shared" si="3"/>
        <v>74</v>
      </c>
      <c r="H47" s="1410">
        <f>H$11</f>
        <v>0</v>
      </c>
      <c r="I47" s="1416">
        <f t="shared" ref="I47:Q47" si="20">(I43-I45)*$H47</f>
        <v>0</v>
      </c>
      <c r="J47" s="1416">
        <f t="shared" si="20"/>
        <v>0</v>
      </c>
      <c r="K47" s="1416">
        <f t="shared" si="20"/>
        <v>0</v>
      </c>
      <c r="L47" s="1416">
        <f t="shared" si="20"/>
        <v>0</v>
      </c>
      <c r="M47" s="1416">
        <f t="shared" si="20"/>
        <v>0</v>
      </c>
      <c r="N47" s="1416">
        <f t="shared" si="20"/>
        <v>0</v>
      </c>
      <c r="O47" s="1416">
        <f t="shared" si="20"/>
        <v>0</v>
      </c>
      <c r="P47" s="1416">
        <f t="shared" si="20"/>
        <v>0</v>
      </c>
      <c r="Q47" s="1416">
        <f t="shared" si="20"/>
        <v>0</v>
      </c>
    </row>
    <row r="48" spans="3:17" hidden="1">
      <c r="C48" s="1412"/>
      <c r="D48" s="1407" t="s">
        <v>474</v>
      </c>
      <c r="E48" s="1407"/>
      <c r="F48" s="1408"/>
      <c r="G48" s="1399">
        <f t="shared" si="3"/>
        <v>75</v>
      </c>
      <c r="H48" s="1414"/>
      <c r="I48" s="1416">
        <f t="shared" ref="I48:Q48" si="21">I43-I46-I47</f>
        <v>9.1732000000000014</v>
      </c>
      <c r="J48" s="1416">
        <f t="shared" si="21"/>
        <v>9.1732000000000014</v>
      </c>
      <c r="K48" s="1416">
        <f t="shared" si="21"/>
        <v>9.1732000000000014</v>
      </c>
      <c r="L48" s="1416">
        <f t="shared" si="21"/>
        <v>10.516200000000001</v>
      </c>
      <c r="M48" s="1416">
        <f t="shared" si="21"/>
        <v>10.516200000000001</v>
      </c>
      <c r="N48" s="1416">
        <f t="shared" si="21"/>
        <v>10.516200000000001</v>
      </c>
      <c r="O48" s="1416">
        <f t="shared" si="21"/>
        <v>11.500800000000002</v>
      </c>
      <c r="P48" s="1416">
        <f t="shared" si="21"/>
        <v>11.500800000000002</v>
      </c>
      <c r="Q48" s="1416">
        <f t="shared" si="21"/>
        <v>11.500800000000002</v>
      </c>
    </row>
    <row r="49" spans="3:17">
      <c r="C49" s="1400" t="s">
        <v>1079</v>
      </c>
      <c r="D49" s="1393"/>
      <c r="E49" s="1393"/>
      <c r="F49" s="1394"/>
      <c r="G49" s="1399">
        <f t="shared" si="3"/>
        <v>80</v>
      </c>
      <c r="H49" s="1399"/>
      <c r="I49" s="1415">
        <v>11.119000000000002</v>
      </c>
      <c r="J49" s="1415">
        <v>11.119000000000002</v>
      </c>
      <c r="K49" s="1415">
        <v>11.119000000000002</v>
      </c>
      <c r="L49" s="1415">
        <v>12.770000000000001</v>
      </c>
      <c r="M49" s="1415">
        <v>12.770000000000001</v>
      </c>
      <c r="N49" s="1415">
        <v>12.770000000000001</v>
      </c>
      <c r="O49" s="1415">
        <v>13.53</v>
      </c>
      <c r="P49" s="1415">
        <v>13.53</v>
      </c>
      <c r="Q49" s="1415">
        <v>13.53</v>
      </c>
    </row>
    <row r="50" spans="3:17">
      <c r="C50" s="1402"/>
      <c r="D50" s="526" t="s">
        <v>155</v>
      </c>
      <c r="E50" s="526"/>
      <c r="F50" s="1403">
        <v>1</v>
      </c>
      <c r="G50" s="1399">
        <f t="shared" si="3"/>
        <v>81</v>
      </c>
      <c r="H50" s="1399"/>
      <c r="I50" s="1416">
        <v>5.5570000000000004</v>
      </c>
      <c r="J50" s="1416">
        <v>5.5570000000000004</v>
      </c>
      <c r="K50" s="1416">
        <v>5.5570000000000004</v>
      </c>
      <c r="L50" s="1416">
        <v>5.6859999999999999</v>
      </c>
      <c r="M50" s="1416">
        <v>5.6859999999999999</v>
      </c>
      <c r="N50" s="1416">
        <v>5.6859999999999999</v>
      </c>
      <c r="O50" s="1416">
        <v>5.61</v>
      </c>
      <c r="P50" s="1416">
        <v>5.61</v>
      </c>
      <c r="Q50" s="1416">
        <v>5.61</v>
      </c>
    </row>
    <row r="51" spans="3:17">
      <c r="C51" s="1402"/>
      <c r="D51" s="526" t="s">
        <v>156</v>
      </c>
      <c r="E51" s="526"/>
      <c r="F51" s="1403">
        <v>1</v>
      </c>
      <c r="G51" s="1399">
        <f t="shared" si="3"/>
        <v>82</v>
      </c>
      <c r="H51" s="1404"/>
      <c r="I51" s="1416">
        <v>10.67</v>
      </c>
      <c r="J51" s="1416">
        <v>10.67</v>
      </c>
      <c r="K51" s="1416">
        <v>10.67</v>
      </c>
      <c r="L51" s="1416">
        <v>11.715999999999999</v>
      </c>
      <c r="M51" s="1416">
        <v>11.715999999999999</v>
      </c>
      <c r="N51" s="1416">
        <v>11.715999999999999</v>
      </c>
      <c r="O51" s="1416">
        <v>12.681000000000001</v>
      </c>
      <c r="P51" s="1416">
        <v>12.681000000000001</v>
      </c>
      <c r="Q51" s="1416">
        <v>12.681000000000001</v>
      </c>
    </row>
    <row r="52" spans="3:17" hidden="1">
      <c r="C52" s="1405"/>
      <c r="D52" s="1407" t="s">
        <v>181</v>
      </c>
      <c r="E52" s="1407"/>
      <c r="F52" s="1408"/>
      <c r="G52" s="1399">
        <f t="shared" si="3"/>
        <v>83</v>
      </c>
      <c r="H52" s="1410">
        <f>H$10</f>
        <v>0.3</v>
      </c>
      <c r="I52" s="1416">
        <f>(I49-I50)*$H52</f>
        <v>1.6686000000000003</v>
      </c>
      <c r="J52" s="1416">
        <f t="shared" ref="J52:Q52" si="22">(J49-J50)*$H52</f>
        <v>1.6686000000000003</v>
      </c>
      <c r="K52" s="1416">
        <f t="shared" si="22"/>
        <v>1.6686000000000003</v>
      </c>
      <c r="L52" s="1416">
        <f t="shared" si="22"/>
        <v>2.1252000000000004</v>
      </c>
      <c r="M52" s="1416">
        <f t="shared" si="22"/>
        <v>2.1252000000000004</v>
      </c>
      <c r="N52" s="1416">
        <f t="shared" si="22"/>
        <v>2.1252000000000004</v>
      </c>
      <c r="O52" s="1416">
        <f t="shared" si="22"/>
        <v>2.3759999999999994</v>
      </c>
      <c r="P52" s="1416">
        <f t="shared" si="22"/>
        <v>2.3759999999999994</v>
      </c>
      <c r="Q52" s="1416">
        <f t="shared" si="22"/>
        <v>2.3759999999999994</v>
      </c>
    </row>
    <row r="53" spans="3:17" hidden="1">
      <c r="C53" s="1405"/>
      <c r="D53" s="1407" t="s">
        <v>182</v>
      </c>
      <c r="E53" s="1407"/>
      <c r="F53" s="1408"/>
      <c r="G53" s="1399">
        <f t="shared" si="3"/>
        <v>84</v>
      </c>
      <c r="H53" s="1410">
        <f>H$11</f>
        <v>0</v>
      </c>
      <c r="I53" s="1416">
        <f t="shared" ref="I53:Q53" si="23">(I49-I51)*$H53</f>
        <v>0</v>
      </c>
      <c r="J53" s="1416">
        <f t="shared" si="23"/>
        <v>0</v>
      </c>
      <c r="K53" s="1416">
        <f t="shared" si="23"/>
        <v>0</v>
      </c>
      <c r="L53" s="1416">
        <f t="shared" si="23"/>
        <v>0</v>
      </c>
      <c r="M53" s="1416">
        <f t="shared" si="23"/>
        <v>0</v>
      </c>
      <c r="N53" s="1416">
        <f t="shared" si="23"/>
        <v>0</v>
      </c>
      <c r="O53" s="1416">
        <f t="shared" si="23"/>
        <v>0</v>
      </c>
      <c r="P53" s="1416">
        <f t="shared" si="23"/>
        <v>0</v>
      </c>
      <c r="Q53" s="1416">
        <f t="shared" si="23"/>
        <v>0</v>
      </c>
    </row>
    <row r="54" spans="3:17" hidden="1">
      <c r="C54" s="1412"/>
      <c r="D54" s="1407" t="s">
        <v>474</v>
      </c>
      <c r="E54" s="1407"/>
      <c r="F54" s="1408"/>
      <c r="G54" s="1399">
        <f t="shared" si="3"/>
        <v>85</v>
      </c>
      <c r="H54" s="1414"/>
      <c r="I54" s="1416">
        <f t="shared" ref="I54:Q54" si="24">I49-I52-I53</f>
        <v>9.4504000000000019</v>
      </c>
      <c r="J54" s="1416">
        <f t="shared" si="24"/>
        <v>9.4504000000000019</v>
      </c>
      <c r="K54" s="1416">
        <f t="shared" si="24"/>
        <v>9.4504000000000019</v>
      </c>
      <c r="L54" s="1416">
        <f t="shared" si="24"/>
        <v>10.6448</v>
      </c>
      <c r="M54" s="1416">
        <f t="shared" si="24"/>
        <v>10.6448</v>
      </c>
      <c r="N54" s="1416">
        <f t="shared" si="24"/>
        <v>10.6448</v>
      </c>
      <c r="O54" s="1416">
        <f t="shared" si="24"/>
        <v>11.154</v>
      </c>
      <c r="P54" s="1416">
        <f t="shared" si="24"/>
        <v>11.154</v>
      </c>
      <c r="Q54" s="1416">
        <f t="shared" si="24"/>
        <v>11.154</v>
      </c>
    </row>
    <row r="55" spans="3:17">
      <c r="C55" s="1400" t="s">
        <v>763</v>
      </c>
      <c r="D55" s="1393"/>
      <c r="E55" s="1393"/>
      <c r="F55" s="1394"/>
      <c r="G55" s="1399">
        <f t="shared" si="3"/>
        <v>90</v>
      </c>
      <c r="H55" s="1399"/>
      <c r="I55" s="1415">
        <v>15.641</v>
      </c>
      <c r="J55" s="1415">
        <v>7.8210000000000006</v>
      </c>
      <c r="K55" s="1415">
        <v>5.2140000000000004</v>
      </c>
      <c r="L55" s="1415">
        <v>19.619999999999997</v>
      </c>
      <c r="M55" s="1415">
        <v>9.8079999999999998</v>
      </c>
      <c r="N55" s="1415">
        <v>6.5390000000000006</v>
      </c>
      <c r="O55" s="1415">
        <v>22.378</v>
      </c>
      <c r="P55" s="1415">
        <v>11.187999999999999</v>
      </c>
      <c r="Q55" s="1415">
        <v>7.4590000000000005</v>
      </c>
    </row>
    <row r="56" spans="3:17">
      <c r="C56" s="1402"/>
      <c r="D56" s="526" t="s">
        <v>155</v>
      </c>
      <c r="E56" s="526"/>
      <c r="F56" s="1403">
        <v>1</v>
      </c>
      <c r="G56" s="1399">
        <f t="shared" si="3"/>
        <v>91</v>
      </c>
      <c r="H56" s="1399"/>
      <c r="I56" s="1416">
        <v>9.0940000000000012</v>
      </c>
      <c r="J56" s="1416">
        <v>4.5460000000000003</v>
      </c>
      <c r="K56" s="1416">
        <v>3.0309999999999997</v>
      </c>
      <c r="L56" s="1416">
        <v>8.8330000000000002</v>
      </c>
      <c r="M56" s="1416">
        <v>4.4160000000000004</v>
      </c>
      <c r="N56" s="1416">
        <v>2.9430000000000001</v>
      </c>
      <c r="O56" s="1416">
        <v>8.7469999999999999</v>
      </c>
      <c r="P56" s="1416">
        <v>4.3730000000000002</v>
      </c>
      <c r="Q56" s="1416">
        <v>2.915</v>
      </c>
    </row>
    <row r="57" spans="3:17">
      <c r="C57" s="1402"/>
      <c r="D57" s="526" t="s">
        <v>156</v>
      </c>
      <c r="E57" s="526"/>
      <c r="F57" s="1403">
        <v>1</v>
      </c>
      <c r="G57" s="1399">
        <f t="shared" si="3"/>
        <v>92</v>
      </c>
      <c r="H57" s="1404"/>
      <c r="I57" s="1416">
        <v>14.974</v>
      </c>
      <c r="J57" s="1416">
        <v>7.4880000000000004</v>
      </c>
      <c r="K57" s="1416">
        <v>4.9910000000000005</v>
      </c>
      <c r="L57" s="1416">
        <v>18.148999999999997</v>
      </c>
      <c r="M57" s="1416">
        <v>9.0730000000000004</v>
      </c>
      <c r="N57" s="1416">
        <v>6.0490000000000004</v>
      </c>
      <c r="O57" s="1416">
        <v>20.89</v>
      </c>
      <c r="P57" s="1416">
        <v>10.443999999999999</v>
      </c>
      <c r="Q57" s="1416">
        <v>6.9620000000000006</v>
      </c>
    </row>
    <row r="58" spans="3:17" hidden="1">
      <c r="C58" s="1405"/>
      <c r="D58" s="1406"/>
      <c r="E58" s="1407" t="s">
        <v>181</v>
      </c>
      <c r="F58" s="1408"/>
      <c r="G58" s="1399">
        <f t="shared" si="3"/>
        <v>93</v>
      </c>
      <c r="H58" s="1410">
        <f>H$10</f>
        <v>0.3</v>
      </c>
      <c r="I58" s="1416">
        <f>(I55-I56)*$H58</f>
        <v>1.9640999999999995</v>
      </c>
      <c r="J58" s="1416">
        <f t="shared" ref="J58:Q58" si="25">(J55-J56)*$H58</f>
        <v>0.98250000000000004</v>
      </c>
      <c r="K58" s="1416">
        <f t="shared" si="25"/>
        <v>0.65490000000000015</v>
      </c>
      <c r="L58" s="1416">
        <f t="shared" si="25"/>
        <v>3.2360999999999991</v>
      </c>
      <c r="M58" s="1416">
        <f t="shared" si="25"/>
        <v>1.6175999999999997</v>
      </c>
      <c r="N58" s="1416">
        <f t="shared" si="25"/>
        <v>1.0788000000000002</v>
      </c>
      <c r="O58" s="1416">
        <f t="shared" si="25"/>
        <v>4.0892999999999997</v>
      </c>
      <c r="P58" s="1416">
        <f t="shared" si="25"/>
        <v>2.0444999999999993</v>
      </c>
      <c r="Q58" s="1416">
        <f t="shared" si="25"/>
        <v>1.3632000000000002</v>
      </c>
    </row>
    <row r="59" spans="3:17" hidden="1">
      <c r="C59" s="1405"/>
      <c r="D59" s="1397"/>
      <c r="E59" s="1407" t="s">
        <v>182</v>
      </c>
      <c r="F59" s="1408"/>
      <c r="G59" s="1399">
        <f t="shared" si="3"/>
        <v>94</v>
      </c>
      <c r="H59" s="1410">
        <f>H$11</f>
        <v>0</v>
      </c>
      <c r="I59" s="1416">
        <f>(I55-I57)*$H59</f>
        <v>0</v>
      </c>
      <c r="J59" s="1416">
        <f t="shared" ref="J59:Q59" si="26">(J55-J57)*$H59</f>
        <v>0</v>
      </c>
      <c r="K59" s="1416">
        <f t="shared" si="26"/>
        <v>0</v>
      </c>
      <c r="L59" s="1416">
        <f t="shared" si="26"/>
        <v>0</v>
      </c>
      <c r="M59" s="1416">
        <f t="shared" si="26"/>
        <v>0</v>
      </c>
      <c r="N59" s="1416">
        <f t="shared" si="26"/>
        <v>0</v>
      </c>
      <c r="O59" s="1416">
        <f t="shared" si="26"/>
        <v>0</v>
      </c>
      <c r="P59" s="1416">
        <f t="shared" si="26"/>
        <v>0</v>
      </c>
      <c r="Q59" s="1416">
        <f t="shared" si="26"/>
        <v>0</v>
      </c>
    </row>
    <row r="60" spans="3:17" hidden="1">
      <c r="C60" s="1412"/>
      <c r="D60" s="1413"/>
      <c r="E60" s="1407" t="s">
        <v>474</v>
      </c>
      <c r="F60" s="1408"/>
      <c r="G60" s="1399">
        <f t="shared" si="3"/>
        <v>95</v>
      </c>
      <c r="H60" s="1414"/>
      <c r="I60" s="1416">
        <f>I55-I58-I59</f>
        <v>13.6769</v>
      </c>
      <c r="J60" s="1416">
        <f t="shared" ref="J60:Q60" si="27">J55-J58-J59</f>
        <v>6.8385000000000007</v>
      </c>
      <c r="K60" s="1416">
        <f t="shared" si="27"/>
        <v>4.5590999999999999</v>
      </c>
      <c r="L60" s="1416">
        <f t="shared" si="27"/>
        <v>16.383899999999997</v>
      </c>
      <c r="M60" s="1416">
        <f t="shared" si="27"/>
        <v>8.1904000000000003</v>
      </c>
      <c r="N60" s="1416">
        <f t="shared" si="27"/>
        <v>5.4602000000000004</v>
      </c>
      <c r="O60" s="1416">
        <f t="shared" si="27"/>
        <v>18.288699999999999</v>
      </c>
      <c r="P60" s="1416">
        <f t="shared" si="27"/>
        <v>9.1434999999999995</v>
      </c>
      <c r="Q60" s="1416">
        <f t="shared" si="27"/>
        <v>6.0958000000000006</v>
      </c>
    </row>
    <row r="61" spans="3:17">
      <c r="C61" s="1417"/>
      <c r="D61" s="1417"/>
      <c r="E61" s="1359"/>
      <c r="F61" s="1359"/>
      <c r="G61" s="1359"/>
      <c r="H61" s="1359"/>
      <c r="I61" s="1359"/>
      <c r="J61" s="1359"/>
      <c r="K61" s="1359"/>
      <c r="L61" s="1359"/>
      <c r="M61" s="1359"/>
      <c r="N61" s="1359"/>
      <c r="O61" s="1359"/>
      <c r="P61" s="1359"/>
      <c r="Q61" s="1359"/>
    </row>
    <row r="62" spans="3:17">
      <c r="C62" s="1381" t="s">
        <v>183</v>
      </c>
      <c r="D62" s="1382"/>
      <c r="E62" s="1359"/>
      <c r="F62" s="1359"/>
      <c r="G62" s="1359"/>
      <c r="H62" s="1359"/>
      <c r="I62" s="1383" t="s">
        <v>147</v>
      </c>
      <c r="J62" s="1384"/>
      <c r="K62" s="1384"/>
      <c r="L62" s="1385"/>
      <c r="M62" s="1385"/>
      <c r="N62" s="1385"/>
      <c r="O62" s="1385"/>
      <c r="P62" s="1385"/>
      <c r="Q62" s="1386"/>
    </row>
    <row r="63" spans="3:17">
      <c r="C63" s="1387"/>
      <c r="D63" s="1388" t="s">
        <v>177</v>
      </c>
      <c r="E63" s="1387"/>
      <c r="F63" s="1387"/>
      <c r="G63" s="1387"/>
      <c r="H63" s="1387"/>
      <c r="I63" s="1389" t="s">
        <v>420</v>
      </c>
      <c r="J63" s="1385" t="s">
        <v>264</v>
      </c>
      <c r="K63" s="1390"/>
      <c r="L63" s="1389" t="s">
        <v>421</v>
      </c>
      <c r="M63" s="1385"/>
      <c r="N63" s="1390"/>
      <c r="O63" s="1389" t="s">
        <v>422</v>
      </c>
      <c r="P63" s="1385"/>
      <c r="Q63" s="1390"/>
    </row>
    <row r="64" spans="3:17">
      <c r="C64" s="1391" t="s">
        <v>178</v>
      </c>
      <c r="D64" s="1392"/>
      <c r="E64" s="1393"/>
      <c r="F64" s="1394"/>
      <c r="G64" s="1418"/>
      <c r="H64" s="1418"/>
      <c r="I64" s="1396" t="s">
        <v>1080</v>
      </c>
      <c r="J64" s="1396" t="s">
        <v>1081</v>
      </c>
      <c r="K64" s="1396" t="s">
        <v>1082</v>
      </c>
      <c r="L64" s="1396" t="s">
        <v>1080</v>
      </c>
      <c r="M64" s="1396" t="s">
        <v>1081</v>
      </c>
      <c r="N64" s="1396" t="s">
        <v>1082</v>
      </c>
      <c r="O64" s="1396" t="s">
        <v>1080</v>
      </c>
      <c r="P64" s="1396" t="s">
        <v>1081</v>
      </c>
      <c r="Q64" s="1396" t="s">
        <v>1082</v>
      </c>
    </row>
    <row r="65" spans="3:17">
      <c r="C65" s="1400" t="s">
        <v>456</v>
      </c>
      <c r="D65" s="1401"/>
      <c r="E65" s="1419"/>
      <c r="F65" s="1420"/>
      <c r="G65" s="1421">
        <v>1</v>
      </c>
      <c r="H65" s="1421"/>
      <c r="I65" s="1423">
        <v>15.990999999999998</v>
      </c>
      <c r="J65" s="1423">
        <v>15.990999999999998</v>
      </c>
      <c r="K65" s="1423">
        <v>15.990999999999998</v>
      </c>
      <c r="L65" s="1423">
        <v>16.456</v>
      </c>
      <c r="M65" s="1423">
        <v>16.456</v>
      </c>
      <c r="N65" s="1423">
        <v>16.456</v>
      </c>
      <c r="O65" s="1423">
        <v>16.21</v>
      </c>
      <c r="P65" s="1423">
        <v>16.21</v>
      </c>
      <c r="Q65" s="1423">
        <v>16.21</v>
      </c>
    </row>
    <row r="66" spans="3:17" ht="16.5" hidden="1" customHeight="1">
      <c r="C66" s="1402"/>
      <c r="D66" s="526" t="s">
        <v>155</v>
      </c>
      <c r="E66" s="526"/>
      <c r="F66" s="1403">
        <v>1</v>
      </c>
      <c r="G66" s="1421"/>
      <c r="H66" s="1421"/>
      <c r="I66" s="1423"/>
      <c r="J66" s="1423"/>
      <c r="K66" s="1423"/>
      <c r="L66" s="1423"/>
      <c r="M66" s="1423"/>
      <c r="N66" s="1423"/>
      <c r="O66" s="1423"/>
      <c r="P66" s="1423"/>
      <c r="Q66" s="1423"/>
    </row>
    <row r="67" spans="3:17" hidden="1">
      <c r="C67" s="1402"/>
      <c r="D67" s="1407" t="s">
        <v>184</v>
      </c>
      <c r="E67" s="1407"/>
      <c r="F67" s="1422"/>
      <c r="G67" s="1414"/>
      <c r="H67" s="1410">
        <v>0</v>
      </c>
      <c r="I67" s="1423">
        <f>I65-(I65-I66)*$H67</f>
        <v>15.990999999999998</v>
      </c>
      <c r="J67" s="1423">
        <f t="shared" ref="J67:Q67" si="28">J65-(J65-J66)*$H67</f>
        <v>15.990999999999998</v>
      </c>
      <c r="K67" s="1423">
        <f t="shared" si="28"/>
        <v>15.990999999999998</v>
      </c>
      <c r="L67" s="1423">
        <f t="shared" si="28"/>
        <v>16.456</v>
      </c>
      <c r="M67" s="1423">
        <f t="shared" si="28"/>
        <v>16.456</v>
      </c>
      <c r="N67" s="1423">
        <f t="shared" si="28"/>
        <v>16.456</v>
      </c>
      <c r="O67" s="1423">
        <f t="shared" si="28"/>
        <v>16.21</v>
      </c>
      <c r="P67" s="1423">
        <f t="shared" si="28"/>
        <v>16.21</v>
      </c>
      <c r="Q67" s="1423">
        <f t="shared" si="28"/>
        <v>16.21</v>
      </c>
    </row>
    <row r="68" spans="3:17">
      <c r="C68" s="1400" t="s">
        <v>159</v>
      </c>
      <c r="D68" s="1419"/>
      <c r="E68" s="1419"/>
      <c r="F68" s="1420"/>
      <c r="G68" s="1421">
        <v>2</v>
      </c>
      <c r="H68" s="1421"/>
      <c r="I68" s="1423">
        <v>11.802</v>
      </c>
      <c r="J68" s="1423">
        <v>11.802</v>
      </c>
      <c r="K68" s="1423">
        <v>11.802</v>
      </c>
      <c r="L68" s="1423">
        <v>12.423999999999999</v>
      </c>
      <c r="M68" s="1423">
        <v>12.423999999999999</v>
      </c>
      <c r="N68" s="1423">
        <v>12.423999999999999</v>
      </c>
      <c r="O68" s="1423">
        <v>12.306000000000001</v>
      </c>
      <c r="P68" s="1423">
        <v>12.306000000000001</v>
      </c>
      <c r="Q68" s="1423">
        <v>12.306000000000001</v>
      </c>
    </row>
    <row r="69" spans="3:17" hidden="1">
      <c r="C69" s="1402"/>
      <c r="D69" s="526" t="s">
        <v>155</v>
      </c>
      <c r="E69" s="526"/>
      <c r="F69" s="1403">
        <v>1</v>
      </c>
      <c r="G69" s="1421"/>
      <c r="H69" s="1421"/>
      <c r="I69" s="1423"/>
      <c r="J69" s="1423"/>
      <c r="K69" s="1423"/>
      <c r="L69" s="1423"/>
      <c r="M69" s="1423"/>
      <c r="N69" s="1423"/>
      <c r="O69" s="1423"/>
      <c r="P69" s="1423"/>
      <c r="Q69" s="1423"/>
    </row>
    <row r="70" spans="3:17" hidden="1">
      <c r="C70" s="1402"/>
      <c r="D70" s="1407" t="s">
        <v>184</v>
      </c>
      <c r="E70" s="1407"/>
      <c r="F70" s="1422"/>
      <c r="G70" s="1414"/>
      <c r="H70" s="1410">
        <v>0</v>
      </c>
      <c r="I70" s="1423">
        <f t="shared" ref="I70:Q70" si="29">I68-(I68-I69)*$H70</f>
        <v>11.802</v>
      </c>
      <c r="J70" s="1423">
        <f t="shared" si="29"/>
        <v>11.802</v>
      </c>
      <c r="K70" s="1423">
        <f t="shared" si="29"/>
        <v>11.802</v>
      </c>
      <c r="L70" s="1423">
        <f t="shared" si="29"/>
        <v>12.423999999999999</v>
      </c>
      <c r="M70" s="1423">
        <f t="shared" si="29"/>
        <v>12.423999999999999</v>
      </c>
      <c r="N70" s="1423">
        <f t="shared" si="29"/>
        <v>12.423999999999999</v>
      </c>
      <c r="O70" s="1423">
        <f t="shared" si="29"/>
        <v>12.306000000000001</v>
      </c>
      <c r="P70" s="1423">
        <f t="shared" si="29"/>
        <v>12.306000000000001</v>
      </c>
      <c r="Q70" s="1423">
        <f t="shared" si="29"/>
        <v>12.306000000000001</v>
      </c>
    </row>
    <row r="71" spans="3:17">
      <c r="C71" s="1400" t="s">
        <v>160</v>
      </c>
      <c r="D71" s="1419"/>
      <c r="E71" s="1419"/>
      <c r="F71" s="1420"/>
      <c r="G71" s="1421">
        <v>3</v>
      </c>
      <c r="H71" s="1421"/>
      <c r="I71" s="1423">
        <v>6.88</v>
      </c>
      <c r="J71" s="1423">
        <v>6.88</v>
      </c>
      <c r="K71" s="1423">
        <v>6.88</v>
      </c>
      <c r="L71" s="1423">
        <v>7.7379999999999995</v>
      </c>
      <c r="M71" s="1423">
        <v>7.7379999999999995</v>
      </c>
      <c r="N71" s="1423">
        <v>7.7379999999999995</v>
      </c>
      <c r="O71" s="1423">
        <v>6.91</v>
      </c>
      <c r="P71" s="1423">
        <v>6.91</v>
      </c>
      <c r="Q71" s="1423">
        <v>6.91</v>
      </c>
    </row>
    <row r="72" spans="3:17" hidden="1">
      <c r="C72" s="1402"/>
      <c r="D72" s="526" t="s">
        <v>155</v>
      </c>
      <c r="E72" s="526"/>
      <c r="F72" s="1403">
        <v>1</v>
      </c>
      <c r="G72" s="1421"/>
      <c r="H72" s="1421"/>
      <c r="I72" s="1423"/>
      <c r="J72" s="1423"/>
      <c r="K72" s="1423"/>
      <c r="L72" s="1423"/>
      <c r="M72" s="1423"/>
      <c r="N72" s="1423"/>
      <c r="O72" s="1423"/>
      <c r="P72" s="1423"/>
      <c r="Q72" s="1423"/>
    </row>
    <row r="73" spans="3:17" hidden="1">
      <c r="C73" s="1402"/>
      <c r="D73" s="1407" t="s">
        <v>184</v>
      </c>
      <c r="E73" s="1407"/>
      <c r="F73" s="1422"/>
      <c r="G73" s="1414"/>
      <c r="H73" s="1410">
        <v>0</v>
      </c>
      <c r="I73" s="1423">
        <f>I71-(I71-I72)*$H73</f>
        <v>6.88</v>
      </c>
      <c r="J73" s="1423">
        <f>J71-(J71-J72)*$H73</f>
        <v>6.88</v>
      </c>
      <c r="K73" s="1423">
        <f>K71-(K71-K72)*$H73</f>
        <v>6.88</v>
      </c>
      <c r="L73" s="1423">
        <v>13.193999999999999</v>
      </c>
      <c r="M73" s="1423">
        <v>13.193999999999999</v>
      </c>
      <c r="N73" s="1423">
        <v>13.193999999999999</v>
      </c>
      <c r="O73" s="1423">
        <f>O71-(O71-O72)*$H73</f>
        <v>6.91</v>
      </c>
      <c r="P73" s="1423">
        <f>P71-(P71-P72)*$H73</f>
        <v>6.91</v>
      </c>
      <c r="Q73" s="1423">
        <f>Q71-(Q71-Q72)*$H73</f>
        <v>6.91</v>
      </c>
    </row>
    <row r="74" spans="3:17">
      <c r="C74" s="1400" t="s">
        <v>162</v>
      </c>
      <c r="D74" s="1419"/>
      <c r="E74" s="1419"/>
      <c r="F74" s="1420"/>
      <c r="G74" s="1421">
        <v>4</v>
      </c>
      <c r="H74" s="1421"/>
      <c r="I74" s="1423">
        <v>6.88</v>
      </c>
      <c r="J74" s="1423">
        <v>6.88</v>
      </c>
      <c r="K74" s="1423">
        <v>6.88</v>
      </c>
      <c r="L74" s="1423">
        <v>7.7379999999999995</v>
      </c>
      <c r="M74" s="1423">
        <v>7.7379999999999995</v>
      </c>
      <c r="N74" s="1423">
        <v>7.7379999999999995</v>
      </c>
      <c r="O74" s="1423">
        <v>6.91</v>
      </c>
      <c r="P74" s="1423">
        <v>6.91</v>
      </c>
      <c r="Q74" s="1423">
        <v>6.91</v>
      </c>
    </row>
    <row r="75" spans="3:17" hidden="1">
      <c r="C75" s="1402"/>
      <c r="D75" s="526" t="s">
        <v>155</v>
      </c>
      <c r="E75" s="526"/>
      <c r="F75" s="1403">
        <v>1</v>
      </c>
      <c r="G75" s="1421"/>
      <c r="H75" s="1421"/>
      <c r="I75" s="1423"/>
      <c r="J75" s="1423"/>
      <c r="K75" s="1423"/>
      <c r="L75" s="1423"/>
      <c r="M75" s="1423"/>
      <c r="N75" s="1423"/>
      <c r="O75" s="1423"/>
      <c r="P75" s="1423"/>
      <c r="Q75" s="1423"/>
    </row>
    <row r="76" spans="3:17" hidden="1">
      <c r="C76" s="1402"/>
      <c r="D76" s="1407" t="s">
        <v>184</v>
      </c>
      <c r="E76" s="1407"/>
      <c r="F76" s="1422"/>
      <c r="G76" s="1414"/>
      <c r="H76" s="1410">
        <v>0</v>
      </c>
      <c r="I76" s="1423">
        <f t="shared" ref="I76:Q76" si="30">I74-(I74-I75)*$H76</f>
        <v>6.88</v>
      </c>
      <c r="J76" s="1423">
        <f t="shared" si="30"/>
        <v>6.88</v>
      </c>
      <c r="K76" s="1423">
        <f t="shared" si="30"/>
        <v>6.88</v>
      </c>
      <c r="L76" s="1423">
        <f t="shared" si="30"/>
        <v>7.7379999999999995</v>
      </c>
      <c r="M76" s="1423">
        <f t="shared" si="30"/>
        <v>7.7379999999999995</v>
      </c>
      <c r="N76" s="1423">
        <f t="shared" si="30"/>
        <v>7.7379999999999995</v>
      </c>
      <c r="O76" s="1423">
        <f t="shared" si="30"/>
        <v>6.91</v>
      </c>
      <c r="P76" s="1423">
        <f t="shared" si="30"/>
        <v>6.91</v>
      </c>
      <c r="Q76" s="1423">
        <f t="shared" si="30"/>
        <v>6.91</v>
      </c>
    </row>
    <row r="77" spans="3:17">
      <c r="C77" s="1400" t="s">
        <v>163</v>
      </c>
      <c r="D77" s="1419"/>
      <c r="E77" s="1419"/>
      <c r="F77" s="1420"/>
      <c r="G77" s="1421">
        <v>5</v>
      </c>
      <c r="H77" s="1421"/>
      <c r="I77" s="1423">
        <v>12.809999999999999</v>
      </c>
      <c r="J77" s="1423">
        <v>12.809999999999999</v>
      </c>
      <c r="K77" s="1423">
        <v>12.809999999999999</v>
      </c>
      <c r="L77" s="1423">
        <v>13.426</v>
      </c>
      <c r="M77" s="1423">
        <v>13.426</v>
      </c>
      <c r="N77" s="1423">
        <v>13.426</v>
      </c>
      <c r="O77" s="1423">
        <v>13.251000000000001</v>
      </c>
      <c r="P77" s="1423">
        <v>13.251000000000001</v>
      </c>
      <c r="Q77" s="1423">
        <v>13.251000000000001</v>
      </c>
    </row>
    <row r="78" spans="3:17" hidden="1">
      <c r="C78" s="1402"/>
      <c r="D78" s="526" t="s">
        <v>155</v>
      </c>
      <c r="E78" s="526"/>
      <c r="F78" s="1403">
        <v>1</v>
      </c>
      <c r="G78" s="1421"/>
      <c r="H78" s="1421"/>
      <c r="I78" s="1423"/>
      <c r="J78" s="1423"/>
      <c r="K78" s="1423"/>
      <c r="L78" s="1423"/>
      <c r="M78" s="1423"/>
      <c r="N78" s="1423"/>
      <c r="O78" s="1423"/>
      <c r="P78" s="1423"/>
      <c r="Q78" s="1423"/>
    </row>
    <row r="79" spans="3:17" hidden="1">
      <c r="C79" s="1402"/>
      <c r="D79" s="1407" t="s">
        <v>184</v>
      </c>
      <c r="E79" s="1407"/>
      <c r="F79" s="1422"/>
      <c r="G79" s="1414"/>
      <c r="H79" s="1410">
        <v>0</v>
      </c>
      <c r="I79" s="1423">
        <f t="shared" ref="I79:Q79" si="31">I77-(I77-I78)*$H79</f>
        <v>12.809999999999999</v>
      </c>
      <c r="J79" s="1423">
        <f t="shared" si="31"/>
        <v>12.809999999999999</v>
      </c>
      <c r="K79" s="1423">
        <f t="shared" si="31"/>
        <v>12.809999999999999</v>
      </c>
      <c r="L79" s="1423">
        <f t="shared" si="31"/>
        <v>13.426</v>
      </c>
      <c r="M79" s="1423">
        <f t="shared" si="31"/>
        <v>13.426</v>
      </c>
      <c r="N79" s="1423">
        <f t="shared" si="31"/>
        <v>13.426</v>
      </c>
      <c r="O79" s="1423">
        <f t="shared" si="31"/>
        <v>13.251000000000001</v>
      </c>
      <c r="P79" s="1423">
        <f t="shared" si="31"/>
        <v>13.251000000000001</v>
      </c>
      <c r="Q79" s="1423">
        <f t="shared" si="31"/>
        <v>13.251000000000001</v>
      </c>
    </row>
    <row r="80" spans="3:17">
      <c r="C80" s="1400" t="s">
        <v>472</v>
      </c>
      <c r="D80" s="1393"/>
      <c r="E80" s="1393"/>
      <c r="F80" s="1420"/>
      <c r="G80" s="1421">
        <v>6</v>
      </c>
      <c r="H80" s="1421"/>
      <c r="I80" s="1423">
        <v>8.6499999999999986</v>
      </c>
      <c r="J80" s="1423">
        <v>8.6499999999999986</v>
      </c>
      <c r="K80" s="1423">
        <v>8.6499999999999986</v>
      </c>
      <c r="L80" s="1423">
        <v>9.4220000000000006</v>
      </c>
      <c r="M80" s="1423">
        <v>9.4220000000000006</v>
      </c>
      <c r="N80" s="1423">
        <v>9.4220000000000006</v>
      </c>
      <c r="O80" s="1423">
        <v>9.0609999999999999</v>
      </c>
      <c r="P80" s="1423">
        <v>9.0609999999999999</v>
      </c>
      <c r="Q80" s="1423">
        <v>9.0609999999999999</v>
      </c>
    </row>
    <row r="81" spans="3:21" hidden="1">
      <c r="C81" s="1402"/>
      <c r="D81" s="526" t="s">
        <v>155</v>
      </c>
      <c r="E81" s="526"/>
      <c r="F81" s="1403">
        <v>1</v>
      </c>
      <c r="G81" s="1421"/>
      <c r="H81" s="1421"/>
      <c r="I81" s="1423"/>
      <c r="J81" s="1423"/>
      <c r="K81" s="1423"/>
      <c r="L81" s="1423"/>
      <c r="M81" s="1423"/>
      <c r="N81" s="1423"/>
      <c r="O81" s="1423"/>
      <c r="P81" s="1423"/>
      <c r="Q81" s="1423"/>
    </row>
    <row r="82" spans="3:21" hidden="1">
      <c r="C82" s="1424"/>
      <c r="D82" s="1407" t="s">
        <v>184</v>
      </c>
      <c r="E82" s="1407"/>
      <c r="F82" s="1422"/>
      <c r="G82" s="1414"/>
      <c r="H82" s="1410">
        <v>0</v>
      </c>
      <c r="I82" s="1423">
        <f t="shared" ref="I82:Q82" si="32">I80-(I80-I81)*$H82</f>
        <v>8.6499999999999986</v>
      </c>
      <c r="J82" s="1423">
        <f t="shared" si="32"/>
        <v>8.6499999999999986</v>
      </c>
      <c r="K82" s="1423">
        <f t="shared" si="32"/>
        <v>8.6499999999999986</v>
      </c>
      <c r="L82" s="1423">
        <f t="shared" si="32"/>
        <v>9.4220000000000006</v>
      </c>
      <c r="M82" s="1423">
        <f t="shared" si="32"/>
        <v>9.4220000000000006</v>
      </c>
      <c r="N82" s="1423">
        <f t="shared" si="32"/>
        <v>9.4220000000000006</v>
      </c>
      <c r="O82" s="1423">
        <f t="shared" si="32"/>
        <v>9.0609999999999999</v>
      </c>
      <c r="P82" s="1423">
        <f t="shared" si="32"/>
        <v>9.0609999999999999</v>
      </c>
      <c r="Q82" s="1423">
        <f t="shared" si="32"/>
        <v>9.0609999999999999</v>
      </c>
    </row>
    <row r="83" spans="3:21">
      <c r="C83" s="1400" t="s">
        <v>164</v>
      </c>
      <c r="D83" s="1419"/>
      <c r="E83" s="1419"/>
      <c r="F83" s="1420"/>
      <c r="G83" s="1421">
        <v>7</v>
      </c>
      <c r="H83" s="1421"/>
      <c r="I83" s="1423">
        <v>15.425999999999998</v>
      </c>
      <c r="J83" s="1423">
        <v>15.425999999999998</v>
      </c>
      <c r="K83" s="1423">
        <v>15.425999999999998</v>
      </c>
      <c r="L83" s="1423">
        <v>16.053999999999998</v>
      </c>
      <c r="M83" s="1423">
        <v>16.053999999999998</v>
      </c>
      <c r="N83" s="1423">
        <v>16.053999999999998</v>
      </c>
      <c r="O83" s="1423">
        <v>15.893999999999998</v>
      </c>
      <c r="P83" s="1423">
        <v>15.893999999999998</v>
      </c>
      <c r="Q83" s="1423">
        <v>15.893999999999998</v>
      </c>
    </row>
    <row r="84" spans="3:21" hidden="1">
      <c r="C84" s="1402"/>
      <c r="D84" s="526" t="s">
        <v>155</v>
      </c>
      <c r="E84" s="526"/>
      <c r="F84" s="1403">
        <v>1</v>
      </c>
      <c r="G84" s="1421"/>
      <c r="H84" s="1421"/>
      <c r="I84" s="1423"/>
      <c r="J84" s="1423"/>
      <c r="K84" s="1423"/>
      <c r="L84" s="1423"/>
      <c r="M84" s="1423"/>
      <c r="N84" s="1423"/>
      <c r="O84" s="1423"/>
      <c r="P84" s="1423"/>
      <c r="Q84" s="1423"/>
    </row>
    <row r="85" spans="3:21" hidden="1">
      <c r="C85" s="1402"/>
      <c r="D85" s="1407" t="s">
        <v>184</v>
      </c>
      <c r="E85" s="1407"/>
      <c r="F85" s="1422"/>
      <c r="G85" s="1414"/>
      <c r="H85" s="1410">
        <v>0</v>
      </c>
      <c r="I85" s="1423">
        <f t="shared" ref="I85:Q85" si="33">I83-(I83-I84)*$H85</f>
        <v>15.425999999999998</v>
      </c>
      <c r="J85" s="1423">
        <f t="shared" si="33"/>
        <v>15.425999999999998</v>
      </c>
      <c r="K85" s="1423">
        <f t="shared" si="33"/>
        <v>15.425999999999998</v>
      </c>
      <c r="L85" s="1423">
        <f t="shared" si="33"/>
        <v>16.053999999999998</v>
      </c>
      <c r="M85" s="1423">
        <f t="shared" si="33"/>
        <v>16.053999999999998</v>
      </c>
      <c r="N85" s="1423">
        <f t="shared" si="33"/>
        <v>16.053999999999998</v>
      </c>
      <c r="O85" s="1423">
        <f t="shared" si="33"/>
        <v>15.893999999999998</v>
      </c>
      <c r="P85" s="1423">
        <f t="shared" si="33"/>
        <v>15.893999999999998</v>
      </c>
      <c r="Q85" s="1423">
        <f t="shared" si="33"/>
        <v>15.893999999999998</v>
      </c>
    </row>
    <row r="86" spans="3:21">
      <c r="C86" s="1400" t="s">
        <v>1083</v>
      </c>
      <c r="D86" s="1419"/>
      <c r="E86" s="1419"/>
      <c r="F86" s="1420"/>
      <c r="G86" s="1421">
        <v>8</v>
      </c>
      <c r="H86" s="1421"/>
      <c r="I86" s="1423">
        <v>13.297999999999998</v>
      </c>
      <c r="J86" s="1423">
        <v>13.297999999999998</v>
      </c>
      <c r="K86" s="1423">
        <v>13.297999999999998</v>
      </c>
      <c r="L86" s="1423">
        <v>13.942</v>
      </c>
      <c r="M86" s="1423">
        <v>13.942</v>
      </c>
      <c r="N86" s="1423">
        <v>13.942</v>
      </c>
      <c r="O86" s="1423">
        <v>13.670999999999999</v>
      </c>
      <c r="P86" s="1423">
        <v>13.670999999999999</v>
      </c>
      <c r="Q86" s="1423">
        <v>13.670999999999999</v>
      </c>
    </row>
    <row r="87" spans="3:21" hidden="1">
      <c r="C87" s="1402"/>
      <c r="D87" s="526" t="s">
        <v>155</v>
      </c>
      <c r="E87" s="526"/>
      <c r="F87" s="1403">
        <v>1</v>
      </c>
      <c r="G87" s="1421"/>
      <c r="H87" s="1421"/>
      <c r="I87" s="1425"/>
      <c r="J87" s="1425"/>
      <c r="K87" s="1425"/>
      <c r="L87" s="1425"/>
      <c r="M87" s="1425"/>
      <c r="N87" s="1425"/>
      <c r="O87" s="1425"/>
      <c r="P87" s="1425"/>
      <c r="Q87" s="1425"/>
    </row>
    <row r="88" spans="3:21" hidden="1">
      <c r="C88" s="1402"/>
      <c r="D88" s="1407" t="s">
        <v>184</v>
      </c>
      <c r="E88" s="1407"/>
      <c r="F88" s="1422"/>
      <c r="G88" s="1414"/>
      <c r="H88" s="1410">
        <v>0</v>
      </c>
      <c r="I88" s="1423">
        <f>I86-(I86-I87)*$H88</f>
        <v>13.297999999999998</v>
      </c>
      <c r="J88" s="1423">
        <f t="shared" ref="J88:Q88" si="34">J86-(J86-J87)*$H88</f>
        <v>13.297999999999998</v>
      </c>
      <c r="K88" s="1423">
        <f t="shared" si="34"/>
        <v>13.297999999999998</v>
      </c>
      <c r="L88" s="1423">
        <f t="shared" si="34"/>
        <v>13.942</v>
      </c>
      <c r="M88" s="1423">
        <f t="shared" si="34"/>
        <v>13.942</v>
      </c>
      <c r="N88" s="1423">
        <f t="shared" si="34"/>
        <v>13.942</v>
      </c>
      <c r="O88" s="1423">
        <f t="shared" si="34"/>
        <v>13.670999999999999</v>
      </c>
      <c r="P88" s="1423">
        <f t="shared" si="34"/>
        <v>13.670999999999999</v>
      </c>
      <c r="Q88" s="1423">
        <f t="shared" si="34"/>
        <v>13.670999999999999</v>
      </c>
    </row>
    <row r="89" spans="3:21">
      <c r="C89" s="1400" t="s">
        <v>763</v>
      </c>
      <c r="D89" s="1393"/>
      <c r="E89" s="1393"/>
      <c r="F89" s="1420"/>
      <c r="G89" s="1421">
        <v>9</v>
      </c>
      <c r="H89" s="1421"/>
      <c r="I89" s="1425">
        <v>8.0190000000000001</v>
      </c>
      <c r="J89" s="1425">
        <v>9.7210000000000001</v>
      </c>
      <c r="K89" s="1425">
        <v>10.979000000000001</v>
      </c>
      <c r="L89" s="1425">
        <v>8.3709999999999987</v>
      </c>
      <c r="M89" s="1425">
        <v>9.7349999999999994</v>
      </c>
      <c r="N89" s="1425">
        <v>10.863</v>
      </c>
      <c r="O89" s="1425">
        <v>8.3640000000000008</v>
      </c>
      <c r="P89" s="1425">
        <v>9.68</v>
      </c>
      <c r="Q89" s="1425">
        <v>10.783000000000001</v>
      </c>
    </row>
    <row r="90" spans="3:21" hidden="1">
      <c r="C90" s="1402"/>
      <c r="D90" s="526" t="s">
        <v>155</v>
      </c>
      <c r="E90" s="526"/>
      <c r="F90" s="1403">
        <v>1</v>
      </c>
      <c r="G90" s="1426"/>
      <c r="H90" s="1426"/>
      <c r="I90" s="1423"/>
      <c r="J90" s="1423"/>
      <c r="K90" s="1423"/>
      <c r="L90" s="1423"/>
      <c r="M90" s="1423"/>
      <c r="N90" s="1423"/>
      <c r="O90" s="1423"/>
      <c r="P90" s="1423"/>
      <c r="Q90" s="1423"/>
    </row>
    <row r="91" spans="3:21" hidden="1">
      <c r="C91" s="1424"/>
      <c r="D91" s="1407" t="s">
        <v>184</v>
      </c>
      <c r="E91" s="1407"/>
      <c r="F91" s="1427"/>
      <c r="G91" s="1414"/>
      <c r="H91" s="1410">
        <v>0</v>
      </c>
      <c r="I91" s="1428">
        <f t="shared" ref="I91:Q91" si="35">I89-(I89-I90)*$H91</f>
        <v>8.0190000000000001</v>
      </c>
      <c r="J91" s="1428">
        <f t="shared" si="35"/>
        <v>9.7210000000000001</v>
      </c>
      <c r="K91" s="1428">
        <f t="shared" si="35"/>
        <v>10.979000000000001</v>
      </c>
      <c r="L91" s="1428">
        <f t="shared" si="35"/>
        <v>8.3709999999999987</v>
      </c>
      <c r="M91" s="1428">
        <f t="shared" si="35"/>
        <v>9.7349999999999994</v>
      </c>
      <c r="N91" s="1428">
        <f t="shared" si="35"/>
        <v>10.863</v>
      </c>
      <c r="O91" s="1428">
        <f t="shared" si="35"/>
        <v>8.3640000000000008</v>
      </c>
      <c r="P91" s="1428">
        <f t="shared" si="35"/>
        <v>9.68</v>
      </c>
      <c r="Q91" s="1428">
        <f t="shared" si="35"/>
        <v>10.783000000000001</v>
      </c>
    </row>
    <row r="92" spans="3:21">
      <c r="C92" s="1417"/>
      <c r="D92" s="1417"/>
      <c r="E92" s="1387"/>
      <c r="F92" s="1429"/>
      <c r="G92" s="1429"/>
      <c r="H92" s="1429"/>
      <c r="I92" s="1429"/>
      <c r="J92" s="1429"/>
      <c r="K92" s="1429"/>
      <c r="L92" s="1429"/>
      <c r="M92" s="1417"/>
      <c r="N92" s="1417"/>
      <c r="O92" s="1417"/>
      <c r="P92" s="1417"/>
      <c r="Q92" s="1417"/>
    </row>
    <row r="93" spans="3:21">
      <c r="C93" s="1381" t="s">
        <v>186</v>
      </c>
      <c r="D93" s="1382"/>
      <c r="E93" s="1359"/>
      <c r="F93" s="1359"/>
      <c r="G93" s="1359"/>
      <c r="H93" s="1359"/>
      <c r="I93" s="1359"/>
      <c r="J93" s="1359"/>
      <c r="K93" s="1359"/>
      <c r="L93" s="1359"/>
      <c r="M93" s="1359"/>
      <c r="N93" s="1359"/>
      <c r="O93" s="1359"/>
      <c r="P93" s="1359"/>
      <c r="Q93" s="1359"/>
    </row>
    <row r="94" spans="3:21">
      <c r="C94" s="1388" t="s">
        <v>187</v>
      </c>
      <c r="D94" s="1382"/>
      <c r="E94" s="1359"/>
      <c r="F94" s="1359"/>
      <c r="G94" s="1359"/>
      <c r="H94" s="1359"/>
      <c r="I94" s="1359"/>
      <c r="J94" s="1359"/>
      <c r="K94" s="1359"/>
      <c r="L94" s="1359"/>
      <c r="M94" s="1359"/>
      <c r="N94" s="1359"/>
      <c r="O94" s="1359"/>
      <c r="P94" s="1359"/>
      <c r="Q94" s="1359"/>
    </row>
    <row r="95" spans="3:21">
      <c r="D95" s="1359" t="s">
        <v>1045</v>
      </c>
      <c r="F95" s="2025" t="s">
        <v>192</v>
      </c>
      <c r="G95" s="1359"/>
      <c r="H95" s="1359"/>
      <c r="I95" s="1430" t="e">
        <f>排出係数!D5*1000</f>
        <v>#VALUE!</v>
      </c>
      <c r="J95" s="1431" t="str">
        <f>排出係数!C5</f>
        <v>根拠を記入してください</v>
      </c>
      <c r="K95" s="1417"/>
      <c r="L95" s="1417"/>
      <c r="M95" s="1417" t="s">
        <v>1041</v>
      </c>
      <c r="N95" s="1417"/>
      <c r="O95" s="1417" t="e">
        <f>排出係数!J50*1000</f>
        <v>#VALUE!</v>
      </c>
      <c r="P95" s="1417" t="s">
        <v>1042</v>
      </c>
      <c r="Q95" s="1432"/>
    </row>
    <row r="96" spans="3:21">
      <c r="C96" s="1381"/>
      <c r="D96" s="1359"/>
      <c r="F96" s="2025" t="s">
        <v>193</v>
      </c>
      <c r="G96" s="1359"/>
      <c r="H96" s="1359"/>
      <c r="I96" s="2026" t="e">
        <f>I95/J96</f>
        <v>#VALUE!</v>
      </c>
      <c r="J96" s="1435">
        <v>9.76</v>
      </c>
      <c r="K96" s="1433" t="s">
        <v>1084</v>
      </c>
      <c r="L96" s="1359"/>
      <c r="M96" s="1359"/>
      <c r="N96" s="1359"/>
      <c r="O96" s="1359"/>
      <c r="P96" s="1359"/>
      <c r="Q96" s="1434"/>
      <c r="U96" t="e">
        <f>O95/J96</f>
        <v>#VALUE!</v>
      </c>
    </row>
    <row r="97" spans="2:19">
      <c r="C97" s="1381"/>
      <c r="D97" s="1359" t="s">
        <v>194</v>
      </c>
      <c r="F97" s="2025" t="s">
        <v>193</v>
      </c>
      <c r="G97" s="1359"/>
      <c r="H97" s="1359"/>
      <c r="I97" s="2026">
        <v>4.9799999999999997E-2</v>
      </c>
      <c r="J97" s="1435"/>
      <c r="K97" s="1359"/>
      <c r="L97" s="1359"/>
      <c r="M97" s="1359"/>
      <c r="N97" s="1359"/>
      <c r="O97" s="1359"/>
      <c r="P97" s="1359"/>
      <c r="Q97" s="1434"/>
    </row>
    <row r="98" spans="2:19">
      <c r="C98" s="1381"/>
      <c r="D98" s="1359" t="s">
        <v>195</v>
      </c>
      <c r="F98" s="2025" t="s">
        <v>193</v>
      </c>
      <c r="G98" s="1359"/>
      <c r="H98" s="1359"/>
      <c r="I98" s="2026">
        <v>5.7000000000000002E-2</v>
      </c>
      <c r="J98" s="1435"/>
      <c r="K98" s="1359"/>
      <c r="L98" s="1359"/>
      <c r="M98" s="1359"/>
      <c r="N98" s="1359"/>
      <c r="O98" s="1359"/>
      <c r="P98" s="1359"/>
      <c r="Q98" s="1434"/>
    </row>
    <row r="99" spans="2:19">
      <c r="C99" s="1381"/>
      <c r="D99" s="1359" t="s">
        <v>196</v>
      </c>
      <c r="F99" s="2025" t="s">
        <v>193</v>
      </c>
      <c r="G99" s="1359"/>
      <c r="H99" s="1359"/>
      <c r="I99" s="2026">
        <v>6.7799999999999999E-2</v>
      </c>
      <c r="J99" s="1435"/>
      <c r="K99" s="1359"/>
      <c r="L99" s="1359"/>
      <c r="M99" s="1359"/>
      <c r="N99" s="1359"/>
      <c r="O99" s="1359"/>
      <c r="P99" s="1359"/>
      <c r="Q99" s="1434"/>
    </row>
    <row r="100" spans="2:19">
      <c r="C100" s="1381"/>
      <c r="D100" s="1359" t="s">
        <v>197</v>
      </c>
      <c r="F100" s="2025" t="s">
        <v>193</v>
      </c>
      <c r="G100" s="1359"/>
      <c r="H100" s="1359"/>
      <c r="I100" s="2026">
        <v>6.93E-2</v>
      </c>
      <c r="J100" s="1435"/>
      <c r="K100" s="1359"/>
      <c r="L100" s="1359"/>
      <c r="M100" s="1359"/>
      <c r="N100" s="1359"/>
      <c r="O100" s="1359"/>
      <c r="P100" s="1359"/>
      <c r="Q100" s="1434"/>
    </row>
    <row r="101" spans="2:19">
      <c r="C101" s="1381"/>
      <c r="D101" s="1359" t="s">
        <v>198</v>
      </c>
      <c r="F101" s="2025" t="s">
        <v>193</v>
      </c>
      <c r="G101" s="1359"/>
      <c r="H101" s="1359"/>
      <c r="I101" s="2026">
        <f>(I99+I100)/2</f>
        <v>6.855E-2</v>
      </c>
      <c r="J101" s="2027" t="s">
        <v>199</v>
      </c>
      <c r="K101" s="1359"/>
      <c r="L101" s="1359"/>
      <c r="M101" s="1359"/>
      <c r="N101" s="1359"/>
      <c r="O101" s="1359"/>
      <c r="P101" s="1359"/>
      <c r="Q101" s="1434"/>
    </row>
    <row r="102" spans="2:19">
      <c r="C102" s="1381"/>
      <c r="D102" s="1359" t="s">
        <v>1085</v>
      </c>
      <c r="F102" s="2025" t="s">
        <v>1086</v>
      </c>
      <c r="G102" s="1359"/>
      <c r="H102" s="1359"/>
      <c r="I102" s="2026">
        <v>5.8999999999999997E-2</v>
      </c>
      <c r="J102" s="1436"/>
      <c r="K102" s="1437"/>
      <c r="L102" s="1437"/>
      <c r="M102" s="1437"/>
      <c r="N102" s="1437"/>
      <c r="O102" s="1437"/>
      <c r="P102" s="1437"/>
      <c r="Q102" s="1438"/>
    </row>
    <row r="103" spans="2:19">
      <c r="B103" s="516"/>
      <c r="C103" s="1359" t="s">
        <v>1087</v>
      </c>
      <c r="D103" s="516"/>
      <c r="E103" s="1359"/>
      <c r="F103" s="1359"/>
      <c r="G103" s="1359"/>
      <c r="H103" s="1359"/>
      <c r="I103" s="1890"/>
      <c r="J103" s="1359"/>
      <c r="K103" s="1359"/>
      <c r="L103" s="1359"/>
      <c r="M103" s="1359"/>
      <c r="N103" s="1359"/>
      <c r="O103" s="1359"/>
      <c r="P103" s="1359"/>
      <c r="Q103" s="1359"/>
      <c r="R103" s="516"/>
      <c r="S103" s="516"/>
    </row>
    <row r="104" spans="2:19">
      <c r="B104" s="516"/>
      <c r="C104" s="1382"/>
      <c r="D104" s="1359" t="s">
        <v>941</v>
      </c>
      <c r="E104" s="516"/>
      <c r="F104" s="1359"/>
      <c r="G104" s="1359"/>
      <c r="H104" s="1359"/>
      <c r="I104" s="1359" t="s">
        <v>1088</v>
      </c>
      <c r="J104" s="1359"/>
      <c r="K104" s="1388" t="s">
        <v>1089</v>
      </c>
      <c r="L104" s="1359"/>
      <c r="M104" s="1359"/>
      <c r="N104" s="1359"/>
      <c r="O104" s="1359"/>
      <c r="P104" s="1359"/>
      <c r="Q104" s="1359"/>
      <c r="R104" s="516"/>
      <c r="S104" s="516"/>
    </row>
    <row r="105" spans="2:19">
      <c r="B105" s="516"/>
      <c r="C105" s="1382"/>
      <c r="D105" s="1359" t="s">
        <v>965</v>
      </c>
      <c r="E105" s="516"/>
      <c r="F105" s="1359"/>
      <c r="G105" s="1359"/>
      <c r="H105" s="1359"/>
      <c r="I105" s="1440">
        <v>6.8800000000000003E-4</v>
      </c>
      <c r="J105" s="1359"/>
      <c r="K105" s="1440">
        <v>6.8000000000000005E-4</v>
      </c>
      <c r="L105" s="1359"/>
      <c r="M105" s="1359"/>
      <c r="N105" s="1359"/>
      <c r="O105" s="1359"/>
      <c r="P105" s="1359"/>
      <c r="Q105" s="1359"/>
      <c r="R105" s="516"/>
      <c r="S105" s="516"/>
    </row>
    <row r="106" spans="2:19">
      <c r="B106" s="516"/>
      <c r="C106" s="1382"/>
      <c r="D106" s="1359" t="s">
        <v>964</v>
      </c>
      <c r="E106" s="516"/>
      <c r="F106" s="1359"/>
      <c r="G106" s="1359"/>
      <c r="H106" s="1359"/>
      <c r="I106" s="1440">
        <v>5.9999999999999995E-4</v>
      </c>
      <c r="J106" s="1359"/>
      <c r="K106" s="1440">
        <v>5.5999999999999995E-4</v>
      </c>
      <c r="L106" s="1359"/>
      <c r="M106" s="1359"/>
      <c r="N106" s="1359"/>
      <c r="O106" s="1359"/>
      <c r="P106" s="1359"/>
      <c r="Q106" s="1359"/>
      <c r="R106" s="516"/>
      <c r="S106" s="516"/>
    </row>
    <row r="107" spans="2:19">
      <c r="B107" s="516"/>
      <c r="C107" s="1382"/>
      <c r="D107" s="1359" t="s">
        <v>942</v>
      </c>
      <c r="E107" s="516"/>
      <c r="F107" s="1359"/>
      <c r="G107" s="1359"/>
      <c r="H107" s="1359"/>
      <c r="I107" s="1440">
        <v>5.2499999999999997E-4</v>
      </c>
      <c r="J107" s="1359"/>
      <c r="K107" s="1440">
        <v>4.06E-4</v>
      </c>
      <c r="L107" s="1359"/>
      <c r="M107" s="1359"/>
      <c r="N107" s="1359"/>
      <c r="O107" s="1359"/>
      <c r="P107" s="1359"/>
      <c r="Q107" s="1359"/>
      <c r="R107" s="516"/>
      <c r="S107" s="516"/>
    </row>
    <row r="108" spans="2:19">
      <c r="B108" s="516"/>
      <c r="C108" s="1382"/>
      <c r="D108" s="1359" t="s">
        <v>963</v>
      </c>
      <c r="E108" s="516"/>
      <c r="F108" s="1359"/>
      <c r="G108" s="1359"/>
      <c r="H108" s="1359"/>
      <c r="I108" s="1440">
        <v>5.1599999999999997E-4</v>
      </c>
      <c r="J108" s="1359"/>
      <c r="K108" s="1440">
        <v>3.7300000000000001E-4</v>
      </c>
      <c r="L108" s="1359"/>
      <c r="M108" s="1359"/>
      <c r="N108" s="1359"/>
      <c r="O108" s="1359"/>
      <c r="P108" s="1359"/>
      <c r="Q108" s="1359"/>
      <c r="R108" s="516"/>
      <c r="S108" s="516"/>
    </row>
    <row r="109" spans="2:19">
      <c r="B109" s="516"/>
      <c r="C109" s="1382"/>
      <c r="D109" s="1359" t="s">
        <v>966</v>
      </c>
      <c r="E109" s="516"/>
      <c r="F109" s="1359"/>
      <c r="G109" s="1359"/>
      <c r="H109" s="1359"/>
      <c r="I109" s="1440">
        <v>6.6299999999999996E-4</v>
      </c>
      <c r="J109" s="1359"/>
      <c r="K109" s="1440">
        <v>4.9399999999999997E-4</v>
      </c>
      <c r="L109" s="1359"/>
      <c r="M109" s="1359"/>
      <c r="N109" s="1359"/>
      <c r="O109" s="1359"/>
      <c r="P109" s="1359"/>
      <c r="Q109" s="1359"/>
      <c r="R109" s="516"/>
      <c r="S109" s="516"/>
    </row>
    <row r="110" spans="2:19">
      <c r="B110" s="516"/>
      <c r="C110" s="1382"/>
      <c r="D110" s="1359" t="s">
        <v>957</v>
      </c>
      <c r="E110" s="516"/>
      <c r="F110" s="1359"/>
      <c r="G110" s="1359"/>
      <c r="H110" s="1359"/>
      <c r="I110" s="1440">
        <v>5.1400000000000003E-4</v>
      </c>
      <c r="J110" s="1359"/>
      <c r="K110" s="1440">
        <v>4.75E-4</v>
      </c>
      <c r="L110" s="1359"/>
      <c r="M110" s="1359"/>
      <c r="N110" s="1359"/>
      <c r="O110" s="1359"/>
      <c r="P110" s="1359"/>
      <c r="Q110" s="1359"/>
      <c r="R110" s="516"/>
      <c r="S110" s="516"/>
    </row>
    <row r="111" spans="2:19">
      <c r="B111" s="516"/>
      <c r="C111" s="1382"/>
      <c r="D111" s="1359" t="s">
        <v>962</v>
      </c>
      <c r="E111" s="516"/>
      <c r="F111" s="1359"/>
      <c r="G111" s="1359"/>
      <c r="H111" s="1359"/>
      <c r="I111" s="1440">
        <v>7.3800000000000005E-4</v>
      </c>
      <c r="J111" s="1359"/>
      <c r="K111" s="1440">
        <v>6.7199999999999996E-4</v>
      </c>
      <c r="L111" s="1359"/>
      <c r="M111" s="1359"/>
      <c r="N111" s="1359"/>
      <c r="O111" s="1359"/>
      <c r="P111" s="1359"/>
      <c r="Q111" s="1359"/>
      <c r="R111" s="516"/>
      <c r="S111" s="516"/>
    </row>
    <row r="112" spans="2:19">
      <c r="B112" s="516"/>
      <c r="C112" s="1382"/>
      <c r="D112" s="1359" t="s">
        <v>960</v>
      </c>
      <c r="E112" s="516"/>
      <c r="F112" s="1359"/>
      <c r="G112" s="1359"/>
      <c r="H112" s="1359"/>
      <c r="I112" s="1440">
        <v>6.9999999999999999E-4</v>
      </c>
      <c r="J112" s="1359"/>
      <c r="K112" s="1440">
        <v>6.5600000000000001E-4</v>
      </c>
      <c r="L112" s="1359"/>
      <c r="M112" s="1359"/>
      <c r="N112" s="1359"/>
      <c r="O112" s="1359"/>
      <c r="P112" s="1359"/>
      <c r="Q112" s="1359"/>
      <c r="R112" s="516"/>
      <c r="S112" s="516"/>
    </row>
    <row r="113" spans="2:19">
      <c r="B113" s="516"/>
      <c r="C113" s="1382"/>
      <c r="D113" s="1359" t="s">
        <v>959</v>
      </c>
      <c r="E113" s="516"/>
      <c r="F113" s="1359"/>
      <c r="G113" s="1359"/>
      <c r="H113" s="1359"/>
      <c r="I113" s="1440">
        <v>6.1200000000000002E-4</v>
      </c>
      <c r="J113" s="1359"/>
      <c r="K113" s="1440">
        <v>5.9900000000000003E-4</v>
      </c>
      <c r="L113" s="1359"/>
      <c r="M113" s="1359"/>
      <c r="N113" s="1359"/>
      <c r="O113" s="1359"/>
      <c r="P113" s="1359"/>
      <c r="Q113" s="1359"/>
      <c r="R113" s="516"/>
      <c r="S113" s="516"/>
    </row>
    <row r="114" spans="2:19">
      <c r="B114" s="516"/>
      <c r="C114" s="1382"/>
      <c r="D114" s="1359" t="s">
        <v>954</v>
      </c>
      <c r="E114" s="516"/>
      <c r="F114" s="1359"/>
      <c r="G114" s="1359"/>
      <c r="H114" s="1359"/>
      <c r="I114" s="1440">
        <v>9.0300000000000005E-4</v>
      </c>
      <c r="J114" s="1359"/>
      <c r="K114" s="1440">
        <v>6.9200000000000002E-4</v>
      </c>
      <c r="L114" s="1359"/>
      <c r="M114" s="1359"/>
      <c r="N114" s="1359"/>
      <c r="O114" s="1359"/>
      <c r="P114" s="1359"/>
      <c r="Q114" s="1359"/>
      <c r="R114" s="516"/>
      <c r="S114" s="516"/>
    </row>
    <row r="115" spans="2:19">
      <c r="B115" s="516"/>
      <c r="C115" s="1382"/>
      <c r="D115" s="1359" t="s">
        <v>947</v>
      </c>
      <c r="E115" s="516"/>
      <c r="F115" s="1359"/>
      <c r="G115" s="1359"/>
      <c r="H115" s="1359"/>
      <c r="I115" s="1440">
        <v>6.0300000000000002E-4</v>
      </c>
      <c r="J115" s="1359"/>
      <c r="K115" s="1440">
        <v>4.28E-4</v>
      </c>
      <c r="L115" s="1359"/>
      <c r="M115" s="1359"/>
      <c r="N115" s="1359"/>
      <c r="O115" s="1359"/>
      <c r="P115" s="1359"/>
      <c r="Q115" s="1359"/>
      <c r="R115" s="516"/>
      <c r="S115" s="516"/>
    </row>
    <row r="116" spans="2:19">
      <c r="B116" s="516"/>
      <c r="C116" s="1382"/>
      <c r="D116" s="1359" t="s">
        <v>1090</v>
      </c>
      <c r="E116" s="516"/>
      <c r="F116" s="1359"/>
      <c r="G116" s="1359"/>
      <c r="H116" s="1359"/>
      <c r="I116" s="1440">
        <v>8.6000000000000003E-5</v>
      </c>
      <c r="J116" s="1359"/>
      <c r="K116" s="1440">
        <v>1.06E-4</v>
      </c>
      <c r="L116" s="1359"/>
      <c r="M116" s="1359"/>
      <c r="N116" s="1359"/>
      <c r="O116" s="1359"/>
      <c r="P116" s="1359"/>
      <c r="Q116" s="1359"/>
      <c r="R116" s="516"/>
      <c r="S116" s="516"/>
    </row>
    <row r="117" spans="2:19">
      <c r="B117" s="516"/>
      <c r="C117" s="1382"/>
      <c r="D117" s="1359" t="s">
        <v>1091</v>
      </c>
      <c r="E117" s="516"/>
      <c r="F117" s="1359"/>
      <c r="G117" s="1359"/>
      <c r="H117" s="1359"/>
      <c r="I117" s="1440">
        <v>6.7599999999999995E-4</v>
      </c>
      <c r="J117" s="1359"/>
      <c r="K117" s="1440">
        <v>2.9300000000000002E-4</v>
      </c>
      <c r="L117" s="1359"/>
      <c r="M117" s="1359"/>
      <c r="N117" s="1359"/>
      <c r="O117" s="1359"/>
      <c r="P117" s="1359"/>
      <c r="Q117" s="1359"/>
      <c r="R117" s="516"/>
      <c r="S117" s="516"/>
    </row>
    <row r="118" spans="2:19">
      <c r="B118" s="516"/>
      <c r="C118" s="1382"/>
      <c r="D118" s="1359" t="s">
        <v>949</v>
      </c>
      <c r="E118" s="516"/>
      <c r="F118" s="1359"/>
      <c r="G118" s="1359"/>
      <c r="H118" s="1359"/>
      <c r="I118" s="1440">
        <v>6.1600000000000001E-4</v>
      </c>
      <c r="J118" s="1359"/>
      <c r="K118" s="1440">
        <v>4.8200000000000001E-4</v>
      </c>
      <c r="L118" s="1359"/>
      <c r="M118" s="1359"/>
      <c r="N118" s="1359"/>
      <c r="O118" s="1359"/>
      <c r="P118" s="1359"/>
      <c r="Q118" s="1359"/>
      <c r="R118" s="516"/>
      <c r="S118" s="516"/>
    </row>
    <row r="119" spans="2:19">
      <c r="B119" s="516"/>
      <c r="C119" s="1359"/>
      <c r="D119" s="1359" t="s">
        <v>1092</v>
      </c>
      <c r="E119" s="516"/>
      <c r="F119" s="1359"/>
      <c r="G119" s="1359"/>
      <c r="H119" s="1359"/>
      <c r="I119" s="1440">
        <v>4.5600000000000003E-4</v>
      </c>
      <c r="J119" s="1359"/>
      <c r="K119" s="1440">
        <v>4.5600000000000003E-4</v>
      </c>
      <c r="L119" s="1359"/>
      <c r="M119" s="1359"/>
      <c r="N119" s="1359"/>
      <c r="O119" s="1359"/>
      <c r="P119" s="1359"/>
      <c r="Q119" s="1359"/>
      <c r="R119" s="516"/>
      <c r="S119" s="516"/>
    </row>
    <row r="120" spans="2:19">
      <c r="B120" s="516"/>
      <c r="C120" s="1382"/>
      <c r="D120" s="1359" t="s">
        <v>953</v>
      </c>
      <c r="E120" s="516"/>
      <c r="F120" s="1359"/>
      <c r="G120" s="1359"/>
      <c r="H120" s="1359"/>
      <c r="I120" s="1440">
        <v>4.75E-4</v>
      </c>
      <c r="J120" s="1359"/>
      <c r="K120" s="1440">
        <v>4.7100000000000001E-4</v>
      </c>
      <c r="L120" s="1359"/>
      <c r="M120" s="1359"/>
      <c r="N120" s="1359"/>
      <c r="O120" s="1359"/>
      <c r="P120" s="1359"/>
      <c r="Q120" s="1359"/>
      <c r="R120" s="516"/>
      <c r="S120" s="516"/>
    </row>
    <row r="121" spans="2:19">
      <c r="B121" s="516"/>
      <c r="C121" s="1382"/>
      <c r="D121" s="1359" t="s">
        <v>1093</v>
      </c>
      <c r="E121" s="516"/>
      <c r="F121" s="1359"/>
      <c r="G121" s="1359"/>
      <c r="H121" s="1359"/>
      <c r="I121" s="1440">
        <v>7.6199999999999998E-4</v>
      </c>
      <c r="J121" s="1359"/>
      <c r="K121" s="1440">
        <v>7.5699999999999997E-4</v>
      </c>
      <c r="L121" s="1359"/>
      <c r="M121" s="1359"/>
      <c r="N121" s="1359"/>
      <c r="O121" s="1359"/>
      <c r="P121" s="1359"/>
      <c r="Q121" s="1359"/>
      <c r="R121" s="516"/>
      <c r="S121" s="516"/>
    </row>
    <row r="122" spans="2:19">
      <c r="B122" s="516"/>
      <c r="C122" s="1382"/>
      <c r="D122" s="1359" t="s">
        <v>1094</v>
      </c>
      <c r="E122" s="516"/>
      <c r="F122" s="1359"/>
      <c r="G122" s="1359"/>
      <c r="H122" s="1359"/>
      <c r="I122" s="1440">
        <v>0</v>
      </c>
      <c r="J122" s="1359"/>
      <c r="K122" s="1440">
        <v>0</v>
      </c>
      <c r="L122" s="1359"/>
      <c r="M122" s="1359"/>
      <c r="N122" s="1359"/>
      <c r="O122" s="1359"/>
      <c r="P122" s="1359"/>
      <c r="Q122" s="1359"/>
      <c r="R122" s="516"/>
      <c r="S122" s="516"/>
    </row>
    <row r="123" spans="2:19">
      <c r="B123" s="516"/>
      <c r="C123" s="1382"/>
      <c r="D123" s="1359" t="s">
        <v>956</v>
      </c>
      <c r="E123" s="516"/>
      <c r="F123" s="1359"/>
      <c r="G123" s="1359"/>
      <c r="H123" s="1359"/>
      <c r="I123" s="1440">
        <v>4.2900000000000002E-4</v>
      </c>
      <c r="J123" s="1359"/>
      <c r="K123" s="1440">
        <v>4.2700000000000002E-4</v>
      </c>
      <c r="L123" s="1359"/>
      <c r="M123" s="1359"/>
      <c r="N123" s="1359"/>
      <c r="O123" s="1359"/>
      <c r="P123" s="1359"/>
      <c r="Q123" s="1359"/>
      <c r="R123" s="516"/>
      <c r="S123" s="516"/>
    </row>
    <row r="124" spans="2:19">
      <c r="B124" s="516"/>
      <c r="C124" s="1382"/>
      <c r="D124" s="1359" t="s">
        <v>955</v>
      </c>
      <c r="E124" s="516"/>
      <c r="F124" s="1359"/>
      <c r="G124" s="1359"/>
      <c r="H124" s="1359"/>
      <c r="I124" s="1440">
        <v>5.2499999999999997E-4</v>
      </c>
      <c r="J124" s="1359"/>
      <c r="K124" s="1440">
        <v>4.4499999999999997E-4</v>
      </c>
      <c r="L124" s="1359"/>
      <c r="M124" s="1359"/>
      <c r="N124" s="1359"/>
      <c r="O124" s="1359"/>
      <c r="P124" s="1359"/>
      <c r="Q124" s="1359"/>
      <c r="R124" s="516"/>
      <c r="S124" s="516"/>
    </row>
    <row r="125" spans="2:19">
      <c r="B125" s="516"/>
      <c r="C125" s="1382"/>
      <c r="D125" s="1359" t="s">
        <v>1095</v>
      </c>
      <c r="E125" s="516"/>
      <c r="F125" s="1359"/>
      <c r="G125" s="1359"/>
      <c r="H125" s="1359"/>
      <c r="I125" s="1440">
        <v>4.4099999999999999E-4</v>
      </c>
      <c r="J125" s="1359"/>
      <c r="K125" s="1440">
        <v>0</v>
      </c>
      <c r="L125" s="1359"/>
      <c r="M125" s="1359"/>
      <c r="N125" s="1359"/>
      <c r="O125" s="1359"/>
      <c r="P125" s="1359"/>
      <c r="Q125" s="1359"/>
      <c r="R125" s="516"/>
      <c r="S125" s="516"/>
    </row>
    <row r="126" spans="2:19">
      <c r="B126" s="516"/>
      <c r="C126" s="1382"/>
      <c r="D126" s="1359" t="s">
        <v>1096</v>
      </c>
      <c r="E126" s="516"/>
      <c r="F126" s="1359"/>
      <c r="G126" s="1359"/>
      <c r="H126" s="1359"/>
      <c r="I126" s="1440">
        <v>7.9699999999999997E-4</v>
      </c>
      <c r="J126" s="1359"/>
      <c r="K126" s="1440">
        <v>7.8899999999999999E-4</v>
      </c>
      <c r="L126" s="1359"/>
      <c r="M126" s="1359"/>
      <c r="N126" s="1359"/>
      <c r="O126" s="1359"/>
      <c r="P126" s="1359"/>
      <c r="Q126" s="1359"/>
      <c r="R126" s="516"/>
      <c r="S126" s="516"/>
    </row>
    <row r="127" spans="2:19">
      <c r="B127" s="516"/>
      <c r="C127" s="1382"/>
      <c r="D127" s="1359" t="s">
        <v>950</v>
      </c>
      <c r="E127" s="516"/>
      <c r="F127" s="1359"/>
      <c r="G127" s="1359"/>
      <c r="H127" s="1359"/>
      <c r="I127" s="1440">
        <v>4.3800000000000002E-4</v>
      </c>
      <c r="J127" s="1359"/>
      <c r="K127" s="1440">
        <v>2.5900000000000001E-4</v>
      </c>
      <c r="L127" s="1359"/>
      <c r="M127" s="1359"/>
      <c r="N127" s="1359"/>
      <c r="O127" s="1359"/>
      <c r="P127" s="1359"/>
      <c r="Q127" s="1359"/>
      <c r="R127" s="516"/>
      <c r="S127" s="516"/>
    </row>
    <row r="128" spans="2:19">
      <c r="B128" s="516"/>
      <c r="C128" s="1382"/>
      <c r="D128" s="1359" t="s">
        <v>1097</v>
      </c>
      <c r="E128" s="516"/>
      <c r="F128" s="1359"/>
      <c r="G128" s="1359"/>
      <c r="H128" s="1359"/>
      <c r="I128" s="1440">
        <v>3.6699999999999998E-4</v>
      </c>
      <c r="J128" s="1359"/>
      <c r="K128" s="1440">
        <v>3.6400000000000001E-4</v>
      </c>
      <c r="L128" s="1359"/>
      <c r="M128" s="1359"/>
      <c r="N128" s="1359"/>
      <c r="O128" s="1359"/>
      <c r="P128" s="1359"/>
      <c r="Q128" s="1359"/>
      <c r="R128" s="516"/>
      <c r="S128" s="516"/>
    </row>
    <row r="129" spans="2:19">
      <c r="B129" s="516"/>
      <c r="C129" s="1382"/>
      <c r="D129" s="1359" t="s">
        <v>1098</v>
      </c>
      <c r="E129" s="516"/>
      <c r="F129" s="1359"/>
      <c r="G129" s="1359"/>
      <c r="H129" s="1359"/>
      <c r="I129" s="1440">
        <v>4.9399999999999997E-4</v>
      </c>
      <c r="J129" s="1359"/>
      <c r="K129" s="1440">
        <v>4.8999999999999998E-4</v>
      </c>
      <c r="L129" s="1359"/>
      <c r="M129" s="1359"/>
      <c r="N129" s="1359"/>
      <c r="O129" s="1359"/>
      <c r="P129" s="1359"/>
      <c r="Q129" s="1359"/>
      <c r="R129" s="516"/>
      <c r="S129" s="516"/>
    </row>
    <row r="130" spans="2:19">
      <c r="B130" s="516"/>
      <c r="C130" s="1382"/>
      <c r="D130" s="1359" t="s">
        <v>1099</v>
      </c>
      <c r="E130" s="516"/>
      <c r="F130" s="1359"/>
      <c r="G130" s="1359"/>
      <c r="H130" s="1359"/>
      <c r="I130" s="1440">
        <v>3.1199999999999999E-4</v>
      </c>
      <c r="J130" s="1359"/>
      <c r="K130" s="1440">
        <v>3.0899999999999998E-4</v>
      </c>
      <c r="L130" s="1359"/>
      <c r="M130" s="1359"/>
      <c r="N130" s="1359"/>
      <c r="O130" s="1359"/>
      <c r="P130" s="1359"/>
      <c r="Q130" s="1359"/>
      <c r="R130" s="516"/>
      <c r="S130" s="516"/>
    </row>
    <row r="131" spans="2:19">
      <c r="B131" s="516"/>
      <c r="C131" s="1382"/>
      <c r="D131" s="1359" t="s">
        <v>961</v>
      </c>
      <c r="E131" s="516"/>
      <c r="F131" s="1359"/>
      <c r="G131" s="1359"/>
      <c r="H131" s="1359"/>
      <c r="I131" s="1440">
        <v>3.6699999999999998E-4</v>
      </c>
      <c r="J131" s="1359"/>
      <c r="K131" s="1440">
        <v>3.6400000000000001E-4</v>
      </c>
      <c r="L131" s="1359"/>
      <c r="M131" s="1359"/>
      <c r="N131" s="1359"/>
      <c r="O131" s="1359"/>
      <c r="P131" s="1359"/>
      <c r="Q131" s="1359"/>
      <c r="R131" s="516"/>
      <c r="S131" s="516"/>
    </row>
    <row r="132" spans="2:19">
      <c r="B132" s="516"/>
      <c r="C132" s="1382"/>
      <c r="D132" s="1359" t="s">
        <v>1100</v>
      </c>
      <c r="E132" s="516"/>
      <c r="F132" s="1359"/>
      <c r="G132" s="1359"/>
      <c r="H132" s="1359"/>
      <c r="I132" s="1440">
        <v>6.5499999999999998E-4</v>
      </c>
      <c r="J132" s="1359"/>
      <c r="K132" s="1440">
        <v>6.5399999999999996E-4</v>
      </c>
      <c r="L132" s="1359"/>
      <c r="M132" s="1359"/>
      <c r="N132" s="1359"/>
      <c r="O132" s="1359"/>
      <c r="P132" s="1359"/>
      <c r="Q132" s="1359"/>
      <c r="R132" s="516"/>
      <c r="S132" s="516"/>
    </row>
    <row r="133" spans="2:19">
      <c r="B133" s="516"/>
      <c r="C133" s="1382"/>
      <c r="D133" s="1359" t="s">
        <v>1101</v>
      </c>
      <c r="E133" s="516"/>
      <c r="F133" s="1359"/>
      <c r="G133" s="1359"/>
      <c r="H133" s="1359"/>
      <c r="I133" s="1440">
        <v>3.88E-4</v>
      </c>
      <c r="J133" s="1359"/>
      <c r="K133" s="1440">
        <v>3.8499999999999998E-4</v>
      </c>
      <c r="L133" s="1359"/>
      <c r="M133" s="1359"/>
      <c r="N133" s="1359"/>
      <c r="O133" s="1359"/>
      <c r="P133" s="1359"/>
      <c r="Q133" s="1359"/>
      <c r="R133" s="516"/>
      <c r="S133" s="516"/>
    </row>
    <row r="134" spans="2:19">
      <c r="B134" s="516"/>
      <c r="C134" s="1382"/>
      <c r="D134" s="1359" t="s">
        <v>951</v>
      </c>
      <c r="E134" s="516"/>
      <c r="F134" s="1359"/>
      <c r="G134" s="1359"/>
      <c r="H134" s="1359"/>
      <c r="I134" s="1440">
        <v>4.3100000000000001E-4</v>
      </c>
      <c r="J134" s="1359"/>
      <c r="K134" s="1440">
        <v>4.2700000000000002E-4</v>
      </c>
      <c r="L134" s="1359"/>
      <c r="M134" s="1359"/>
      <c r="N134" s="1359"/>
      <c r="O134" s="1359"/>
      <c r="P134" s="1359"/>
      <c r="Q134" s="1359"/>
      <c r="R134" s="516"/>
      <c r="S134" s="516"/>
    </row>
    <row r="135" spans="2:19">
      <c r="B135" s="516"/>
      <c r="C135" s="1382"/>
      <c r="D135" s="1359" t="s">
        <v>1102</v>
      </c>
      <c r="E135" s="516"/>
      <c r="F135" s="1359"/>
      <c r="G135" s="1359"/>
      <c r="H135" s="1359"/>
      <c r="I135" s="1440">
        <v>4.9399999999999997E-4</v>
      </c>
      <c r="J135" s="1359"/>
      <c r="K135" s="1440">
        <v>4.8999999999999998E-4</v>
      </c>
      <c r="L135" s="1359"/>
      <c r="M135" s="1359"/>
      <c r="N135" s="1359"/>
      <c r="O135" s="1359"/>
      <c r="P135" s="1359"/>
      <c r="Q135" s="1359"/>
      <c r="R135" s="516"/>
      <c r="S135" s="516"/>
    </row>
    <row r="136" spans="2:19">
      <c r="B136" s="516"/>
      <c r="C136" s="1382"/>
      <c r="D136" s="1359" t="s">
        <v>1103</v>
      </c>
      <c r="E136" s="516"/>
      <c r="F136" s="1359"/>
      <c r="G136" s="1359"/>
      <c r="H136" s="1359"/>
      <c r="I136" s="1440">
        <v>9.2E-5</v>
      </c>
      <c r="J136" s="1359"/>
      <c r="K136" s="1440">
        <v>9.1000000000000003E-5</v>
      </c>
      <c r="L136" s="1359"/>
      <c r="M136" s="1359"/>
      <c r="N136" s="1359"/>
      <c r="O136" s="1359"/>
      <c r="P136" s="1359"/>
      <c r="Q136" s="1359"/>
      <c r="R136" s="516"/>
      <c r="S136" s="516"/>
    </row>
    <row r="137" spans="2:19">
      <c r="B137" s="516"/>
      <c r="C137" s="1382"/>
      <c r="D137" s="1359" t="s">
        <v>1104</v>
      </c>
      <c r="E137" s="516"/>
      <c r="F137" s="1359"/>
      <c r="G137" s="1359"/>
      <c r="H137" s="1359"/>
      <c r="I137" s="1440">
        <v>5.0799999999999999E-4</v>
      </c>
      <c r="J137" s="1359"/>
      <c r="K137" s="1440">
        <v>5.0900000000000001E-4</v>
      </c>
      <c r="L137" s="1359"/>
      <c r="M137" s="1359"/>
      <c r="N137" s="1359"/>
      <c r="O137" s="1359"/>
      <c r="P137" s="1359"/>
      <c r="Q137" s="1359"/>
      <c r="R137" s="516"/>
      <c r="S137" s="516"/>
    </row>
    <row r="138" spans="2:19">
      <c r="B138" s="516"/>
      <c r="C138" s="1382"/>
      <c r="D138" s="1359" t="s">
        <v>1105</v>
      </c>
      <c r="E138" s="516"/>
      <c r="F138" s="1359"/>
      <c r="G138" s="1359"/>
      <c r="H138" s="1359"/>
      <c r="I138" s="1440">
        <v>4.86E-4</v>
      </c>
      <c r="J138" s="1359"/>
      <c r="K138" s="1440">
        <v>2.5599999999999999E-4</v>
      </c>
      <c r="L138" s="1359"/>
      <c r="M138" s="1359"/>
      <c r="N138" s="1359"/>
      <c r="O138" s="1359"/>
      <c r="P138" s="1359"/>
      <c r="Q138" s="1359"/>
      <c r="R138" s="516"/>
      <c r="S138" s="516"/>
    </row>
    <row r="139" spans="2:19">
      <c r="B139" s="516"/>
      <c r="C139" s="1382"/>
      <c r="D139" s="1359" t="s">
        <v>952</v>
      </c>
      <c r="E139" s="516"/>
      <c r="F139" s="1359"/>
      <c r="G139" s="1359"/>
      <c r="H139" s="1359"/>
      <c r="I139" s="1440">
        <v>4.9799999999999996E-4</v>
      </c>
      <c r="J139" s="1359"/>
      <c r="K139" s="1440">
        <v>4.9200000000000003E-4</v>
      </c>
      <c r="L139" s="1359"/>
      <c r="M139" s="1359"/>
      <c r="N139" s="1359"/>
      <c r="O139" s="1359"/>
      <c r="P139" s="1359"/>
      <c r="Q139" s="1359"/>
      <c r="R139" s="516"/>
      <c r="S139" s="516"/>
    </row>
    <row r="140" spans="2:19">
      <c r="B140" s="516"/>
      <c r="C140" s="1382"/>
      <c r="D140" s="1359" t="s">
        <v>1106</v>
      </c>
      <c r="E140" s="516"/>
      <c r="F140" s="1359"/>
      <c r="G140" s="1359"/>
      <c r="H140" s="1359"/>
      <c r="I140" s="1440">
        <v>1.8E-5</v>
      </c>
      <c r="J140" s="1359"/>
      <c r="K140" s="1440">
        <v>2.1999999999999999E-5</v>
      </c>
      <c r="L140" s="1359"/>
      <c r="M140" s="1359"/>
      <c r="N140" s="1359"/>
      <c r="O140" s="1359"/>
      <c r="P140" s="1359"/>
      <c r="Q140" s="1359"/>
      <c r="R140" s="516"/>
      <c r="S140" s="516"/>
    </row>
    <row r="141" spans="2:19">
      <c r="B141" s="516"/>
      <c r="C141" s="1382"/>
      <c r="D141" s="1359" t="s">
        <v>958</v>
      </c>
      <c r="E141" s="516"/>
      <c r="F141" s="1359"/>
      <c r="G141" s="1359"/>
      <c r="H141" s="1359"/>
      <c r="I141" s="1440">
        <v>3.7800000000000003E-4</v>
      </c>
      <c r="J141" s="1359"/>
      <c r="K141" s="1440">
        <v>3.2400000000000001E-4</v>
      </c>
      <c r="L141" s="1359"/>
      <c r="M141" s="1359"/>
      <c r="N141" s="1359"/>
      <c r="O141" s="1359"/>
      <c r="P141" s="1359"/>
      <c r="Q141" s="1359"/>
      <c r="R141" s="516"/>
      <c r="S141" s="516"/>
    </row>
    <row r="142" spans="2:19">
      <c r="B142" s="516"/>
      <c r="C142" s="1382"/>
      <c r="D142" s="1359" t="s">
        <v>1107</v>
      </c>
      <c r="E142" s="516"/>
      <c r="F142" s="1359"/>
      <c r="G142" s="1359"/>
      <c r="H142" s="1359"/>
      <c r="I142" s="1440">
        <v>3.6600000000000001E-4</v>
      </c>
      <c r="J142" s="1359"/>
      <c r="K142" s="1440">
        <v>4.4499999999999997E-4</v>
      </c>
      <c r="L142" s="1359"/>
      <c r="M142" s="1359"/>
      <c r="N142" s="1359"/>
      <c r="O142" s="1359"/>
      <c r="P142" s="1359"/>
      <c r="Q142" s="1359"/>
      <c r="R142" s="516"/>
      <c r="S142" s="516"/>
    </row>
    <row r="143" spans="2:19">
      <c r="B143" s="516"/>
      <c r="C143" s="1382"/>
      <c r="D143" s="1359" t="s">
        <v>1108</v>
      </c>
      <c r="E143" s="516"/>
      <c r="F143" s="1359"/>
      <c r="G143" s="1359"/>
      <c r="H143" s="1359"/>
      <c r="I143" s="1440">
        <v>4.2000000000000002E-4</v>
      </c>
      <c r="J143" s="1359"/>
      <c r="K143" s="1440">
        <v>0</v>
      </c>
      <c r="L143" s="1359"/>
      <c r="M143" s="1359"/>
      <c r="N143" s="1359"/>
      <c r="O143" s="1359"/>
      <c r="P143" s="1359"/>
      <c r="Q143" s="1359"/>
      <c r="R143" s="516"/>
      <c r="S143" s="516"/>
    </row>
    <row r="144" spans="2:19" ht="8.25" customHeight="1">
      <c r="B144" s="516"/>
      <c r="C144" s="1382"/>
      <c r="D144" s="1359"/>
      <c r="E144" s="516"/>
      <c r="F144" s="1359"/>
      <c r="G144" s="1359"/>
      <c r="H144" s="1359"/>
      <c r="I144" s="1359"/>
      <c r="J144" s="1359"/>
      <c r="K144" s="1359"/>
      <c r="L144" s="1359"/>
      <c r="M144" s="1359"/>
      <c r="N144" s="1359"/>
      <c r="O144" s="1359"/>
      <c r="P144" s="1359"/>
      <c r="Q144" s="1359"/>
      <c r="R144" s="516"/>
      <c r="S144" s="516"/>
    </row>
    <row r="145" spans="3:22">
      <c r="C145" s="1381"/>
      <c r="D145" s="1382"/>
      <c r="E145" s="1359" t="s">
        <v>1043</v>
      </c>
      <c r="F145" s="1359"/>
      <c r="G145" s="1359"/>
      <c r="H145" s="1359"/>
      <c r="I145" s="1440">
        <v>5.5000000000000003E-4</v>
      </c>
      <c r="J145" s="1433"/>
      <c r="K145" s="1359"/>
      <c r="L145" s="1359"/>
      <c r="M145" s="1359"/>
      <c r="N145" s="1359"/>
      <c r="O145" s="1359"/>
      <c r="P145" s="1359"/>
      <c r="Q145" s="1359"/>
    </row>
    <row r="146" spans="3:22">
      <c r="C146" s="1381"/>
      <c r="D146" s="1382"/>
      <c r="E146" s="1359"/>
      <c r="F146" s="1359"/>
      <c r="G146" s="1359"/>
      <c r="H146" s="1359"/>
      <c r="I146" s="1890"/>
      <c r="J146" s="1433"/>
      <c r="K146" s="1359"/>
      <c r="L146" s="1359"/>
      <c r="M146" s="1359"/>
      <c r="N146" s="1359"/>
      <c r="O146" s="1359"/>
      <c r="P146" s="1359"/>
      <c r="Q146" s="1359"/>
    </row>
    <row r="147" spans="3:22">
      <c r="C147" s="1388" t="s">
        <v>200</v>
      </c>
      <c r="D147" s="1382"/>
      <c r="E147" s="1382"/>
      <c r="F147" s="1382"/>
      <c r="G147" s="1382"/>
      <c r="H147" s="1382"/>
      <c r="I147" s="1382"/>
      <c r="J147" s="1382"/>
      <c r="K147" s="1382"/>
      <c r="L147" s="1382"/>
      <c r="M147" s="1382"/>
      <c r="N147" s="1382"/>
      <c r="O147" s="1382"/>
      <c r="P147" s="1382"/>
      <c r="Q147" s="1382"/>
      <c r="R147" s="516"/>
      <c r="S147" s="516"/>
    </row>
    <row r="148" spans="3:22">
      <c r="C148" s="516"/>
      <c r="D148" s="2028" t="s">
        <v>1109</v>
      </c>
      <c r="E148" s="2029"/>
      <c r="F148" s="2030"/>
      <c r="G148" s="516"/>
      <c r="H148" s="527" t="s">
        <v>1110</v>
      </c>
      <c r="I148" s="2031" t="s">
        <v>1111</v>
      </c>
      <c r="J148" s="2032"/>
      <c r="K148" s="2032"/>
      <c r="L148" s="2032"/>
      <c r="M148" s="2033"/>
      <c r="N148" s="2031" t="s">
        <v>1112</v>
      </c>
      <c r="O148" s="2034"/>
      <c r="P148" s="2034"/>
      <c r="Q148" s="2035"/>
      <c r="R148" s="2036" t="s">
        <v>1113</v>
      </c>
      <c r="S148" s="516"/>
    </row>
    <row r="149" spans="3:22" hidden="1">
      <c r="C149" s="516"/>
      <c r="D149" s="2037"/>
      <c r="E149" s="2038"/>
      <c r="F149" s="2039"/>
      <c r="G149" s="516"/>
      <c r="H149" s="516"/>
      <c r="I149" s="2040">
        <v>300</v>
      </c>
      <c r="J149" s="2032">
        <v>2000</v>
      </c>
      <c r="K149" s="2032">
        <v>10000</v>
      </c>
      <c r="L149" s="2032">
        <v>30000</v>
      </c>
      <c r="M149" s="2033"/>
      <c r="N149" s="2041" t="e">
        <f>I96</f>
        <v>#VALUE!</v>
      </c>
      <c r="O149" s="2042">
        <f>I97</f>
        <v>4.9799999999999997E-2</v>
      </c>
      <c r="P149" s="2042">
        <f>I101</f>
        <v>6.855E-2</v>
      </c>
      <c r="Q149" s="2043"/>
      <c r="R149" s="2044"/>
      <c r="S149" s="516"/>
    </row>
    <row r="150" spans="3:22" ht="24">
      <c r="C150" s="516"/>
      <c r="D150" s="2045"/>
      <c r="E150" s="2046"/>
      <c r="F150" s="2047"/>
      <c r="G150" s="516" t="s">
        <v>1656</v>
      </c>
      <c r="H150" s="516"/>
      <c r="I150" s="2048" t="s">
        <v>1114</v>
      </c>
      <c r="J150" s="2049" t="s">
        <v>1115</v>
      </c>
      <c r="K150" s="2049" t="s">
        <v>1116</v>
      </c>
      <c r="L150" s="2049" t="s">
        <v>1117</v>
      </c>
      <c r="M150" s="2048" t="s">
        <v>1118</v>
      </c>
      <c r="N150" s="2048" t="s">
        <v>1119</v>
      </c>
      <c r="O150" s="2048" t="s">
        <v>201</v>
      </c>
      <c r="P150" s="2048" t="s">
        <v>1120</v>
      </c>
      <c r="Q150" s="2050" t="s">
        <v>1121</v>
      </c>
      <c r="R150" s="2051" t="s">
        <v>1655</v>
      </c>
      <c r="S150" s="516"/>
      <c r="U150" s="2068" t="s">
        <v>395</v>
      </c>
      <c r="V150" s="2068" t="s">
        <v>1657</v>
      </c>
    </row>
    <row r="151" spans="3:22">
      <c r="C151" s="516"/>
      <c r="D151" s="2052" t="s">
        <v>157</v>
      </c>
      <c r="E151" s="2031" t="s">
        <v>456</v>
      </c>
      <c r="F151" s="2053"/>
      <c r="G151" s="516">
        <f>メイン!W76</f>
        <v>11000</v>
      </c>
      <c r="H151" s="516">
        <f>IF(G151=0,0,IF(G151&lt;$I$149,$I151,IF(G151&lt;$J$149,$J151,IF(G151&lt;$K$149,$K151,IF(G151&lt;$L$149,$L151,$M151)))))</f>
        <v>1930</v>
      </c>
      <c r="I151" s="2054">
        <v>1540</v>
      </c>
      <c r="J151" s="2054">
        <v>1540</v>
      </c>
      <c r="K151" s="2054">
        <v>1540</v>
      </c>
      <c r="L151" s="2054">
        <v>1930</v>
      </c>
      <c r="M151" s="2054">
        <v>2270</v>
      </c>
      <c r="N151" s="2055">
        <v>0.9</v>
      </c>
      <c r="O151" s="2055">
        <v>0.06</v>
      </c>
      <c r="P151" s="2055">
        <v>0.04</v>
      </c>
      <c r="Q151" s="2056" t="s">
        <v>968</v>
      </c>
      <c r="R151" s="2057" t="e">
        <f>SUMPRODUCT(N151:P151,$N$149:$P$149)</f>
        <v>#VALUE!</v>
      </c>
      <c r="S151" s="516"/>
      <c r="U151" s="516">
        <f>メイン!P76</f>
        <v>11000</v>
      </c>
      <c r="V151" s="516">
        <f>IF(U151=0,0,IF(U151&lt;$I$149,$I151,IF(U151&lt;$J$149,$J151,IF(U151&lt;$K$149,$K151,IF(U151&lt;$L$149,$L151,$M151)))))</f>
        <v>1930</v>
      </c>
    </row>
    <row r="152" spans="3:22">
      <c r="C152" s="516"/>
      <c r="D152" s="2058"/>
      <c r="E152" s="2031" t="s">
        <v>1122</v>
      </c>
      <c r="F152" s="2053"/>
      <c r="G152" s="516">
        <f>メイン!W77</f>
        <v>0</v>
      </c>
      <c r="H152" s="516">
        <f t="shared" ref="H152" si="36">IF(G152=0,0,IF(G152&lt;$I$149,$I152,IF(G152&lt;$J$149,$J152,IF(G152&lt;$K$149,$K152,IF(G152&lt;$L$149,$L152,$M152)))))</f>
        <v>0</v>
      </c>
      <c r="I152" s="2054">
        <v>1100</v>
      </c>
      <c r="J152" s="2054">
        <v>1100</v>
      </c>
      <c r="K152" s="2054">
        <v>1100</v>
      </c>
      <c r="L152" s="2054">
        <v>1260</v>
      </c>
      <c r="M152" s="2054">
        <v>1380</v>
      </c>
      <c r="N152" s="2055">
        <v>0.83</v>
      </c>
      <c r="O152" s="2055">
        <v>0.09</v>
      </c>
      <c r="P152" s="2055">
        <v>0.08</v>
      </c>
      <c r="Q152" s="2056" t="s">
        <v>968</v>
      </c>
      <c r="R152" s="2057" t="e">
        <f>SUMPRODUCT(N152:P152,$N$149:$P$149)</f>
        <v>#VALUE!</v>
      </c>
      <c r="S152" s="516"/>
      <c r="U152" s="516">
        <f>メイン!P77</f>
        <v>0</v>
      </c>
      <c r="V152" s="516">
        <f t="shared" ref="V152" si="37">IF(U152=0,0,IF(U152&lt;$I$149,$I152,IF(U152&lt;$J$149,$J152,IF(U152&lt;$K$149,$K152,IF(U152&lt;$L$149,$L152,$M152)))))</f>
        <v>0</v>
      </c>
    </row>
    <row r="153" spans="3:22">
      <c r="C153" s="516"/>
      <c r="D153" s="2059" t="s">
        <v>1123</v>
      </c>
      <c r="E153" s="2031" t="s">
        <v>1124</v>
      </c>
      <c r="F153" s="2053"/>
      <c r="G153" s="516">
        <f>メイン!W78</f>
        <v>0</v>
      </c>
      <c r="H153" s="516">
        <f>IF(G153=0,0,IF(G153&lt;$I$149,$I153,IF(G153&lt;$J$149,$J153,IF(G153&lt;$K$149,$K153,IF(G153&lt;$L$149,$L153,$M153)))))</f>
        <v>0</v>
      </c>
      <c r="I153" s="2054">
        <v>490</v>
      </c>
      <c r="J153" s="2054">
        <v>490</v>
      </c>
      <c r="K153" s="2054">
        <v>490</v>
      </c>
      <c r="L153" s="2054">
        <v>490</v>
      </c>
      <c r="M153" s="2054">
        <v>490</v>
      </c>
      <c r="N153" s="2055">
        <v>0.71</v>
      </c>
      <c r="O153" s="2055">
        <v>0.16</v>
      </c>
      <c r="P153" s="2055">
        <v>0.13</v>
      </c>
      <c r="Q153" s="2056" t="s">
        <v>968</v>
      </c>
      <c r="R153" s="2057" t="e">
        <f t="shared" ref="R153:R166" si="38">SUMPRODUCT(N153:P153,$N$149:$P$149)</f>
        <v>#VALUE!</v>
      </c>
      <c r="S153" s="516"/>
      <c r="U153" s="516">
        <f>メイン!P78</f>
        <v>0</v>
      </c>
      <c r="V153" s="516">
        <f>IF(U153=0,0,IF(U153&lt;$I$149,$I153,IF(U153&lt;$J$149,$J153,IF(U153&lt;$K$149,$K153,IF(U153&lt;$L$149,$L153,$M153)))))</f>
        <v>0</v>
      </c>
    </row>
    <row r="154" spans="3:22">
      <c r="C154" s="516"/>
      <c r="D154" s="2059"/>
      <c r="E154" s="2028" t="s">
        <v>1125</v>
      </c>
      <c r="F154" s="2048" t="s">
        <v>981</v>
      </c>
      <c r="G154" s="516">
        <f>メイン!W79</f>
        <v>0</v>
      </c>
      <c r="H154" s="2015">
        <f>IF(G154&gt;0,$I154,0)</f>
        <v>0</v>
      </c>
      <c r="I154" s="2054">
        <v>522</v>
      </c>
      <c r="J154" s="2054">
        <v>522</v>
      </c>
      <c r="K154" s="2054">
        <v>522</v>
      </c>
      <c r="L154" s="2054">
        <v>522</v>
      </c>
      <c r="M154" s="2054">
        <v>522</v>
      </c>
      <c r="N154" s="2055">
        <v>0.62299911901772109</v>
      </c>
      <c r="O154" s="2055">
        <v>0.16715691274115696</v>
      </c>
      <c r="P154" s="2055">
        <v>0.20984396824112195</v>
      </c>
      <c r="Q154" s="2056" t="s">
        <v>968</v>
      </c>
      <c r="R154" s="2057" t="e">
        <f t="shared" si="38"/>
        <v>#VALUE!</v>
      </c>
      <c r="S154" s="516"/>
      <c r="U154" s="516">
        <f>メイン!P79</f>
        <v>0</v>
      </c>
      <c r="V154" s="2015">
        <f>IF(U154&gt;0,$I154,0)</f>
        <v>0</v>
      </c>
    </row>
    <row r="155" spans="3:22">
      <c r="C155" s="516"/>
      <c r="D155" s="2059"/>
      <c r="E155" s="2045"/>
      <c r="F155" s="2048" t="s">
        <v>510</v>
      </c>
      <c r="G155" s="516">
        <f>メイン!W80</f>
        <v>0</v>
      </c>
      <c r="H155" s="2015">
        <f>IF(G155&gt;0,$I155,0)</f>
        <v>0</v>
      </c>
      <c r="I155" s="2054">
        <v>310</v>
      </c>
      <c r="J155" s="2054">
        <v>310</v>
      </c>
      <c r="K155" s="2054">
        <v>310</v>
      </c>
      <c r="L155" s="2054">
        <v>310</v>
      </c>
      <c r="M155" s="2054">
        <v>310</v>
      </c>
      <c r="N155" s="2055">
        <v>0.75998792472086629</v>
      </c>
      <c r="O155" s="2055">
        <v>0.13554620368652504</v>
      </c>
      <c r="P155" s="2055">
        <v>0.10446587159260867</v>
      </c>
      <c r="Q155" s="2056"/>
      <c r="R155" s="2057" t="e">
        <f t="shared" si="38"/>
        <v>#VALUE!</v>
      </c>
      <c r="S155" s="516"/>
      <c r="U155" s="516">
        <f>メイン!P80</f>
        <v>0</v>
      </c>
      <c r="V155" s="2015">
        <f>IF(U155&gt;0,$I155,0)</f>
        <v>0</v>
      </c>
    </row>
    <row r="156" spans="3:22">
      <c r="C156" s="516"/>
      <c r="D156" s="2059"/>
      <c r="E156" s="2031" t="s">
        <v>1126</v>
      </c>
      <c r="F156" s="2053"/>
      <c r="G156" s="516">
        <f>メイン!W81</f>
        <v>0</v>
      </c>
      <c r="H156" s="516">
        <f t="shared" ref="H156:H167" si="39">IF(G156=0,0,IF(G156&lt;$I$149,$I156,IF(G156&lt;$J$149,$J156,IF(G156&lt;$K$149,$K156,IF(G156&lt;$L$149,$L156,$M156)))))</f>
        <v>0</v>
      </c>
      <c r="I156" s="2054">
        <v>390</v>
      </c>
      <c r="J156" s="2054">
        <v>390</v>
      </c>
      <c r="K156" s="2054">
        <v>390</v>
      </c>
      <c r="L156" s="2054">
        <v>360</v>
      </c>
      <c r="M156" s="2054">
        <v>240</v>
      </c>
      <c r="N156" s="2055">
        <v>0.74</v>
      </c>
      <c r="O156" s="2055">
        <v>7.0000000000000007E-2</v>
      </c>
      <c r="P156" s="2055">
        <v>0.19</v>
      </c>
      <c r="Q156" s="2056" t="s">
        <v>968</v>
      </c>
      <c r="R156" s="2057" t="e">
        <f t="shared" si="38"/>
        <v>#VALUE!</v>
      </c>
      <c r="S156" s="516"/>
      <c r="U156" s="516">
        <f>メイン!P81</f>
        <v>0</v>
      </c>
      <c r="V156" s="516">
        <f t="shared" ref="V156:V169" si="40">IF(U156=0,0,IF(U156&lt;$I$149,$I156,IF(U156&lt;$J$149,$J156,IF(U156&lt;$K$149,$K156,IF(U156&lt;$L$149,$L156,$M156)))))</f>
        <v>0</v>
      </c>
    </row>
    <row r="157" spans="3:22">
      <c r="C157" s="516"/>
      <c r="D157" s="2058"/>
      <c r="E157" s="2031" t="s">
        <v>1127</v>
      </c>
      <c r="F157" s="2053"/>
      <c r="G157" s="516">
        <f>メイン!W82</f>
        <v>0</v>
      </c>
      <c r="H157" s="516">
        <f t="shared" si="39"/>
        <v>0</v>
      </c>
      <c r="I157" s="2054">
        <v>880</v>
      </c>
      <c r="J157" s="2054">
        <v>880</v>
      </c>
      <c r="K157" s="2054">
        <v>880</v>
      </c>
      <c r="L157" s="2054">
        <v>850</v>
      </c>
      <c r="M157" s="2054">
        <v>1160</v>
      </c>
      <c r="N157" s="2055">
        <v>0.79</v>
      </c>
      <c r="O157" s="2055">
        <v>0.12</v>
      </c>
      <c r="P157" s="2055">
        <v>0.09</v>
      </c>
      <c r="Q157" s="2056" t="s">
        <v>968</v>
      </c>
      <c r="R157" s="2057" t="e">
        <f t="shared" si="38"/>
        <v>#VALUE!</v>
      </c>
      <c r="S157" s="516"/>
      <c r="U157" s="516">
        <f>メイン!P82</f>
        <v>0</v>
      </c>
      <c r="V157" s="516">
        <f t="shared" si="40"/>
        <v>0</v>
      </c>
    </row>
    <row r="158" spans="3:22">
      <c r="C158" s="516"/>
      <c r="D158" s="2052" t="s">
        <v>1128</v>
      </c>
      <c r="E158" s="2031" t="s">
        <v>856</v>
      </c>
      <c r="F158" s="2053"/>
      <c r="G158" s="516">
        <f>メイン!W83</f>
        <v>0</v>
      </c>
      <c r="H158" s="516">
        <f t="shared" si="39"/>
        <v>0</v>
      </c>
      <c r="I158" s="2054">
        <v>7430</v>
      </c>
      <c r="J158" s="2054">
        <v>7430</v>
      </c>
      <c r="K158" s="2054">
        <v>5130</v>
      </c>
      <c r="L158" s="2054">
        <v>3190</v>
      </c>
      <c r="M158" s="2054">
        <v>3190</v>
      </c>
      <c r="N158" s="2055">
        <v>0.93</v>
      </c>
      <c r="O158" s="2055">
        <v>0.03</v>
      </c>
      <c r="P158" s="2055">
        <v>0.04</v>
      </c>
      <c r="Q158" s="2056" t="s">
        <v>968</v>
      </c>
      <c r="R158" s="2057" t="e">
        <f t="shared" si="38"/>
        <v>#VALUE!</v>
      </c>
      <c r="S158" s="516"/>
      <c r="U158" s="516">
        <f>メイン!P83</f>
        <v>0</v>
      </c>
      <c r="V158" s="516">
        <f t="shared" si="40"/>
        <v>0</v>
      </c>
    </row>
    <row r="159" spans="3:22">
      <c r="C159" s="516"/>
      <c r="D159" s="2058"/>
      <c r="E159" s="2031" t="s">
        <v>1129</v>
      </c>
      <c r="F159" s="2053"/>
      <c r="G159" s="516">
        <f>メイン!W84</f>
        <v>0</v>
      </c>
      <c r="H159" s="516">
        <f t="shared" si="39"/>
        <v>0</v>
      </c>
      <c r="I159" s="2054">
        <v>2360</v>
      </c>
      <c r="J159" s="2054">
        <v>2360</v>
      </c>
      <c r="K159" s="2054">
        <v>2360</v>
      </c>
      <c r="L159" s="2054">
        <v>2950</v>
      </c>
      <c r="M159" s="2054">
        <v>2680</v>
      </c>
      <c r="N159" s="2055">
        <v>0.92</v>
      </c>
      <c r="O159" s="2055">
        <v>0.04</v>
      </c>
      <c r="P159" s="2055">
        <v>0.04</v>
      </c>
      <c r="Q159" s="2056" t="s">
        <v>968</v>
      </c>
      <c r="R159" s="2057" t="e">
        <f t="shared" si="38"/>
        <v>#VALUE!</v>
      </c>
      <c r="S159" s="516"/>
      <c r="U159" s="516">
        <f>メイン!P84</f>
        <v>0</v>
      </c>
      <c r="V159" s="516">
        <f t="shared" si="40"/>
        <v>0</v>
      </c>
    </row>
    <row r="160" spans="3:22">
      <c r="C160" s="516"/>
      <c r="D160" s="2031" t="s">
        <v>462</v>
      </c>
      <c r="E160" s="2034"/>
      <c r="F160" s="2053"/>
      <c r="G160" s="516">
        <f>メイン!W85</f>
        <v>0</v>
      </c>
      <c r="H160" s="516">
        <f t="shared" si="39"/>
        <v>0</v>
      </c>
      <c r="I160" s="2054">
        <v>2960</v>
      </c>
      <c r="J160" s="2054">
        <v>2960</v>
      </c>
      <c r="K160" s="2054">
        <v>2960</v>
      </c>
      <c r="L160" s="2054">
        <v>2960</v>
      </c>
      <c r="M160" s="2054">
        <v>2960</v>
      </c>
      <c r="N160" s="2055">
        <v>0.5</v>
      </c>
      <c r="O160" s="2055">
        <v>0.38</v>
      </c>
      <c r="P160" s="2055">
        <v>0.12</v>
      </c>
      <c r="Q160" s="2056" t="s">
        <v>968</v>
      </c>
      <c r="R160" s="2057" t="e">
        <f t="shared" si="38"/>
        <v>#VALUE!</v>
      </c>
      <c r="S160" s="516"/>
      <c r="U160" s="516">
        <f>メイン!P85</f>
        <v>4000</v>
      </c>
      <c r="V160" s="516">
        <f t="shared" si="40"/>
        <v>2960</v>
      </c>
    </row>
    <row r="161" spans="3:27">
      <c r="C161" s="516"/>
      <c r="D161" s="2052" t="s">
        <v>1130</v>
      </c>
      <c r="E161" s="2031" t="s">
        <v>1131</v>
      </c>
      <c r="F161" s="2053"/>
      <c r="G161" s="516">
        <f>メイン!W86</f>
        <v>0</v>
      </c>
      <c r="H161" s="516">
        <f t="shared" si="39"/>
        <v>0</v>
      </c>
      <c r="I161" s="2054">
        <v>1030</v>
      </c>
      <c r="J161" s="2054">
        <v>1030</v>
      </c>
      <c r="K161" s="2054">
        <v>1030</v>
      </c>
      <c r="L161" s="2054">
        <v>1450</v>
      </c>
      <c r="M161" s="2054">
        <v>1670</v>
      </c>
      <c r="N161" s="2055">
        <v>0.76</v>
      </c>
      <c r="O161" s="2055">
        <v>0.16</v>
      </c>
      <c r="P161" s="2055">
        <v>0.08</v>
      </c>
      <c r="Q161" s="2056" t="s">
        <v>968</v>
      </c>
      <c r="R161" s="2057" t="e">
        <f t="shared" si="38"/>
        <v>#VALUE!</v>
      </c>
      <c r="S161" s="516"/>
      <c r="U161" s="516">
        <f>メイン!P86</f>
        <v>0</v>
      </c>
      <c r="V161" s="516">
        <f t="shared" si="40"/>
        <v>0</v>
      </c>
    </row>
    <row r="162" spans="3:27">
      <c r="C162" s="516"/>
      <c r="D162" s="2059"/>
      <c r="E162" s="2031" t="s">
        <v>1132</v>
      </c>
      <c r="F162" s="2053"/>
      <c r="G162" s="516">
        <f>メイン!W87</f>
        <v>0</v>
      </c>
      <c r="H162" s="516">
        <f t="shared" si="39"/>
        <v>0</v>
      </c>
      <c r="I162" s="2054">
        <v>1120</v>
      </c>
      <c r="J162" s="2054">
        <v>1120</v>
      </c>
      <c r="K162" s="2054">
        <v>1120</v>
      </c>
      <c r="L162" s="2054">
        <v>1580</v>
      </c>
      <c r="M162" s="2054">
        <v>1220</v>
      </c>
      <c r="N162" s="2055">
        <v>0.81</v>
      </c>
      <c r="O162" s="2055">
        <v>0.09</v>
      </c>
      <c r="P162" s="2055">
        <v>9.999999999999995E-2</v>
      </c>
      <c r="Q162" s="2056" t="s">
        <v>968</v>
      </c>
      <c r="R162" s="2057" t="e">
        <f t="shared" si="38"/>
        <v>#VALUE!</v>
      </c>
      <c r="S162" s="516"/>
      <c r="U162" s="516">
        <f>メイン!P87</f>
        <v>0</v>
      </c>
      <c r="V162" s="516">
        <f t="shared" si="40"/>
        <v>0</v>
      </c>
    </row>
    <row r="163" spans="3:27">
      <c r="C163" s="516"/>
      <c r="D163" s="2059"/>
      <c r="E163" s="2028" t="s">
        <v>1133</v>
      </c>
      <c r="F163" s="2030"/>
      <c r="G163" s="516">
        <f>メイン!W88</f>
        <v>0</v>
      </c>
      <c r="H163" s="516">
        <f t="shared" si="39"/>
        <v>0</v>
      </c>
      <c r="I163" s="2054">
        <v>1910</v>
      </c>
      <c r="J163" s="2054">
        <v>1910</v>
      </c>
      <c r="K163" s="2054">
        <v>1910</v>
      </c>
      <c r="L163" s="2054">
        <v>1300</v>
      </c>
      <c r="M163" s="2054">
        <v>1130</v>
      </c>
      <c r="N163" s="2055">
        <v>0.92</v>
      </c>
      <c r="O163" s="2055">
        <v>0.06</v>
      </c>
      <c r="P163" s="2055">
        <v>0.02</v>
      </c>
      <c r="Q163" s="2056" t="s">
        <v>968</v>
      </c>
      <c r="R163" s="2057" t="e">
        <f t="shared" si="38"/>
        <v>#VALUE!</v>
      </c>
      <c r="S163" s="516"/>
      <c r="U163" s="516">
        <f>メイン!P88</f>
        <v>0</v>
      </c>
      <c r="V163" s="516">
        <f t="shared" si="40"/>
        <v>0</v>
      </c>
    </row>
    <row r="164" spans="3:27">
      <c r="C164" s="516"/>
      <c r="D164" s="2031" t="s">
        <v>472</v>
      </c>
      <c r="E164" s="2034"/>
      <c r="F164" s="2053"/>
      <c r="G164" s="516">
        <f>メイン!W89</f>
        <v>4000</v>
      </c>
      <c r="H164" s="516">
        <f t="shared" si="39"/>
        <v>498</v>
      </c>
      <c r="I164" s="2054">
        <v>498</v>
      </c>
      <c r="J164" s="2054">
        <v>498</v>
      </c>
      <c r="K164" s="2054">
        <v>498</v>
      </c>
      <c r="L164" s="2054">
        <v>498</v>
      </c>
      <c r="M164" s="2054">
        <v>498</v>
      </c>
      <c r="N164" s="2055">
        <v>1</v>
      </c>
      <c r="O164" s="2055">
        <v>0</v>
      </c>
      <c r="P164" s="2055">
        <v>0</v>
      </c>
      <c r="Q164" s="2056" t="s">
        <v>968</v>
      </c>
      <c r="R164" s="2057" t="e">
        <f t="shared" si="38"/>
        <v>#VALUE!</v>
      </c>
      <c r="S164" s="516"/>
      <c r="U164" s="516">
        <f>メイン!P89</f>
        <v>0</v>
      </c>
      <c r="V164" s="516">
        <f t="shared" si="40"/>
        <v>0</v>
      </c>
    </row>
    <row r="165" spans="3:27">
      <c r="C165" s="516"/>
      <c r="D165" s="2031" t="s">
        <v>466</v>
      </c>
      <c r="E165" s="2034"/>
      <c r="F165" s="2053"/>
      <c r="G165" s="516">
        <f>メイン!W90</f>
        <v>0</v>
      </c>
      <c r="H165" s="516">
        <f t="shared" si="39"/>
        <v>0</v>
      </c>
      <c r="I165" s="2054">
        <v>2210</v>
      </c>
      <c r="J165" s="2054">
        <v>2210</v>
      </c>
      <c r="K165" s="2054">
        <v>2210</v>
      </c>
      <c r="L165" s="2054">
        <v>2450</v>
      </c>
      <c r="M165" s="2054">
        <v>2920</v>
      </c>
      <c r="N165" s="2055">
        <v>0.65</v>
      </c>
      <c r="O165" s="2055">
        <v>0.15</v>
      </c>
      <c r="P165" s="2055">
        <v>0.2</v>
      </c>
      <c r="Q165" s="2056" t="s">
        <v>968</v>
      </c>
      <c r="R165" s="2057" t="e">
        <f>SUMPRODUCT(N165:P165,$N$149:$P$149)</f>
        <v>#VALUE!</v>
      </c>
      <c r="S165" s="516"/>
      <c r="U165" s="516">
        <f>メイン!P90</f>
        <v>0</v>
      </c>
      <c r="V165" s="516">
        <f t="shared" si="40"/>
        <v>0</v>
      </c>
    </row>
    <row r="166" spans="3:27">
      <c r="C166" s="516"/>
      <c r="D166" s="2031" t="s">
        <v>1134</v>
      </c>
      <c r="E166" s="2034"/>
      <c r="F166" s="2053"/>
      <c r="G166" s="516">
        <f>メイン!W91</f>
        <v>0</v>
      </c>
      <c r="H166" s="516">
        <f>IF(G166=0,0,IF(G166&lt;$I$149,$I166,IF(G166&lt;$J$149,$J166,IF(G166&lt;$K$149,$K166,IF(G166&lt;$L$149,$L166,$M166)))))</f>
        <v>0</v>
      </c>
      <c r="I166" s="2054">
        <v>2440</v>
      </c>
      <c r="J166" s="2054">
        <v>2440</v>
      </c>
      <c r="K166" s="2054">
        <v>2440</v>
      </c>
      <c r="L166" s="2054">
        <v>2740</v>
      </c>
      <c r="M166" s="2054">
        <v>2740</v>
      </c>
      <c r="N166" s="2055">
        <v>0.77</v>
      </c>
      <c r="O166" s="2055">
        <v>0.1</v>
      </c>
      <c r="P166" s="2055">
        <v>0.13</v>
      </c>
      <c r="Q166" s="2056" t="s">
        <v>968</v>
      </c>
      <c r="R166" s="2057" t="e">
        <f t="shared" si="38"/>
        <v>#VALUE!</v>
      </c>
      <c r="S166" s="516"/>
      <c r="U166" s="516">
        <f>メイン!P91</f>
        <v>0</v>
      </c>
      <c r="V166" s="516">
        <f t="shared" si="40"/>
        <v>0</v>
      </c>
    </row>
    <row r="167" spans="3:27">
      <c r="C167" s="516"/>
      <c r="D167" s="2037"/>
      <c r="E167" s="2046"/>
      <c r="F167" s="2047"/>
      <c r="G167" s="516">
        <f>メイン!W92</f>
        <v>0</v>
      </c>
      <c r="H167" s="516">
        <f t="shared" si="39"/>
        <v>0</v>
      </c>
      <c r="I167" s="2054"/>
      <c r="J167" s="2054"/>
      <c r="K167" s="2054"/>
      <c r="L167" s="2054"/>
      <c r="M167" s="2054"/>
      <c r="N167" s="2041" t="e">
        <f>I96</f>
        <v>#VALUE!</v>
      </c>
      <c r="O167" s="2042">
        <f>I97</f>
        <v>4.9799999999999997E-2</v>
      </c>
      <c r="P167" s="2042">
        <f>I99</f>
        <v>6.7799999999999999E-2</v>
      </c>
      <c r="Q167" s="2043">
        <f>I102</f>
        <v>5.8999999999999997E-2</v>
      </c>
      <c r="R167" s="527"/>
      <c r="S167" s="516"/>
      <c r="U167" s="516">
        <f>メイン!P92</f>
        <v>320</v>
      </c>
      <c r="V167" s="516">
        <f t="shared" si="40"/>
        <v>0</v>
      </c>
    </row>
    <row r="168" spans="3:27">
      <c r="C168" s="516"/>
      <c r="D168" s="2044" t="s">
        <v>763</v>
      </c>
      <c r="E168" s="2060" t="s">
        <v>1135</v>
      </c>
      <c r="F168" s="2061"/>
      <c r="G168" s="516">
        <f>メイン!W93</f>
        <v>300</v>
      </c>
      <c r="H168" s="516" t="str">
        <f>IF(G168&gt;=$I$149,I168,IF(G168&gt;=$J$149,J168,IF(G168&gt;=$K$149,K168,IF(G168&gt;=$L$149,L168,IF(G168&gt;=$M$149,M168,0)))))</f>
        <v>-</v>
      </c>
      <c r="I168" s="2062" t="s">
        <v>968</v>
      </c>
      <c r="J168" s="2062" t="s">
        <v>968</v>
      </c>
      <c r="K168" s="2062" t="s">
        <v>968</v>
      </c>
      <c r="L168" s="2062" t="s">
        <v>968</v>
      </c>
      <c r="M168" s="2062" t="s">
        <v>968</v>
      </c>
      <c r="N168" s="2055">
        <v>0.51</v>
      </c>
      <c r="O168" s="2055">
        <v>0.21</v>
      </c>
      <c r="P168" s="2055">
        <v>0.18</v>
      </c>
      <c r="Q168" s="2055">
        <v>0.1</v>
      </c>
      <c r="R168" s="2057" t="e">
        <f>SUMPRODUCT(N168:Q168,$N$167:$Q$167)</f>
        <v>#VALUE!</v>
      </c>
      <c r="S168" s="516"/>
      <c r="U168" s="516">
        <f>メイン!P93</f>
        <v>300</v>
      </c>
      <c r="V168" s="516" t="str">
        <f t="shared" si="40"/>
        <v>-</v>
      </c>
    </row>
    <row r="169" spans="3:27">
      <c r="C169" s="516"/>
      <c r="D169" s="2063"/>
      <c r="E169" s="2064" t="s">
        <v>1136</v>
      </c>
      <c r="F169" s="2065"/>
      <c r="G169" s="516">
        <f>メイン!W94</f>
        <v>20</v>
      </c>
      <c r="H169" s="516" t="str">
        <f>IF(G169&gt;=$I$149,I169,IF(G169&gt;=$J$149,J169,IF(G169&gt;=$K$149,K169,IF(G169&gt;=$L$149,L169,IF(G169&gt;=$M$149,M169,0)))))</f>
        <v>-</v>
      </c>
      <c r="I169" s="2062" t="s">
        <v>968</v>
      </c>
      <c r="J169" s="2062" t="s">
        <v>968</v>
      </c>
      <c r="K169" s="2062" t="s">
        <v>968</v>
      </c>
      <c r="L169" s="2062" t="s">
        <v>968</v>
      </c>
      <c r="M169" s="2062" t="s">
        <v>968</v>
      </c>
      <c r="N169" s="2055">
        <v>1</v>
      </c>
      <c r="O169" s="2055">
        <v>0</v>
      </c>
      <c r="P169" s="2055">
        <v>0</v>
      </c>
      <c r="Q169" s="2056" t="s">
        <v>968</v>
      </c>
      <c r="R169" s="2057" t="e">
        <f>SUMPRODUCT(N169:Q169,$N$149:$Q$149)</f>
        <v>#VALUE!</v>
      </c>
      <c r="S169" s="516"/>
      <c r="U169" s="516">
        <f>メイン!P94</f>
        <v>20</v>
      </c>
      <c r="V169" s="516" t="str">
        <f t="shared" si="40"/>
        <v>-</v>
      </c>
    </row>
    <row r="170" spans="3:27">
      <c r="C170" s="516"/>
      <c r="D170" s="2066" t="s">
        <v>1110</v>
      </c>
      <c r="E170" s="2067"/>
      <c r="F170" s="2065"/>
      <c r="G170" s="516"/>
      <c r="H170" s="516"/>
      <c r="I170" s="2062" t="s">
        <v>968</v>
      </c>
      <c r="J170" s="2062" t="s">
        <v>968</v>
      </c>
      <c r="K170" s="2062" t="s">
        <v>968</v>
      </c>
      <c r="L170" s="2062" t="s">
        <v>968</v>
      </c>
      <c r="M170" s="2062" t="s">
        <v>968</v>
      </c>
      <c r="N170" s="2055">
        <f>境界値!H11</f>
        <v>0</v>
      </c>
      <c r="O170" s="2055">
        <f>境界値!I11</f>
        <v>0</v>
      </c>
      <c r="P170" s="2055">
        <f>境界値!J11</f>
        <v>0</v>
      </c>
      <c r="Q170" s="2056" t="s">
        <v>968</v>
      </c>
      <c r="R170" s="2057" t="e">
        <f>SUMPRODUCT(N170:Q170,$N$149:$Q$149)</f>
        <v>#VALUE!</v>
      </c>
      <c r="S170" s="516"/>
    </row>
    <row r="171" spans="3:27">
      <c r="C171" s="516"/>
      <c r="D171" s="517" t="s">
        <v>1137</v>
      </c>
      <c r="E171" s="2068" t="s">
        <v>1138</v>
      </c>
      <c r="F171" s="516"/>
      <c r="G171" s="516"/>
      <c r="H171" s="516"/>
      <c r="I171" s="516"/>
      <c r="J171" s="516"/>
      <c r="K171" s="516"/>
      <c r="L171" s="516"/>
      <c r="M171" s="516"/>
      <c r="N171" s="516"/>
      <c r="O171" s="516"/>
      <c r="P171" s="2068" t="s">
        <v>1139</v>
      </c>
      <c r="Q171" s="516"/>
      <c r="R171" s="516"/>
      <c r="S171" s="516"/>
    </row>
    <row r="172" spans="3:27">
      <c r="C172" s="516"/>
      <c r="D172" s="516"/>
      <c r="E172" s="2068" t="s">
        <v>1140</v>
      </c>
      <c r="F172" s="516"/>
      <c r="G172" s="516"/>
      <c r="H172" s="516"/>
      <c r="I172" s="516"/>
      <c r="J172" s="516"/>
      <c r="K172" s="516"/>
      <c r="L172" s="516"/>
      <c r="M172" s="516"/>
      <c r="N172" s="516"/>
      <c r="O172" s="516"/>
      <c r="P172" s="2068"/>
      <c r="Q172" s="516"/>
      <c r="R172" s="516"/>
      <c r="S172" s="516"/>
    </row>
    <row r="173" spans="3:27">
      <c r="C173" s="516"/>
      <c r="D173" s="516"/>
      <c r="E173" s="2068" t="s">
        <v>1141</v>
      </c>
      <c r="F173" s="516"/>
      <c r="G173" s="516"/>
      <c r="H173" s="516"/>
      <c r="I173" s="516"/>
      <c r="J173" s="516"/>
      <c r="K173" s="516"/>
      <c r="L173" s="516"/>
      <c r="M173" s="516"/>
      <c r="N173" s="516"/>
      <c r="O173" s="516"/>
      <c r="P173" s="2068"/>
      <c r="Q173" s="516"/>
      <c r="R173" s="516"/>
      <c r="S173" s="516"/>
    </row>
    <row r="174" spans="3:27">
      <c r="C174" s="516"/>
      <c r="D174" s="516"/>
      <c r="E174" s="516"/>
      <c r="F174" s="516"/>
      <c r="G174" s="516"/>
      <c r="H174" s="516"/>
      <c r="I174" s="516"/>
      <c r="J174" s="516"/>
      <c r="K174" s="516"/>
      <c r="L174" s="516"/>
      <c r="M174" s="516"/>
      <c r="N174" s="516"/>
      <c r="O174" s="516"/>
      <c r="P174" s="516"/>
      <c r="Q174" s="516"/>
      <c r="R174" s="516"/>
      <c r="S174" s="516"/>
    </row>
    <row r="175" spans="3:27">
      <c r="C175" s="516"/>
      <c r="D175" s="524" t="s">
        <v>1142</v>
      </c>
      <c r="E175" s="516"/>
      <c r="F175" s="516"/>
      <c r="G175" s="516"/>
      <c r="H175" s="516"/>
      <c r="I175" s="516"/>
      <c r="J175" s="516"/>
      <c r="K175" s="516"/>
      <c r="L175" s="516"/>
      <c r="M175" s="516"/>
      <c r="O175" s="516"/>
      <c r="P175" s="516"/>
      <c r="Q175" s="517" t="s">
        <v>1143</v>
      </c>
      <c r="R175" s="516"/>
      <c r="S175" s="516"/>
    </row>
    <row r="176" spans="3:27">
      <c r="C176" s="516"/>
      <c r="D176" s="2066" t="s">
        <v>1144</v>
      </c>
      <c r="E176" s="2069"/>
      <c r="F176" s="2036" t="s">
        <v>1145</v>
      </c>
      <c r="G176" s="516"/>
      <c r="H176" s="516"/>
      <c r="I176" s="527" t="s">
        <v>1110</v>
      </c>
      <c r="J176" s="2066" t="s">
        <v>1146</v>
      </c>
      <c r="K176" s="2069"/>
      <c r="L176" s="2069"/>
      <c r="M176" s="2069"/>
      <c r="N176" s="2069"/>
      <c r="O176" s="2069"/>
      <c r="P176" s="2070" t="s">
        <v>782</v>
      </c>
      <c r="Q176" s="2035"/>
      <c r="R176" s="516"/>
      <c r="T176" s="2071" t="s">
        <v>1147</v>
      </c>
      <c r="U176" s="2072"/>
      <c r="V176" s="2072"/>
      <c r="W176" s="2072"/>
      <c r="X176" s="2072"/>
      <c r="Y176" s="2072"/>
      <c r="Z176" s="2072"/>
      <c r="AA176" s="2072"/>
    </row>
    <row r="177" spans="3:27">
      <c r="C177" s="516"/>
      <c r="D177" s="527" t="s">
        <v>1148</v>
      </c>
      <c r="E177" s="527" t="s">
        <v>1149</v>
      </c>
      <c r="F177" s="2044" t="s">
        <v>1150</v>
      </c>
      <c r="G177" s="516"/>
      <c r="H177" s="516">
        <v>1</v>
      </c>
      <c r="I177" s="2036">
        <f>メイン!P16</f>
        <v>6</v>
      </c>
      <c r="J177" s="527">
        <v>1</v>
      </c>
      <c r="K177" s="527">
        <v>2</v>
      </c>
      <c r="L177" s="527">
        <v>3</v>
      </c>
      <c r="M177" s="527">
        <v>4</v>
      </c>
      <c r="N177" s="527">
        <v>5</v>
      </c>
      <c r="O177" s="527">
        <v>6</v>
      </c>
      <c r="P177" s="527">
        <v>7</v>
      </c>
      <c r="Q177" s="527">
        <v>8</v>
      </c>
      <c r="R177" s="516"/>
      <c r="T177" s="2073">
        <v>1</v>
      </c>
      <c r="U177" s="2073">
        <v>2</v>
      </c>
      <c r="V177" s="2073">
        <v>3</v>
      </c>
      <c r="W177" s="2073">
        <v>4</v>
      </c>
      <c r="X177" s="2073">
        <v>5</v>
      </c>
      <c r="Y177" s="2073">
        <v>6</v>
      </c>
      <c r="Z177" s="2073">
        <v>7</v>
      </c>
      <c r="AA177" s="2073">
        <v>8</v>
      </c>
    </row>
    <row r="178" spans="3:27">
      <c r="C178" s="516"/>
      <c r="D178" s="2044"/>
      <c r="E178" s="1335"/>
      <c r="F178" s="527" t="s">
        <v>138</v>
      </c>
      <c r="G178" s="527" t="s">
        <v>1151</v>
      </c>
      <c r="H178" s="527">
        <v>2</v>
      </c>
      <c r="I178" s="2074">
        <f>HLOOKUP($I$177,$J$177:$Q$195,H178)</f>
        <v>1100</v>
      </c>
      <c r="J178" s="2074">
        <v>1484</v>
      </c>
      <c r="K178" s="2074">
        <v>1298</v>
      </c>
      <c r="L178" s="2074">
        <v>1189</v>
      </c>
      <c r="M178" s="2074">
        <v>1246</v>
      </c>
      <c r="N178" s="2074">
        <v>1163</v>
      </c>
      <c r="O178" s="2074">
        <v>1100</v>
      </c>
      <c r="P178" s="2074">
        <v>976</v>
      </c>
      <c r="Q178" s="2074">
        <v>888</v>
      </c>
      <c r="R178" s="516"/>
      <c r="T178" s="2075">
        <f t="shared" ref="T178:AA178" si="41">MAX(J178:J195)</f>
        <v>1721</v>
      </c>
      <c r="U178" s="2075">
        <f t="shared" si="41"/>
        <v>1502</v>
      </c>
      <c r="V178" s="2075">
        <f t="shared" si="41"/>
        <v>1413</v>
      </c>
      <c r="W178" s="2075">
        <f t="shared" si="41"/>
        <v>1464</v>
      </c>
      <c r="X178" s="2075">
        <f t="shared" si="41"/>
        <v>1374</v>
      </c>
      <c r="Y178" s="2075">
        <f t="shared" si="41"/>
        <v>1343</v>
      </c>
      <c r="Z178" s="2075">
        <f t="shared" si="41"/>
        <v>1164</v>
      </c>
      <c r="AA178" s="2075">
        <f t="shared" si="41"/>
        <v>1017</v>
      </c>
    </row>
    <row r="179" spans="3:27">
      <c r="C179" s="516"/>
      <c r="D179" s="2044" t="s">
        <v>1152</v>
      </c>
      <c r="E179" s="516" t="s">
        <v>1153</v>
      </c>
      <c r="F179" s="527" t="s">
        <v>1154</v>
      </c>
      <c r="G179" s="527" t="s">
        <v>1155</v>
      </c>
      <c r="H179" s="527">
        <v>3</v>
      </c>
      <c r="I179" s="2074">
        <f t="shared" ref="I179:I194" si="42">HLOOKUP($I$177,$J$177:$Q$195,H179)</f>
        <v>1268</v>
      </c>
      <c r="J179" s="2074">
        <v>1721</v>
      </c>
      <c r="K179" s="2074">
        <v>1502</v>
      </c>
      <c r="L179" s="2074">
        <v>1373</v>
      </c>
      <c r="M179" s="2074">
        <v>1440</v>
      </c>
      <c r="N179" s="2074">
        <v>1343</v>
      </c>
      <c r="O179" s="2074">
        <v>1268</v>
      </c>
      <c r="P179" s="2074">
        <v>1121</v>
      </c>
      <c r="Q179" s="2074">
        <v>1017</v>
      </c>
      <c r="R179" s="516"/>
      <c r="T179" s="2076">
        <f>J178</f>
        <v>1484</v>
      </c>
      <c r="U179" s="2076">
        <f>K178</f>
        <v>1298</v>
      </c>
      <c r="V179" s="2076">
        <f>L184</f>
        <v>1223</v>
      </c>
      <c r="W179" s="2076">
        <f>M184</f>
        <v>1266</v>
      </c>
      <c r="X179" s="2076">
        <f>N184</f>
        <v>1190</v>
      </c>
      <c r="Y179" s="2076">
        <f>O184</f>
        <v>1163</v>
      </c>
      <c r="Z179" s="2076">
        <f>P184</f>
        <v>1012</v>
      </c>
      <c r="AA179" s="2076">
        <f>Q178</f>
        <v>888</v>
      </c>
    </row>
    <row r="180" spans="3:27" hidden="1">
      <c r="C180" s="516"/>
      <c r="D180" s="2044"/>
      <c r="E180" s="516"/>
      <c r="F180" s="527" t="s">
        <v>1156</v>
      </c>
      <c r="G180" s="527" t="s">
        <v>1157</v>
      </c>
      <c r="H180" s="516">
        <v>4</v>
      </c>
      <c r="I180" s="2074">
        <f t="shared" si="42"/>
        <v>1016</v>
      </c>
      <c r="J180" s="2074">
        <v>1365</v>
      </c>
      <c r="K180" s="2074">
        <v>1196</v>
      </c>
      <c r="L180" s="2074">
        <v>1097</v>
      </c>
      <c r="M180" s="2074">
        <v>1149</v>
      </c>
      <c r="N180" s="2074">
        <v>1074</v>
      </c>
      <c r="O180" s="2074">
        <v>1016</v>
      </c>
      <c r="P180" s="2074">
        <v>903</v>
      </c>
      <c r="Q180" s="2074">
        <v>823</v>
      </c>
      <c r="R180" s="516"/>
      <c r="S180" s="516"/>
    </row>
    <row r="181" spans="3:27">
      <c r="C181" s="516"/>
      <c r="D181" s="2077"/>
      <c r="E181" s="2036"/>
      <c r="F181" s="2035" t="s">
        <v>138</v>
      </c>
      <c r="G181" s="527" t="s">
        <v>1158</v>
      </c>
      <c r="H181" s="527">
        <v>5</v>
      </c>
      <c r="I181" s="2074">
        <f t="shared" si="42"/>
        <v>926</v>
      </c>
      <c r="J181" s="2074">
        <v>1466</v>
      </c>
      <c r="K181" s="2074">
        <v>1282</v>
      </c>
      <c r="L181" s="2074">
        <v>1155</v>
      </c>
      <c r="M181" s="2074">
        <v>1179</v>
      </c>
      <c r="N181" s="2074">
        <v>1092</v>
      </c>
      <c r="O181" s="2074">
        <v>926</v>
      </c>
      <c r="P181" s="2074">
        <v>752</v>
      </c>
      <c r="Q181" s="2074">
        <v>556</v>
      </c>
      <c r="R181" s="516"/>
      <c r="S181" s="516"/>
    </row>
    <row r="182" spans="3:27">
      <c r="C182" s="516"/>
      <c r="D182" s="2078" t="s">
        <v>1152</v>
      </c>
      <c r="E182" s="2044" t="s">
        <v>1159</v>
      </c>
      <c r="F182" s="2035" t="s">
        <v>1154</v>
      </c>
      <c r="G182" s="527" t="s">
        <v>1160</v>
      </c>
      <c r="H182" s="527">
        <v>6</v>
      </c>
      <c r="I182" s="2074">
        <f t="shared" si="42"/>
        <v>1063</v>
      </c>
      <c r="J182" s="2074">
        <v>1700</v>
      </c>
      <c r="K182" s="2074">
        <v>1483</v>
      </c>
      <c r="L182" s="2074">
        <v>1333</v>
      </c>
      <c r="M182" s="2074">
        <v>1361</v>
      </c>
      <c r="N182" s="2074">
        <v>1258</v>
      </c>
      <c r="O182" s="2074">
        <v>1063</v>
      </c>
      <c r="P182" s="2074">
        <v>857</v>
      </c>
      <c r="Q182" s="2074">
        <v>625</v>
      </c>
      <c r="R182" s="516"/>
      <c r="S182" s="516"/>
    </row>
    <row r="183" spans="3:27">
      <c r="C183" s="516"/>
      <c r="D183" s="2079"/>
      <c r="E183" s="2063"/>
      <c r="F183" s="2035" t="s">
        <v>1156</v>
      </c>
      <c r="G183" s="527" t="s">
        <v>1161</v>
      </c>
      <c r="H183" s="516">
        <v>7</v>
      </c>
      <c r="I183" s="2074">
        <f t="shared" si="42"/>
        <v>858</v>
      </c>
      <c r="J183" s="2074">
        <v>1348</v>
      </c>
      <c r="K183" s="2074">
        <v>1182</v>
      </c>
      <c r="L183" s="2074">
        <v>1066</v>
      </c>
      <c r="M183" s="2074">
        <v>1088</v>
      </c>
      <c r="N183" s="2074">
        <v>1009</v>
      </c>
      <c r="O183" s="2074">
        <v>858</v>
      </c>
      <c r="P183" s="2074">
        <v>700</v>
      </c>
      <c r="Q183" s="2074">
        <v>521</v>
      </c>
      <c r="R183" s="516"/>
      <c r="S183" s="516"/>
    </row>
    <row r="184" spans="3:27">
      <c r="C184" s="516"/>
      <c r="D184" s="2036"/>
      <c r="E184" s="2036"/>
      <c r="F184" s="527" t="s">
        <v>138</v>
      </c>
      <c r="G184" s="527" t="s">
        <v>1162</v>
      </c>
      <c r="H184" s="527">
        <v>8</v>
      </c>
      <c r="I184" s="2074">
        <f t="shared" si="42"/>
        <v>1163</v>
      </c>
      <c r="J184" s="2074">
        <v>1374</v>
      </c>
      <c r="K184" s="2074">
        <v>1287</v>
      </c>
      <c r="L184" s="2074">
        <v>1223</v>
      </c>
      <c r="M184" s="2074">
        <v>1266</v>
      </c>
      <c r="N184" s="2074">
        <v>1190</v>
      </c>
      <c r="O184" s="2074">
        <v>1163</v>
      </c>
      <c r="P184" s="2074">
        <v>1012</v>
      </c>
      <c r="Q184" s="2074">
        <v>888</v>
      </c>
      <c r="R184" s="516"/>
      <c r="S184" s="516"/>
    </row>
    <row r="185" spans="3:27">
      <c r="C185" s="516"/>
      <c r="D185" s="2044" t="s">
        <v>1163</v>
      </c>
      <c r="E185" s="2044" t="s">
        <v>1153</v>
      </c>
      <c r="F185" s="527" t="s">
        <v>1154</v>
      </c>
      <c r="G185" s="527" t="s">
        <v>1164</v>
      </c>
      <c r="H185" s="527">
        <v>9</v>
      </c>
      <c r="I185" s="2074">
        <f t="shared" si="42"/>
        <v>1343</v>
      </c>
      <c r="J185" s="2074">
        <v>1592</v>
      </c>
      <c r="K185" s="2074">
        <v>1489</v>
      </c>
      <c r="L185" s="2074">
        <v>1413</v>
      </c>
      <c r="M185" s="2074">
        <v>1464</v>
      </c>
      <c r="N185" s="2074">
        <v>1374</v>
      </c>
      <c r="O185" s="2074">
        <v>1343</v>
      </c>
      <c r="P185" s="2074">
        <v>1164</v>
      </c>
      <c r="Q185" s="2074">
        <v>1017</v>
      </c>
      <c r="R185" s="516"/>
      <c r="S185" s="516"/>
    </row>
    <row r="186" spans="3:27">
      <c r="C186" s="516"/>
      <c r="D186" s="2044"/>
      <c r="E186" s="2044"/>
      <c r="F186" s="527" t="s">
        <v>1156</v>
      </c>
      <c r="G186" s="527" t="s">
        <v>1165</v>
      </c>
      <c r="H186" s="516">
        <v>10</v>
      </c>
      <c r="I186" s="2074">
        <f t="shared" si="42"/>
        <v>1074</v>
      </c>
      <c r="J186" s="2074">
        <v>1265</v>
      </c>
      <c r="K186" s="2074">
        <v>1186</v>
      </c>
      <c r="L186" s="2074">
        <v>1128</v>
      </c>
      <c r="M186" s="2074">
        <v>1167</v>
      </c>
      <c r="N186" s="2074">
        <v>1098</v>
      </c>
      <c r="O186" s="2074">
        <v>1074</v>
      </c>
      <c r="P186" s="2074">
        <v>936</v>
      </c>
      <c r="Q186" s="2074">
        <v>823</v>
      </c>
      <c r="R186" s="516"/>
      <c r="S186" s="516"/>
    </row>
    <row r="187" spans="3:27">
      <c r="C187" s="516"/>
      <c r="D187" s="2077"/>
      <c r="E187" s="2036"/>
      <c r="F187" s="2035" t="s">
        <v>138</v>
      </c>
      <c r="G187" s="527" t="s">
        <v>1166</v>
      </c>
      <c r="H187" s="527">
        <v>11</v>
      </c>
      <c r="I187" s="2074">
        <f t="shared" si="42"/>
        <v>990</v>
      </c>
      <c r="J187" s="2074">
        <v>1356</v>
      </c>
      <c r="K187" s="2074">
        <v>1271</v>
      </c>
      <c r="L187" s="2074">
        <v>1189</v>
      </c>
      <c r="M187" s="2074">
        <v>1199</v>
      </c>
      <c r="N187" s="2074">
        <v>1119</v>
      </c>
      <c r="O187" s="2074">
        <v>990</v>
      </c>
      <c r="P187" s="2074">
        <v>789</v>
      </c>
      <c r="Q187" s="2074">
        <v>556</v>
      </c>
      <c r="R187" s="516"/>
      <c r="S187" s="516"/>
    </row>
    <row r="188" spans="3:27">
      <c r="C188" s="516"/>
      <c r="D188" s="2078" t="s">
        <v>1163</v>
      </c>
      <c r="E188" s="2044" t="s">
        <v>1159</v>
      </c>
      <c r="F188" s="2035" t="s">
        <v>1154</v>
      </c>
      <c r="G188" s="527" t="s">
        <v>1167</v>
      </c>
      <c r="H188" s="527">
        <v>12</v>
      </c>
      <c r="I188" s="2074">
        <f t="shared" si="42"/>
        <v>1137</v>
      </c>
      <c r="J188" s="2074">
        <v>1571</v>
      </c>
      <c r="K188" s="2074">
        <v>1470</v>
      </c>
      <c r="L188" s="2074">
        <v>1373</v>
      </c>
      <c r="M188" s="2074">
        <v>1385</v>
      </c>
      <c r="N188" s="2074">
        <v>1290</v>
      </c>
      <c r="O188" s="2074">
        <v>1137</v>
      </c>
      <c r="P188" s="2074">
        <v>900</v>
      </c>
      <c r="Q188" s="2074">
        <v>625</v>
      </c>
      <c r="R188" s="516"/>
      <c r="S188" s="516"/>
    </row>
    <row r="189" spans="3:27">
      <c r="C189" s="516"/>
      <c r="D189" s="2079"/>
      <c r="E189" s="2063"/>
      <c r="F189" s="2035" t="s">
        <v>1156</v>
      </c>
      <c r="G189" s="527" t="s">
        <v>1168</v>
      </c>
      <c r="H189" s="516">
        <v>13</v>
      </c>
      <c r="I189" s="2074">
        <f t="shared" si="42"/>
        <v>916</v>
      </c>
      <c r="J189" s="2074">
        <v>1249</v>
      </c>
      <c r="K189" s="2074">
        <v>1172</v>
      </c>
      <c r="L189" s="2074">
        <v>1097</v>
      </c>
      <c r="M189" s="2074">
        <v>1106</v>
      </c>
      <c r="N189" s="2074">
        <v>1033</v>
      </c>
      <c r="O189" s="2074">
        <v>916</v>
      </c>
      <c r="P189" s="2074">
        <v>733</v>
      </c>
      <c r="Q189" s="2074">
        <v>521</v>
      </c>
      <c r="R189" s="516"/>
      <c r="S189" s="516"/>
    </row>
    <row r="190" spans="3:27">
      <c r="C190" s="516"/>
      <c r="D190" s="2036"/>
      <c r="E190" s="2080"/>
      <c r="F190" s="527" t="s">
        <v>138</v>
      </c>
      <c r="G190" s="527" t="s">
        <v>1169</v>
      </c>
      <c r="H190" s="527">
        <v>14</v>
      </c>
      <c r="I190" s="2074">
        <f t="shared" si="42"/>
        <v>901</v>
      </c>
      <c r="J190" s="2074">
        <v>1024</v>
      </c>
      <c r="K190" s="2074">
        <v>966</v>
      </c>
      <c r="L190" s="2074">
        <v>916</v>
      </c>
      <c r="M190" s="2074">
        <v>941</v>
      </c>
      <c r="N190" s="2074">
        <v>856</v>
      </c>
      <c r="O190" s="2074">
        <v>901</v>
      </c>
      <c r="P190" s="2074">
        <v>869</v>
      </c>
      <c r="Q190" s="2074">
        <v>888</v>
      </c>
      <c r="R190" s="516"/>
      <c r="S190" s="516"/>
    </row>
    <row r="191" spans="3:27">
      <c r="C191" s="516"/>
      <c r="D191" s="2044" t="s">
        <v>1170</v>
      </c>
      <c r="E191" s="2081" t="s">
        <v>1153</v>
      </c>
      <c r="F191" s="527" t="s">
        <v>1154</v>
      </c>
      <c r="G191" s="527" t="s">
        <v>1171</v>
      </c>
      <c r="H191" s="527">
        <v>15</v>
      </c>
      <c r="I191" s="2074">
        <f t="shared" si="42"/>
        <v>1033</v>
      </c>
      <c r="J191" s="2074">
        <v>1178</v>
      </c>
      <c r="K191" s="2074">
        <v>1110</v>
      </c>
      <c r="L191" s="2074">
        <v>1050</v>
      </c>
      <c r="M191" s="2074">
        <v>1080</v>
      </c>
      <c r="N191" s="2074">
        <v>97</v>
      </c>
      <c r="O191" s="2074">
        <v>1033</v>
      </c>
      <c r="P191" s="2074">
        <v>995</v>
      </c>
      <c r="Q191" s="2074">
        <v>1017</v>
      </c>
      <c r="R191" s="516"/>
      <c r="S191" s="516"/>
    </row>
    <row r="192" spans="3:27">
      <c r="C192" s="516"/>
      <c r="D192" s="2044"/>
      <c r="E192" s="2081"/>
      <c r="F192" s="527" t="s">
        <v>1156</v>
      </c>
      <c r="G192" s="527" t="s">
        <v>1172</v>
      </c>
      <c r="H192" s="516">
        <v>16</v>
      </c>
      <c r="I192" s="2074">
        <f t="shared" si="42"/>
        <v>835</v>
      </c>
      <c r="J192" s="2074">
        <v>947</v>
      </c>
      <c r="K192" s="2074">
        <v>894</v>
      </c>
      <c r="L192" s="2074">
        <v>849</v>
      </c>
      <c r="M192" s="2074">
        <v>871</v>
      </c>
      <c r="N192" s="2074">
        <v>794</v>
      </c>
      <c r="O192" s="2074">
        <v>835</v>
      </c>
      <c r="P192" s="2074">
        <v>806</v>
      </c>
      <c r="Q192" s="2074">
        <v>823</v>
      </c>
      <c r="R192" s="516"/>
      <c r="S192" s="516"/>
    </row>
    <row r="193" spans="3:25">
      <c r="C193" s="516"/>
      <c r="D193" s="2077"/>
      <c r="E193" s="2036"/>
      <c r="F193" s="2035" t="s">
        <v>138</v>
      </c>
      <c r="G193" s="527" t="s">
        <v>1173</v>
      </c>
      <c r="H193" s="527">
        <v>17</v>
      </c>
      <c r="I193" s="2074">
        <f t="shared" si="42"/>
        <v>727</v>
      </c>
      <c r="J193" s="2074">
        <v>1006</v>
      </c>
      <c r="K193" s="2074">
        <v>950</v>
      </c>
      <c r="L193" s="2074">
        <v>882</v>
      </c>
      <c r="M193" s="2074">
        <v>874</v>
      </c>
      <c r="N193" s="2074">
        <v>784</v>
      </c>
      <c r="O193" s="2074">
        <v>727</v>
      </c>
      <c r="P193" s="2074">
        <v>646</v>
      </c>
      <c r="Q193" s="2074">
        <v>556</v>
      </c>
      <c r="R193" s="516"/>
      <c r="S193" s="516"/>
    </row>
    <row r="194" spans="3:25">
      <c r="C194" s="516"/>
      <c r="D194" s="2078" t="s">
        <v>1170</v>
      </c>
      <c r="E194" s="2044" t="s">
        <v>1159</v>
      </c>
      <c r="F194" s="2035" t="s">
        <v>1154</v>
      </c>
      <c r="G194" s="527" t="s">
        <v>1174</v>
      </c>
      <c r="H194" s="527">
        <v>18</v>
      </c>
      <c r="I194" s="2074">
        <f t="shared" si="42"/>
        <v>828</v>
      </c>
      <c r="J194" s="2074">
        <v>1157</v>
      </c>
      <c r="K194" s="2074">
        <v>1091</v>
      </c>
      <c r="L194" s="2074">
        <v>1010</v>
      </c>
      <c r="M194" s="2074">
        <v>1001</v>
      </c>
      <c r="N194" s="2074">
        <v>895</v>
      </c>
      <c r="O194" s="2074">
        <v>828</v>
      </c>
      <c r="P194" s="2074">
        <v>731</v>
      </c>
      <c r="Q194" s="2074">
        <v>625</v>
      </c>
      <c r="R194" s="516"/>
      <c r="S194" s="516"/>
    </row>
    <row r="195" spans="3:25">
      <c r="C195" s="516"/>
      <c r="D195" s="2079"/>
      <c r="E195" s="2063"/>
      <c r="F195" s="2035" t="s">
        <v>1156</v>
      </c>
      <c r="G195" s="527" t="s">
        <v>1175</v>
      </c>
      <c r="H195" s="527">
        <v>19</v>
      </c>
      <c r="I195" s="2074">
        <f>HLOOKUP($I$177,$J$177:$Q$195,H195)</f>
        <v>677</v>
      </c>
      <c r="J195" s="2074">
        <v>931</v>
      </c>
      <c r="K195" s="2074">
        <v>880</v>
      </c>
      <c r="L195" s="2074">
        <v>818</v>
      </c>
      <c r="M195" s="2074">
        <v>811</v>
      </c>
      <c r="N195" s="2074">
        <v>729</v>
      </c>
      <c r="O195" s="2074">
        <v>677</v>
      </c>
      <c r="P195" s="2074">
        <v>603</v>
      </c>
      <c r="Q195" s="2074">
        <v>521</v>
      </c>
      <c r="R195" s="516"/>
      <c r="S195" s="516"/>
    </row>
    <row r="196" spans="3:25" hidden="1">
      <c r="C196" s="516" t="s">
        <v>1662</v>
      </c>
      <c r="D196" s="2082" t="str">
        <f>省エネ_後!F88</f>
        <v>－</v>
      </c>
      <c r="E196" s="2082" t="str">
        <f>省エネ_後!K88</f>
        <v>－</v>
      </c>
      <c r="F196" s="516" t="str">
        <f>省エネ_後!N84</f>
        <v>算定プログラムによる評価</v>
      </c>
      <c r="G196" s="2083" t="str">
        <f>IFERROR(D196&amp;E196&amp;省エネ_後!N84,"-")</f>
        <v>－－算定プログラムによる評価</v>
      </c>
      <c r="H196" s="2083" t="str">
        <f>IFERROR(VLOOKUP(G196,G178:H195,2,0),"-")</f>
        <v>-</v>
      </c>
      <c r="I196" s="2084">
        <f>IF(H196="-",HLOOKUP($I$177,$T$177:$AA$179,2,FALSE),VLOOKUP(H196,$H$178:$I$195,2))</f>
        <v>1343</v>
      </c>
      <c r="J196" t="s">
        <v>1661</v>
      </c>
      <c r="K196" s="2082" t="str">
        <f>省エネ_前!F88</f>
        <v>－</v>
      </c>
      <c r="L196" s="2082" t="str">
        <f>省エネ_前!K88</f>
        <v>－</v>
      </c>
      <c r="M196" s="516" t="str">
        <f>省エネ_前!N84</f>
        <v>算定プログラムによる評価</v>
      </c>
      <c r="N196" s="2083" t="str">
        <f>IFERROR(K196&amp;L196&amp;省エネ_前!N84,"-")</f>
        <v>－－算定プログラムによる評価</v>
      </c>
      <c r="O196" s="2083" t="str">
        <f>IFERROR(VLOOKUP(N196,G178:H195,2,0),"-")</f>
        <v>-</v>
      </c>
      <c r="P196" s="2084">
        <f>IF(O196="-",HLOOKUP($I$177,$T$177:$AA$179,2,FALSE),VLOOKUP(O196,$H$178:$I$195,2))</f>
        <v>1343</v>
      </c>
      <c r="S196" s="516" t="s">
        <v>1660</v>
      </c>
      <c r="T196" s="2082" t="str">
        <f>省エネ_対象外!F88</f>
        <v>－</v>
      </c>
      <c r="U196" s="2082" t="str">
        <f>省エネ_対象外!K88</f>
        <v>－</v>
      </c>
      <c r="V196" s="516" t="str">
        <f>省エネ_対象外!N84</f>
        <v>算定プログラムによる評価</v>
      </c>
      <c r="W196" s="2083" t="str">
        <f>IFERROR(T196&amp;U196&amp;省エネ_対象外!N84,"-")</f>
        <v>－－算定プログラムによる評価</v>
      </c>
      <c r="X196" s="2083" t="str">
        <f>IFERROR(VLOOKUP(W196,G178:H195,2,0),"-")</f>
        <v>-</v>
      </c>
      <c r="Y196" s="2084">
        <f>IF(X196="-",HLOOKUP($I$177,$T$177:$AA$179,2,FALSE),VLOOKUP(X196,$H$178:$I$195,2))</f>
        <v>1343</v>
      </c>
    </row>
    <row r="197" spans="3:25" hidden="1">
      <c r="C197" s="516"/>
      <c r="D197" s="516"/>
      <c r="E197" s="516"/>
      <c r="F197" s="516"/>
      <c r="G197" s="516" t="str">
        <f>D196&amp;E196&amp;0</f>
        <v>－－0</v>
      </c>
      <c r="H197" s="2083" t="str">
        <f>IFERROR(VLOOKUP(G197,G178:H195,2,0),"-")</f>
        <v>-</v>
      </c>
      <c r="I197" s="2084">
        <f>IF(H197="-",HLOOKUP($I$177,$T$177:$AA$179,3,FALSE),VLOOKUP(H197,$H$178:$I$195,2))</f>
        <v>1163</v>
      </c>
      <c r="K197" s="516"/>
      <c r="L197" s="516"/>
      <c r="M197" s="516"/>
      <c r="N197" s="516" t="str">
        <f>K196&amp;L196&amp;0</f>
        <v>－－0</v>
      </c>
      <c r="O197" s="2083" t="str">
        <f>IFERROR(VLOOKUP(N197,G178:H195,2,0),"-")</f>
        <v>-</v>
      </c>
      <c r="P197" s="2084">
        <f>IF(O197="-",HLOOKUP($I$177,$T$177:$AA$179,3,FALSE),VLOOKUP(O197,$H$178:$I$195,2))</f>
        <v>1163</v>
      </c>
      <c r="S197" s="516"/>
      <c r="T197" s="516"/>
      <c r="U197" s="516"/>
      <c r="V197" s="516"/>
      <c r="W197" s="516" t="str">
        <f>T196&amp;U196&amp;0</f>
        <v>－－0</v>
      </c>
      <c r="X197" s="2083" t="str">
        <f>IFERROR(VLOOKUP(W197,G178:H195,2,0),"-")</f>
        <v>-</v>
      </c>
      <c r="Y197" s="2084">
        <f>IF(X197="-",HLOOKUP($I$177,$T$177:$AA$179,3,FALSE),VLOOKUP(X197,$H$178:$I$195,2))</f>
        <v>1163</v>
      </c>
    </row>
    <row r="198" spans="3:25">
      <c r="C198" s="516"/>
      <c r="D198" s="1382"/>
      <c r="E198" s="1359"/>
      <c r="F198" s="1359"/>
      <c r="G198" s="1359"/>
      <c r="H198" s="1359"/>
      <c r="I198" s="1890"/>
      <c r="J198" s="1433"/>
      <c r="K198" s="1359"/>
      <c r="L198" s="1359"/>
      <c r="M198" s="1359"/>
      <c r="N198" s="1359"/>
      <c r="O198" s="1359"/>
      <c r="P198" s="1359"/>
      <c r="Q198" s="1359"/>
      <c r="R198" s="516"/>
      <c r="S198" s="516"/>
    </row>
    <row r="199" spans="3:25">
      <c r="C199" s="1443" t="s">
        <v>202</v>
      </c>
      <c r="D199" s="1359"/>
      <c r="E199" s="1359"/>
      <c r="F199" s="1359"/>
      <c r="G199" s="1359"/>
      <c r="H199" s="1359"/>
      <c r="I199" s="1359"/>
      <c r="J199" s="1359"/>
      <c r="K199" s="1359"/>
      <c r="L199" s="1359"/>
      <c r="M199" s="1359"/>
      <c r="N199" s="1359"/>
      <c r="O199" s="1359"/>
      <c r="P199" s="1359"/>
      <c r="Q199" s="1359"/>
    </row>
    <row r="200" spans="3:25">
      <c r="C200" s="1444"/>
      <c r="D200" s="1359"/>
      <c r="E200" s="1359"/>
      <c r="F200" s="1359"/>
      <c r="G200" s="1359"/>
      <c r="H200" s="1359"/>
      <c r="I200" s="1359"/>
      <c r="J200" s="1359"/>
      <c r="K200" s="1359"/>
      <c r="L200" s="1359"/>
      <c r="M200" s="1359"/>
      <c r="N200" s="1359"/>
      <c r="O200" s="1359"/>
      <c r="P200" s="1359"/>
      <c r="Q200" s="1359"/>
    </row>
    <row r="201" spans="3:25">
      <c r="C201" s="1387" t="s">
        <v>203</v>
      </c>
      <c r="D201" s="1359"/>
      <c r="E201" s="1359"/>
      <c r="F201" s="1359"/>
      <c r="G201" s="1359"/>
      <c r="H201" s="1359"/>
      <c r="I201" s="1389" t="s">
        <v>420</v>
      </c>
      <c r="J201" s="1385"/>
      <c r="K201" s="1390"/>
      <c r="L201" s="1389" t="s">
        <v>421</v>
      </c>
      <c r="M201" s="1385"/>
      <c r="N201" s="1390"/>
      <c r="O201" s="1389" t="s">
        <v>422</v>
      </c>
      <c r="P201" s="1385"/>
      <c r="Q201" s="1390"/>
    </row>
    <row r="202" spans="3:25">
      <c r="C202" s="1359"/>
      <c r="D202" s="1445" t="s">
        <v>204</v>
      </c>
      <c r="E202" s="1359"/>
      <c r="F202" s="1359"/>
      <c r="G202" s="1421"/>
      <c r="H202" s="1421"/>
      <c r="I202" s="1396" t="s">
        <v>205</v>
      </c>
      <c r="J202" s="1396" t="s">
        <v>206</v>
      </c>
      <c r="K202" s="1396" t="s">
        <v>207</v>
      </c>
      <c r="L202" s="1396" t="s">
        <v>205</v>
      </c>
      <c r="M202" s="1396" t="s">
        <v>206</v>
      </c>
      <c r="N202" s="1396" t="s">
        <v>207</v>
      </c>
      <c r="O202" s="1396" t="s">
        <v>205</v>
      </c>
      <c r="P202" s="1396" t="s">
        <v>206</v>
      </c>
      <c r="Q202" s="1396" t="s">
        <v>207</v>
      </c>
    </row>
    <row r="203" spans="3:25">
      <c r="C203" s="1359"/>
      <c r="D203" s="1359"/>
      <c r="E203" s="1391" t="s">
        <v>208</v>
      </c>
      <c r="F203" s="1439"/>
      <c r="G203" s="1421">
        <v>1</v>
      </c>
      <c r="H203" s="1421"/>
      <c r="I203" s="1446">
        <v>60</v>
      </c>
      <c r="J203" s="1446">
        <v>60</v>
      </c>
      <c r="K203" s="1446">
        <v>60</v>
      </c>
      <c r="L203" s="1446">
        <v>60</v>
      </c>
      <c r="M203" s="1446">
        <v>60</v>
      </c>
      <c r="N203" s="1446">
        <v>60</v>
      </c>
      <c r="O203" s="1446">
        <v>60</v>
      </c>
      <c r="P203" s="1446">
        <v>60</v>
      </c>
      <c r="Q203" s="1446">
        <v>60</v>
      </c>
    </row>
    <row r="204" spans="3:25">
      <c r="C204" s="1359"/>
      <c r="D204" s="1359"/>
      <c r="E204" s="1391" t="s">
        <v>458</v>
      </c>
      <c r="F204" s="1439"/>
      <c r="G204" s="1421">
        <v>2</v>
      </c>
      <c r="H204" s="1421"/>
      <c r="I204" s="1446">
        <v>60</v>
      </c>
      <c r="J204" s="1446">
        <v>60</v>
      </c>
      <c r="K204" s="1446">
        <v>60</v>
      </c>
      <c r="L204" s="1446">
        <v>60</v>
      </c>
      <c r="M204" s="1446">
        <v>60</v>
      </c>
      <c r="N204" s="1446">
        <v>60</v>
      </c>
      <c r="O204" s="1446">
        <v>60</v>
      </c>
      <c r="P204" s="1446">
        <v>60</v>
      </c>
      <c r="Q204" s="1446">
        <v>60</v>
      </c>
    </row>
    <row r="205" spans="3:25">
      <c r="C205" s="1359"/>
      <c r="D205" s="1359"/>
      <c r="E205" s="1391" t="s">
        <v>460</v>
      </c>
      <c r="F205" s="1439"/>
      <c r="G205" s="1421">
        <v>3</v>
      </c>
      <c r="H205" s="1421"/>
      <c r="I205" s="1446">
        <v>30</v>
      </c>
      <c r="J205" s="1446">
        <v>30</v>
      </c>
      <c r="K205" s="1446">
        <v>30</v>
      </c>
      <c r="L205" s="1446">
        <v>30</v>
      </c>
      <c r="M205" s="1446">
        <v>30</v>
      </c>
      <c r="N205" s="1446">
        <v>30</v>
      </c>
      <c r="O205" s="1446">
        <v>30</v>
      </c>
      <c r="P205" s="1446">
        <v>30</v>
      </c>
      <c r="Q205" s="1446">
        <v>30</v>
      </c>
    </row>
    <row r="206" spans="3:25">
      <c r="C206" s="1359"/>
      <c r="D206" s="1359"/>
      <c r="E206" s="1391" t="s">
        <v>462</v>
      </c>
      <c r="F206" s="1439"/>
      <c r="G206" s="1421">
        <v>4</v>
      </c>
      <c r="H206" s="1421"/>
      <c r="I206" s="1446">
        <v>30</v>
      </c>
      <c r="J206" s="1446">
        <v>30</v>
      </c>
      <c r="K206" s="1446">
        <v>30</v>
      </c>
      <c r="L206" s="1446">
        <v>30</v>
      </c>
      <c r="M206" s="1446">
        <v>30</v>
      </c>
      <c r="N206" s="1446">
        <v>30</v>
      </c>
      <c r="O206" s="1446">
        <v>30</v>
      </c>
      <c r="P206" s="1446">
        <v>30</v>
      </c>
      <c r="Q206" s="1446">
        <v>30</v>
      </c>
    </row>
    <row r="207" spans="3:25">
      <c r="C207" s="1359"/>
      <c r="D207" s="1359"/>
      <c r="E207" s="1391" t="s">
        <v>766</v>
      </c>
      <c r="F207" s="1439"/>
      <c r="G207" s="1421">
        <v>5</v>
      </c>
      <c r="H207" s="1421"/>
      <c r="I207" s="1446">
        <v>60</v>
      </c>
      <c r="J207" s="1446">
        <v>60</v>
      </c>
      <c r="K207" s="1446">
        <v>60</v>
      </c>
      <c r="L207" s="1446">
        <v>60</v>
      </c>
      <c r="M207" s="1446">
        <v>60</v>
      </c>
      <c r="N207" s="1446">
        <v>60</v>
      </c>
      <c r="O207" s="1446">
        <v>60</v>
      </c>
      <c r="P207" s="1446">
        <v>60</v>
      </c>
      <c r="Q207" s="1446">
        <v>60</v>
      </c>
    </row>
    <row r="208" spans="3:25">
      <c r="C208" s="1359"/>
      <c r="D208" s="1359"/>
      <c r="E208" s="1391" t="s">
        <v>472</v>
      </c>
      <c r="F208" s="1439"/>
      <c r="G208" s="1421">
        <v>6</v>
      </c>
      <c r="H208" s="1421"/>
      <c r="I208" s="1446">
        <v>30</v>
      </c>
      <c r="J208" s="1446">
        <v>30</v>
      </c>
      <c r="K208" s="1446">
        <v>30</v>
      </c>
      <c r="L208" s="1446">
        <v>30</v>
      </c>
      <c r="M208" s="1446">
        <v>30</v>
      </c>
      <c r="N208" s="1446">
        <v>30</v>
      </c>
      <c r="O208" s="1446">
        <v>30</v>
      </c>
      <c r="P208" s="1446">
        <v>30</v>
      </c>
      <c r="Q208" s="1446">
        <v>30</v>
      </c>
    </row>
    <row r="209" spans="3:17">
      <c r="C209" s="1359"/>
      <c r="D209" s="1359"/>
      <c r="E209" s="1391" t="s">
        <v>466</v>
      </c>
      <c r="F209" s="1439"/>
      <c r="G209" s="1421">
        <v>7</v>
      </c>
      <c r="H209" s="1421"/>
      <c r="I209" s="1446">
        <v>60</v>
      </c>
      <c r="J209" s="1446">
        <v>60</v>
      </c>
      <c r="K209" s="1446">
        <v>60</v>
      </c>
      <c r="L209" s="1446">
        <v>60</v>
      </c>
      <c r="M209" s="1446">
        <v>60</v>
      </c>
      <c r="N209" s="1446">
        <v>60</v>
      </c>
      <c r="O209" s="1446">
        <v>60</v>
      </c>
      <c r="P209" s="1446">
        <v>60</v>
      </c>
      <c r="Q209" s="1446">
        <v>60</v>
      </c>
    </row>
    <row r="210" spans="3:17">
      <c r="C210" s="1359"/>
      <c r="D210" s="1359"/>
      <c r="E210" s="1391" t="s">
        <v>767</v>
      </c>
      <c r="F210" s="1439"/>
      <c r="G210" s="1421">
        <v>8</v>
      </c>
      <c r="H210" s="1421"/>
      <c r="I210" s="1446">
        <v>60</v>
      </c>
      <c r="J210" s="1446">
        <v>60</v>
      </c>
      <c r="K210" s="1446">
        <v>60</v>
      </c>
      <c r="L210" s="1446">
        <v>60</v>
      </c>
      <c r="M210" s="1446">
        <v>60</v>
      </c>
      <c r="N210" s="1446">
        <v>60</v>
      </c>
      <c r="O210" s="1446">
        <v>60</v>
      </c>
      <c r="P210" s="1446">
        <v>60</v>
      </c>
      <c r="Q210" s="1446">
        <v>60</v>
      </c>
    </row>
    <row r="211" spans="3:17">
      <c r="C211" s="1359"/>
      <c r="D211" s="1359"/>
      <c r="E211" s="1391" t="s">
        <v>470</v>
      </c>
      <c r="F211" s="1439"/>
      <c r="G211" s="1421">
        <v>9</v>
      </c>
      <c r="H211" s="1421"/>
      <c r="I211" s="1446">
        <v>30</v>
      </c>
      <c r="J211" s="1446">
        <v>60</v>
      </c>
      <c r="K211" s="1446">
        <v>90</v>
      </c>
      <c r="L211" s="1446">
        <v>30</v>
      </c>
      <c r="M211" s="1446">
        <v>60</v>
      </c>
      <c r="N211" s="1446">
        <v>90</v>
      </c>
      <c r="O211" s="1446">
        <v>30</v>
      </c>
      <c r="P211" s="1446">
        <v>60</v>
      </c>
      <c r="Q211" s="1446">
        <v>90</v>
      </c>
    </row>
    <row r="212" spans="3:17">
      <c r="C212" s="1387"/>
      <c r="D212" s="1387"/>
      <c r="E212" s="1359"/>
      <c r="F212" s="1359"/>
      <c r="G212" s="1359"/>
      <c r="H212" s="1359"/>
      <c r="I212" s="1358"/>
      <c r="J212" s="1358"/>
      <c r="K212" s="1358"/>
      <c r="L212" s="1358"/>
      <c r="M212" s="1358"/>
      <c r="N212" s="1358"/>
      <c r="O212" s="1358"/>
      <c r="P212" s="1358"/>
      <c r="Q212" s="1358"/>
    </row>
    <row r="213" spans="3:17">
      <c r="C213" s="1387" t="s">
        <v>80</v>
      </c>
      <c r="D213" s="1387"/>
      <c r="E213" s="1359"/>
      <c r="F213" s="1359"/>
      <c r="G213" s="1359"/>
      <c r="H213" s="1359"/>
      <c r="I213" s="523" t="s">
        <v>209</v>
      </c>
      <c r="J213" s="1205" t="s">
        <v>210</v>
      </c>
      <c r="K213" s="1205" t="s">
        <v>211</v>
      </c>
      <c r="L213" s="523" t="s">
        <v>209</v>
      </c>
      <c r="M213" s="1205" t="s">
        <v>210</v>
      </c>
      <c r="N213" s="1205" t="s">
        <v>211</v>
      </c>
      <c r="O213" s="523" t="s">
        <v>209</v>
      </c>
      <c r="P213" s="1205" t="s">
        <v>210</v>
      </c>
      <c r="Q213" s="1205" t="s">
        <v>211</v>
      </c>
    </row>
    <row r="214" spans="3:17">
      <c r="C214" s="1359"/>
      <c r="D214" s="1359" t="s">
        <v>157</v>
      </c>
      <c r="E214" s="1359" t="s">
        <v>81</v>
      </c>
      <c r="F214" s="1359" t="s">
        <v>158</v>
      </c>
      <c r="G214" s="1359"/>
      <c r="H214" s="1359"/>
      <c r="I214" s="1447">
        <v>0.56699999999999995</v>
      </c>
      <c r="J214" s="1447">
        <v>0</v>
      </c>
      <c r="K214" s="1447">
        <v>0</v>
      </c>
      <c r="L214" s="1447">
        <v>0.77200000000000002</v>
      </c>
      <c r="M214" s="1447">
        <v>0</v>
      </c>
      <c r="N214" s="1447">
        <v>0</v>
      </c>
      <c r="O214" s="1447">
        <v>0.69599999999999995</v>
      </c>
      <c r="P214" s="1447">
        <v>0</v>
      </c>
      <c r="Q214" s="1447">
        <v>0</v>
      </c>
    </row>
    <row r="215" spans="3:17">
      <c r="C215" s="1359"/>
      <c r="D215" s="1359"/>
      <c r="E215" s="1359" t="s">
        <v>83</v>
      </c>
      <c r="F215" s="1359" t="s">
        <v>158</v>
      </c>
      <c r="G215" s="1359"/>
      <c r="H215" s="1359"/>
      <c r="I215" s="1447">
        <v>0</v>
      </c>
      <c r="J215" s="1447">
        <v>0</v>
      </c>
      <c r="K215" s="1447">
        <v>0.56699999999999995</v>
      </c>
      <c r="L215" s="1447">
        <v>0</v>
      </c>
      <c r="M215" s="1447">
        <v>0</v>
      </c>
      <c r="N215" s="1447">
        <v>0.77200000000000002</v>
      </c>
      <c r="O215" s="1447">
        <v>0</v>
      </c>
      <c r="P215" s="1447">
        <v>0</v>
      </c>
      <c r="Q215" s="1447">
        <v>0.69599999999999995</v>
      </c>
    </row>
    <row r="216" spans="3:17">
      <c r="C216" s="1359"/>
      <c r="D216" s="1359"/>
      <c r="E216" s="1359" t="s">
        <v>84</v>
      </c>
      <c r="F216" s="1359" t="s">
        <v>85</v>
      </c>
      <c r="G216" s="1359"/>
      <c r="H216" s="1359"/>
      <c r="I216" s="1447">
        <v>0.13600000000000001</v>
      </c>
      <c r="J216" s="1447">
        <v>0</v>
      </c>
      <c r="K216" s="1447">
        <v>0.13600000000000001</v>
      </c>
      <c r="L216" s="1447">
        <v>3.7999999999999999E-2</v>
      </c>
      <c r="M216" s="1447">
        <v>0</v>
      </c>
      <c r="N216" s="1447">
        <v>3.7999999999999999E-2</v>
      </c>
      <c r="O216" s="1447">
        <v>0.1</v>
      </c>
      <c r="P216" s="1447">
        <v>0</v>
      </c>
      <c r="Q216" s="1447">
        <v>0.1</v>
      </c>
    </row>
    <row r="217" spans="3:17">
      <c r="C217" s="1448"/>
      <c r="D217" s="1448"/>
      <c r="E217" s="1448" t="s">
        <v>86</v>
      </c>
      <c r="F217" s="1448" t="s">
        <v>85</v>
      </c>
      <c r="G217" s="1448"/>
      <c r="H217" s="1448"/>
      <c r="I217" s="1447"/>
      <c r="J217" s="1447">
        <v>0</v>
      </c>
      <c r="K217" s="1447">
        <v>0</v>
      </c>
      <c r="L217" s="1447"/>
      <c r="M217" s="1447">
        <v>0</v>
      </c>
      <c r="N217" s="1447">
        <v>0</v>
      </c>
      <c r="O217" s="1447"/>
      <c r="P217" s="1447">
        <v>0</v>
      </c>
      <c r="Q217" s="1447">
        <v>0</v>
      </c>
    </row>
    <row r="218" spans="3:17">
      <c r="C218" s="1359"/>
      <c r="D218" s="1359"/>
      <c r="E218" s="1359" t="s">
        <v>87</v>
      </c>
      <c r="F218" s="1359" t="s">
        <v>85</v>
      </c>
      <c r="G218" s="1359"/>
      <c r="H218" s="1359"/>
      <c r="I218" s="1447">
        <v>7.0000000000000007E-2</v>
      </c>
      <c r="J218" s="1447">
        <v>0</v>
      </c>
      <c r="K218" s="1447">
        <v>7.0000000000000007E-2</v>
      </c>
      <c r="L218" s="1447">
        <v>0.10299999999999999</v>
      </c>
      <c r="M218" s="1447">
        <v>0</v>
      </c>
      <c r="N218" s="1447">
        <v>0.10299999999999999</v>
      </c>
      <c r="O218" s="1447">
        <v>7.8E-2</v>
      </c>
      <c r="P218" s="1447">
        <v>0</v>
      </c>
      <c r="Q218" s="1447">
        <v>7.8E-2</v>
      </c>
    </row>
    <row r="219" spans="3:17">
      <c r="C219" s="1359"/>
      <c r="D219" s="1359"/>
      <c r="E219" s="1359" t="s">
        <v>88</v>
      </c>
      <c r="F219" s="1359" t="s">
        <v>85</v>
      </c>
      <c r="G219" s="1359"/>
      <c r="H219" s="1359"/>
      <c r="I219" s="1447">
        <v>5.0000000000000001E-3</v>
      </c>
      <c r="J219" s="1447">
        <v>0</v>
      </c>
      <c r="K219" s="1447">
        <v>5.0000000000000001E-3</v>
      </c>
      <c r="L219" s="1447">
        <v>1.2999999999999999E-2</v>
      </c>
      <c r="M219" s="1447">
        <v>0</v>
      </c>
      <c r="N219" s="1447">
        <v>1.26E-2</v>
      </c>
      <c r="O219" s="1447">
        <v>8.0000000000000002E-3</v>
      </c>
      <c r="P219" s="1447">
        <v>0</v>
      </c>
      <c r="Q219" s="1447">
        <v>8.0000000000000002E-3</v>
      </c>
    </row>
    <row r="220" spans="3:17">
      <c r="C220" s="1359"/>
      <c r="D220" s="1359" t="s">
        <v>159</v>
      </c>
      <c r="E220" s="1359" t="s">
        <v>81</v>
      </c>
      <c r="F220" s="1359" t="s">
        <v>158</v>
      </c>
      <c r="G220" s="1359"/>
      <c r="H220" s="1359"/>
      <c r="I220" s="1447">
        <v>0.35199999999999998</v>
      </c>
      <c r="J220" s="1447">
        <v>0</v>
      </c>
      <c r="K220" s="1447">
        <v>0</v>
      </c>
      <c r="L220" s="1447">
        <v>0.86499999999999999</v>
      </c>
      <c r="M220" s="1447">
        <v>0</v>
      </c>
      <c r="N220" s="1447">
        <v>0</v>
      </c>
      <c r="O220" s="1447">
        <v>0.95799999999999996</v>
      </c>
      <c r="P220" s="1447">
        <v>0</v>
      </c>
      <c r="Q220" s="1447">
        <v>0</v>
      </c>
    </row>
    <row r="221" spans="3:17">
      <c r="C221" s="1359"/>
      <c r="D221" s="1359"/>
      <c r="E221" s="1359" t="s">
        <v>83</v>
      </c>
      <c r="F221" s="1359" t="s">
        <v>158</v>
      </c>
      <c r="G221" s="1359"/>
      <c r="H221" s="1359"/>
      <c r="I221" s="1447">
        <v>0</v>
      </c>
      <c r="J221" s="1447">
        <v>0</v>
      </c>
      <c r="K221" s="1447">
        <v>0.35199999999999998</v>
      </c>
      <c r="L221" s="1447">
        <v>0</v>
      </c>
      <c r="M221" s="1447">
        <v>0</v>
      </c>
      <c r="N221" s="1447">
        <v>0.86499999999999999</v>
      </c>
      <c r="O221" s="1447">
        <v>0</v>
      </c>
      <c r="P221" s="1447">
        <v>0</v>
      </c>
      <c r="Q221" s="1447">
        <v>0.95799999999999996</v>
      </c>
    </row>
    <row r="222" spans="3:17">
      <c r="C222" s="1359"/>
      <c r="D222" s="1359"/>
      <c r="E222" s="1359" t="s">
        <v>84</v>
      </c>
      <c r="F222" s="1359" t="s">
        <v>85</v>
      </c>
      <c r="G222" s="1359"/>
      <c r="H222" s="1359"/>
      <c r="I222" s="1447">
        <v>0.105</v>
      </c>
      <c r="J222" s="1447">
        <v>0</v>
      </c>
      <c r="K222" s="1447">
        <v>0.105</v>
      </c>
      <c r="L222" s="1447">
        <v>5.0000000000000001E-3</v>
      </c>
      <c r="M222" s="1447">
        <v>0</v>
      </c>
      <c r="N222" s="1447">
        <v>5.0000000000000001E-3</v>
      </c>
      <c r="O222" s="1447">
        <v>7.8E-2</v>
      </c>
      <c r="P222" s="1447">
        <v>0</v>
      </c>
      <c r="Q222" s="1447">
        <v>7.8E-2</v>
      </c>
    </row>
    <row r="223" spans="3:17">
      <c r="C223" s="1448"/>
      <c r="D223" s="1448"/>
      <c r="E223" s="1448" t="s">
        <v>86</v>
      </c>
      <c r="F223" s="1448" t="s">
        <v>85</v>
      </c>
      <c r="G223" s="1448"/>
      <c r="H223" s="1448"/>
      <c r="I223" s="1447"/>
      <c r="J223" s="1447">
        <v>0</v>
      </c>
      <c r="K223" s="1447">
        <v>0</v>
      </c>
      <c r="L223" s="1447"/>
      <c r="M223" s="1447">
        <v>0</v>
      </c>
      <c r="N223" s="1447">
        <v>0</v>
      </c>
      <c r="O223" s="1447"/>
      <c r="P223" s="1447">
        <v>0</v>
      </c>
      <c r="Q223" s="1447">
        <v>0</v>
      </c>
    </row>
    <row r="224" spans="3:17">
      <c r="C224" s="1359"/>
      <c r="D224" s="1359"/>
      <c r="E224" s="1359" t="s">
        <v>87</v>
      </c>
      <c r="F224" s="1359" t="s">
        <v>85</v>
      </c>
      <c r="G224" s="1359"/>
      <c r="H224" s="1359"/>
      <c r="I224" s="1447">
        <v>4.4999999999999998E-2</v>
      </c>
      <c r="J224" s="1447">
        <v>0</v>
      </c>
      <c r="K224" s="1447">
        <v>4.4999999999999998E-2</v>
      </c>
      <c r="L224" s="1449">
        <v>0.112</v>
      </c>
      <c r="M224" s="1447">
        <v>0</v>
      </c>
      <c r="N224" s="1449">
        <v>0.112</v>
      </c>
      <c r="O224" s="1447">
        <v>0.11</v>
      </c>
      <c r="P224" s="1447">
        <v>0</v>
      </c>
      <c r="Q224" s="1447">
        <v>0.11</v>
      </c>
    </row>
    <row r="225" spans="3:17">
      <c r="C225" s="1359"/>
      <c r="D225" s="1359"/>
      <c r="E225" s="1359" t="s">
        <v>88</v>
      </c>
      <c r="F225" s="1359" t="s">
        <v>85</v>
      </c>
      <c r="G225" s="1359"/>
      <c r="H225" s="1359"/>
      <c r="I225" s="1447">
        <v>2E-3</v>
      </c>
      <c r="J225" s="1447">
        <v>0</v>
      </c>
      <c r="K225" s="1447">
        <v>2.3999999999999998E-3</v>
      </c>
      <c r="L225" s="1449">
        <v>1.4999999999999999E-2</v>
      </c>
      <c r="M225" s="1447">
        <v>0</v>
      </c>
      <c r="N225" s="1449">
        <v>1.47E-2</v>
      </c>
      <c r="O225" s="1447">
        <v>1.2E-2</v>
      </c>
      <c r="P225" s="1447">
        <v>0</v>
      </c>
      <c r="Q225" s="1447">
        <v>1.167E-2</v>
      </c>
    </row>
    <row r="226" spans="3:17">
      <c r="C226" s="1359"/>
      <c r="D226" s="1359" t="s">
        <v>160</v>
      </c>
      <c r="E226" s="1359" t="s">
        <v>81</v>
      </c>
      <c r="F226" s="1359" t="s">
        <v>161</v>
      </c>
      <c r="G226" s="1359"/>
      <c r="H226" s="1359"/>
      <c r="I226" s="1447">
        <v>0.34200000000000003</v>
      </c>
      <c r="J226" s="1447">
        <v>0</v>
      </c>
      <c r="K226" s="1447">
        <v>0</v>
      </c>
      <c r="L226" s="1449">
        <v>0.88800000000000001</v>
      </c>
      <c r="M226" s="1447">
        <v>0</v>
      </c>
      <c r="N226" s="1449">
        <v>0</v>
      </c>
      <c r="O226" s="1447">
        <v>0.307</v>
      </c>
      <c r="P226" s="1447">
        <v>0</v>
      </c>
      <c r="Q226" s="1447">
        <v>0</v>
      </c>
    </row>
    <row r="227" spans="3:17">
      <c r="C227" s="1359"/>
      <c r="D227" s="1359"/>
      <c r="E227" s="1359" t="s">
        <v>83</v>
      </c>
      <c r="F227" s="1359" t="s">
        <v>158</v>
      </c>
      <c r="G227" s="1359"/>
      <c r="H227" s="1359"/>
      <c r="I227" s="1447">
        <v>0</v>
      </c>
      <c r="J227" s="1447">
        <v>0</v>
      </c>
      <c r="K227" s="1447">
        <v>0.34200000000000003</v>
      </c>
      <c r="L227" s="1449">
        <v>0</v>
      </c>
      <c r="M227" s="1447">
        <v>0</v>
      </c>
      <c r="N227" s="1449">
        <v>0.88800000000000001</v>
      </c>
      <c r="O227" s="1447">
        <v>0</v>
      </c>
      <c r="P227" s="1447">
        <v>0</v>
      </c>
      <c r="Q227" s="1447">
        <v>0.307</v>
      </c>
    </row>
    <row r="228" spans="3:17">
      <c r="C228" s="1359"/>
      <c r="D228" s="1359"/>
      <c r="E228" s="1359" t="s">
        <v>84</v>
      </c>
      <c r="F228" s="1359" t="s">
        <v>85</v>
      </c>
      <c r="G228" s="1359"/>
      <c r="H228" s="1359"/>
      <c r="I228" s="1447">
        <v>7.1999999999999995E-2</v>
      </c>
      <c r="J228" s="1447">
        <v>0</v>
      </c>
      <c r="K228" s="1447">
        <v>7.1999999999999995E-2</v>
      </c>
      <c r="L228" s="1449">
        <v>1.7000000000000001E-2</v>
      </c>
      <c r="M228" s="1447">
        <v>0</v>
      </c>
      <c r="N228" s="1449">
        <v>1.7000000000000001E-2</v>
      </c>
      <c r="O228" s="1447">
        <v>7.0999999999999994E-2</v>
      </c>
      <c r="P228" s="1447">
        <v>0</v>
      </c>
      <c r="Q228" s="1447">
        <v>7.0999999999999994E-2</v>
      </c>
    </row>
    <row r="229" spans="3:17">
      <c r="C229" s="1448"/>
      <c r="D229" s="1448"/>
      <c r="E229" s="1448" t="s">
        <v>86</v>
      </c>
      <c r="F229" s="1448" t="s">
        <v>85</v>
      </c>
      <c r="G229" s="1448"/>
      <c r="H229" s="1448"/>
      <c r="I229" s="1447"/>
      <c r="J229" s="1447">
        <v>0</v>
      </c>
      <c r="K229" s="1447">
        <v>0</v>
      </c>
      <c r="L229" s="1449"/>
      <c r="M229" s="1447">
        <v>0</v>
      </c>
      <c r="N229" s="1449">
        <v>0</v>
      </c>
      <c r="O229" s="1447"/>
      <c r="P229" s="1447">
        <v>0</v>
      </c>
      <c r="Q229" s="1447">
        <v>0</v>
      </c>
    </row>
    <row r="230" spans="3:17">
      <c r="C230" s="1359"/>
      <c r="D230" s="1359"/>
      <c r="E230" s="1359" t="s">
        <v>87</v>
      </c>
      <c r="F230" s="1359" t="s">
        <v>85</v>
      </c>
      <c r="G230" s="1359"/>
      <c r="H230" s="1359"/>
      <c r="I230" s="1447">
        <v>2.4E-2</v>
      </c>
      <c r="J230" s="1447">
        <v>0</v>
      </c>
      <c r="K230" s="1447">
        <v>2.4E-2</v>
      </c>
      <c r="L230" s="1449">
        <v>0.11799999999999999</v>
      </c>
      <c r="M230" s="1447">
        <v>0</v>
      </c>
      <c r="N230" s="1449">
        <v>0.11799999999999999</v>
      </c>
      <c r="O230" s="1447">
        <v>5.2999999999999999E-2</v>
      </c>
      <c r="P230" s="1447">
        <v>0</v>
      </c>
      <c r="Q230" s="1447">
        <v>5.2999999999999999E-2</v>
      </c>
    </row>
    <row r="231" spans="3:17">
      <c r="C231" s="1359"/>
      <c r="D231" s="1359"/>
      <c r="E231" s="1359" t="s">
        <v>88</v>
      </c>
      <c r="F231" s="1359" t="s">
        <v>85</v>
      </c>
      <c r="G231" s="1359"/>
      <c r="H231" s="1359"/>
      <c r="I231" s="1447">
        <v>2E-3</v>
      </c>
      <c r="J231" s="1447">
        <v>0</v>
      </c>
      <c r="K231" s="1447">
        <v>1.8600000000000001E-3</v>
      </c>
      <c r="L231" s="1449">
        <v>1.4999999999999999E-2</v>
      </c>
      <c r="M231" s="1447">
        <v>0</v>
      </c>
      <c r="N231" s="1449">
        <v>1.4800000000000001E-2</v>
      </c>
      <c r="O231" s="1447">
        <v>5.0000000000000001E-3</v>
      </c>
      <c r="P231" s="1447">
        <v>0</v>
      </c>
      <c r="Q231" s="1447">
        <v>4.8300000000000001E-3</v>
      </c>
    </row>
    <row r="232" spans="3:17">
      <c r="C232" s="1359"/>
      <c r="D232" s="1359" t="s">
        <v>162</v>
      </c>
      <c r="E232" s="1359" t="s">
        <v>81</v>
      </c>
      <c r="F232" s="1359" t="s">
        <v>158</v>
      </c>
      <c r="G232" s="1359"/>
      <c r="H232" s="1359"/>
      <c r="I232" s="1447">
        <v>0.34200000000000003</v>
      </c>
      <c r="J232" s="1447">
        <v>0</v>
      </c>
      <c r="K232" s="1447">
        <v>0</v>
      </c>
      <c r="L232" s="1449">
        <v>0.88800000000000001</v>
      </c>
      <c r="M232" s="1447">
        <v>0</v>
      </c>
      <c r="N232" s="1449">
        <v>0</v>
      </c>
      <c r="O232" s="1447">
        <v>0.307</v>
      </c>
      <c r="P232" s="1447">
        <v>0</v>
      </c>
      <c r="Q232" s="1447">
        <v>0</v>
      </c>
    </row>
    <row r="233" spans="3:17">
      <c r="C233" s="1359"/>
      <c r="D233" s="1359"/>
      <c r="E233" s="1359" t="s">
        <v>83</v>
      </c>
      <c r="F233" s="1359" t="s">
        <v>158</v>
      </c>
      <c r="G233" s="1359"/>
      <c r="H233" s="1359"/>
      <c r="I233" s="1447">
        <v>0</v>
      </c>
      <c r="J233" s="1447">
        <v>0</v>
      </c>
      <c r="K233" s="1447">
        <v>0.34200000000000003</v>
      </c>
      <c r="L233" s="1449">
        <v>0</v>
      </c>
      <c r="M233" s="1447">
        <v>0</v>
      </c>
      <c r="N233" s="1449">
        <v>0.88800000000000001</v>
      </c>
      <c r="O233" s="1447">
        <v>0</v>
      </c>
      <c r="P233" s="1447">
        <v>0</v>
      </c>
      <c r="Q233" s="1447">
        <v>0.307</v>
      </c>
    </row>
    <row r="234" spans="3:17">
      <c r="C234" s="1359"/>
      <c r="D234" s="1359"/>
      <c r="E234" s="1359" t="s">
        <v>84</v>
      </c>
      <c r="F234" s="1359" t="s">
        <v>85</v>
      </c>
      <c r="G234" s="1359"/>
      <c r="H234" s="1359"/>
      <c r="I234" s="1447">
        <v>7.1999999999999995E-2</v>
      </c>
      <c r="J234" s="1447">
        <v>0</v>
      </c>
      <c r="K234" s="1447">
        <v>7.1999999999999995E-2</v>
      </c>
      <c r="L234" s="1449">
        <v>1.7000000000000001E-2</v>
      </c>
      <c r="M234" s="1447">
        <v>0</v>
      </c>
      <c r="N234" s="1449">
        <v>1.7000000000000001E-2</v>
      </c>
      <c r="O234" s="1447">
        <v>7.0999999999999994E-2</v>
      </c>
      <c r="P234" s="1447">
        <v>0</v>
      </c>
      <c r="Q234" s="1447">
        <v>7.0999999999999994E-2</v>
      </c>
    </row>
    <row r="235" spans="3:17">
      <c r="C235" s="1448"/>
      <c r="D235" s="1448"/>
      <c r="E235" s="1448" t="s">
        <v>86</v>
      </c>
      <c r="F235" s="1448" t="s">
        <v>85</v>
      </c>
      <c r="G235" s="1448"/>
      <c r="H235" s="1448"/>
      <c r="I235" s="1447"/>
      <c r="J235" s="1447">
        <v>0</v>
      </c>
      <c r="K235" s="1447">
        <v>0</v>
      </c>
      <c r="L235" s="1449"/>
      <c r="M235" s="1447">
        <v>0</v>
      </c>
      <c r="N235" s="1449">
        <v>0</v>
      </c>
      <c r="O235" s="1447"/>
      <c r="P235" s="1447">
        <v>0</v>
      </c>
      <c r="Q235" s="1447">
        <v>0</v>
      </c>
    </row>
    <row r="236" spans="3:17">
      <c r="C236" s="1359"/>
      <c r="D236" s="1359"/>
      <c r="E236" s="1359" t="s">
        <v>87</v>
      </c>
      <c r="F236" s="1359" t="s">
        <v>85</v>
      </c>
      <c r="G236" s="1359"/>
      <c r="H236" s="1359"/>
      <c r="I236" s="1447">
        <v>2.4E-2</v>
      </c>
      <c r="J236" s="1447">
        <v>0</v>
      </c>
      <c r="K236" s="1447">
        <v>2.4E-2</v>
      </c>
      <c r="L236" s="1449">
        <v>0.11799999999999999</v>
      </c>
      <c r="M236" s="1447">
        <v>0</v>
      </c>
      <c r="N236" s="1449">
        <v>0.11799999999999999</v>
      </c>
      <c r="O236" s="1447">
        <v>5.2999999999999999E-2</v>
      </c>
      <c r="P236" s="1447">
        <v>0</v>
      </c>
      <c r="Q236" s="1447">
        <v>5.2999999999999999E-2</v>
      </c>
    </row>
    <row r="237" spans="3:17">
      <c r="C237" s="1359"/>
      <c r="D237" s="1359"/>
      <c r="E237" s="1359" t="s">
        <v>88</v>
      </c>
      <c r="F237" s="1359" t="s">
        <v>85</v>
      </c>
      <c r="G237" s="1359"/>
      <c r="H237" s="1359"/>
      <c r="I237" s="1447">
        <v>2E-3</v>
      </c>
      <c r="J237" s="1447">
        <v>0</v>
      </c>
      <c r="K237" s="1447">
        <v>1.8600000000000001E-3</v>
      </c>
      <c r="L237" s="1449">
        <v>1.4999999999999999E-2</v>
      </c>
      <c r="M237" s="1447">
        <v>0</v>
      </c>
      <c r="N237" s="1449">
        <v>1.4800000000000001E-2</v>
      </c>
      <c r="O237" s="1447">
        <v>5.0000000000000001E-3</v>
      </c>
      <c r="P237" s="1447">
        <v>0</v>
      </c>
      <c r="Q237" s="1447">
        <v>4.8300000000000001E-3</v>
      </c>
    </row>
    <row r="238" spans="3:17">
      <c r="C238" s="1359"/>
      <c r="D238" s="1359" t="s">
        <v>163</v>
      </c>
      <c r="E238" s="1359" t="s">
        <v>81</v>
      </c>
      <c r="F238" s="1359" t="s">
        <v>158</v>
      </c>
      <c r="G238" s="1359"/>
      <c r="H238" s="1359"/>
      <c r="I238" s="1447">
        <v>0.34499999999999997</v>
      </c>
      <c r="J238" s="1447">
        <v>0</v>
      </c>
      <c r="K238" s="1447">
        <v>0</v>
      </c>
      <c r="L238" s="1447">
        <v>0.88800000000000001</v>
      </c>
      <c r="M238" s="1447">
        <v>0</v>
      </c>
      <c r="N238" s="1447">
        <v>0</v>
      </c>
      <c r="O238" s="1447">
        <v>0.86199999999999999</v>
      </c>
      <c r="P238" s="1447">
        <v>0</v>
      </c>
      <c r="Q238" s="1447">
        <v>0</v>
      </c>
    </row>
    <row r="239" spans="3:17">
      <c r="C239" s="1359"/>
      <c r="D239" s="1359"/>
      <c r="E239" s="1359" t="s">
        <v>83</v>
      </c>
      <c r="F239" s="1359" t="s">
        <v>158</v>
      </c>
      <c r="G239" s="1359"/>
      <c r="H239" s="1359"/>
      <c r="I239" s="1447">
        <v>0</v>
      </c>
      <c r="J239" s="1447">
        <v>0</v>
      </c>
      <c r="K239" s="1447">
        <v>0.34499999999999997</v>
      </c>
      <c r="L239" s="1447">
        <v>0</v>
      </c>
      <c r="M239" s="1447">
        <v>0</v>
      </c>
      <c r="N239" s="1447">
        <v>0.88800000000000001</v>
      </c>
      <c r="O239" s="1447">
        <v>0</v>
      </c>
      <c r="P239" s="1447">
        <v>0</v>
      </c>
      <c r="Q239" s="1447">
        <v>0.86199999999999999</v>
      </c>
    </row>
    <row r="240" spans="3:17">
      <c r="C240" s="1359"/>
      <c r="D240" s="1359"/>
      <c r="E240" s="1359" t="s">
        <v>84</v>
      </c>
      <c r="F240" s="1359" t="s">
        <v>85</v>
      </c>
      <c r="G240" s="1359"/>
      <c r="H240" s="1359"/>
      <c r="I240" s="1447">
        <v>0.13900000000000001</v>
      </c>
      <c r="J240" s="1447">
        <v>0</v>
      </c>
      <c r="K240" s="1447">
        <v>0.13900000000000001</v>
      </c>
      <c r="L240" s="1447">
        <v>1.7000000000000001E-2</v>
      </c>
      <c r="M240" s="1447">
        <v>0</v>
      </c>
      <c r="N240" s="1447">
        <v>1.7000000000000001E-2</v>
      </c>
      <c r="O240" s="1447">
        <v>5.8999999999999997E-2</v>
      </c>
      <c r="P240" s="1447">
        <v>0</v>
      </c>
      <c r="Q240" s="1447">
        <v>5.8999999999999997E-2</v>
      </c>
    </row>
    <row r="241" spans="3:17">
      <c r="C241" s="1448"/>
      <c r="D241" s="1448"/>
      <c r="E241" s="1448" t="s">
        <v>86</v>
      </c>
      <c r="F241" s="1448" t="s">
        <v>85</v>
      </c>
      <c r="G241" s="1448"/>
      <c r="H241" s="1448"/>
      <c r="I241" s="1447"/>
      <c r="J241" s="1447">
        <v>0</v>
      </c>
      <c r="K241" s="1447">
        <v>0</v>
      </c>
      <c r="L241" s="1447"/>
      <c r="M241" s="1447">
        <v>0</v>
      </c>
      <c r="N241" s="1447">
        <v>0</v>
      </c>
      <c r="O241" s="1447"/>
      <c r="P241" s="1447">
        <v>0</v>
      </c>
      <c r="Q241" s="1447">
        <v>0</v>
      </c>
    </row>
    <row r="242" spans="3:17">
      <c r="C242" s="1359"/>
      <c r="D242" s="1359"/>
      <c r="E242" s="1359" t="s">
        <v>87</v>
      </c>
      <c r="F242" s="1359" t="s">
        <v>85</v>
      </c>
      <c r="G242" s="1359"/>
      <c r="H242" s="1359"/>
      <c r="I242" s="1447">
        <v>0.04</v>
      </c>
      <c r="J242" s="1447">
        <v>0</v>
      </c>
      <c r="K242" s="1447">
        <v>0.04</v>
      </c>
      <c r="L242" s="1447">
        <v>0.11799999999999999</v>
      </c>
      <c r="M242" s="1447">
        <v>0</v>
      </c>
      <c r="N242" s="1447">
        <v>0.11799999999999999</v>
      </c>
      <c r="O242" s="1447">
        <v>0.1</v>
      </c>
      <c r="P242" s="1447">
        <v>0</v>
      </c>
      <c r="Q242" s="1447">
        <v>0.1</v>
      </c>
    </row>
    <row r="243" spans="3:17">
      <c r="C243" s="1359"/>
      <c r="D243" s="1359"/>
      <c r="E243" s="1359" t="s">
        <v>88</v>
      </c>
      <c r="F243" s="1359" t="s">
        <v>85</v>
      </c>
      <c r="G243" s="1359"/>
      <c r="H243" s="1359"/>
      <c r="I243" s="1447">
        <v>4.0000000000000001E-3</v>
      </c>
      <c r="J243" s="1447">
        <v>0</v>
      </c>
      <c r="K243" s="1447">
        <v>4.3499999999999997E-3</v>
      </c>
      <c r="L243" s="1447">
        <v>1.4999999999999999E-2</v>
      </c>
      <c r="M243" s="1447">
        <v>0</v>
      </c>
      <c r="N243" s="1447">
        <v>1.4800000000000001E-2</v>
      </c>
      <c r="O243" s="1447">
        <v>1.2E-2</v>
      </c>
      <c r="P243" s="1447">
        <v>0</v>
      </c>
      <c r="Q243" s="1447">
        <v>1.227E-2</v>
      </c>
    </row>
    <row r="244" spans="3:17">
      <c r="C244" s="1359"/>
      <c r="D244" s="1359" t="s">
        <v>472</v>
      </c>
      <c r="E244" s="1359" t="s">
        <v>81</v>
      </c>
      <c r="F244" s="1359" t="s">
        <v>158</v>
      </c>
      <c r="G244" s="1359"/>
      <c r="H244" s="1359"/>
      <c r="I244" s="1447">
        <v>0.35399999999999998</v>
      </c>
      <c r="J244" s="1447">
        <v>0</v>
      </c>
      <c r="K244" s="1447">
        <v>0</v>
      </c>
      <c r="L244" s="1447">
        <v>0.77</v>
      </c>
      <c r="M244" s="1447">
        <v>0</v>
      </c>
      <c r="N244" s="1447">
        <v>0</v>
      </c>
      <c r="O244" s="1447">
        <v>0.66900000000000004</v>
      </c>
      <c r="P244" s="1447">
        <v>0</v>
      </c>
      <c r="Q244" s="1447">
        <v>0</v>
      </c>
    </row>
    <row r="245" spans="3:17">
      <c r="C245" s="1359"/>
      <c r="D245" s="1359"/>
      <c r="E245" s="1359" t="s">
        <v>83</v>
      </c>
      <c r="F245" s="1359" t="s">
        <v>158</v>
      </c>
      <c r="G245" s="1359"/>
      <c r="H245" s="1359"/>
      <c r="I245" s="1447">
        <v>0</v>
      </c>
      <c r="J245" s="1447">
        <v>0</v>
      </c>
      <c r="K245" s="1447">
        <v>0.35399999999999998</v>
      </c>
      <c r="L245" s="1447">
        <v>0</v>
      </c>
      <c r="M245" s="1447">
        <v>0</v>
      </c>
      <c r="N245" s="1447">
        <v>0.77</v>
      </c>
      <c r="O245" s="1447">
        <v>0</v>
      </c>
      <c r="P245" s="1447">
        <v>0</v>
      </c>
      <c r="Q245" s="1447">
        <v>0.66900000000000004</v>
      </c>
    </row>
    <row r="246" spans="3:17">
      <c r="C246" s="1359"/>
      <c r="D246" s="1359"/>
      <c r="E246" s="1359" t="s">
        <v>84</v>
      </c>
      <c r="F246" s="1359" t="s">
        <v>85</v>
      </c>
      <c r="G246" s="1359"/>
      <c r="H246" s="1359"/>
      <c r="I246" s="1447">
        <v>8.7999999999999995E-2</v>
      </c>
      <c r="J246" s="1447">
        <v>0</v>
      </c>
      <c r="K246" s="1447">
        <v>8.7999999999999995E-2</v>
      </c>
      <c r="L246" s="1447">
        <v>0.01</v>
      </c>
      <c r="M246" s="1447">
        <v>0</v>
      </c>
      <c r="N246" s="1447">
        <v>0.01</v>
      </c>
      <c r="O246" s="1447">
        <v>7.6999999999999999E-2</v>
      </c>
      <c r="P246" s="1447">
        <v>0</v>
      </c>
      <c r="Q246" s="1447">
        <v>7.6999999999999999E-2</v>
      </c>
    </row>
    <row r="247" spans="3:17">
      <c r="C247" s="1448"/>
      <c r="D247" s="1448"/>
      <c r="E247" s="1448" t="s">
        <v>86</v>
      </c>
      <c r="F247" s="1448" t="s">
        <v>85</v>
      </c>
      <c r="G247" s="1448"/>
      <c r="H247" s="1448"/>
      <c r="I247" s="1447"/>
      <c r="J247" s="1447">
        <v>0</v>
      </c>
      <c r="K247" s="1447">
        <v>0</v>
      </c>
      <c r="L247" s="1447"/>
      <c r="M247" s="1447">
        <v>0</v>
      </c>
      <c r="N247" s="1447">
        <v>0</v>
      </c>
      <c r="O247" s="1447"/>
      <c r="P247" s="1447">
        <v>0</v>
      </c>
      <c r="Q247" s="1447">
        <v>0</v>
      </c>
    </row>
    <row r="248" spans="3:17">
      <c r="C248" s="1359"/>
      <c r="D248" s="1359"/>
      <c r="E248" s="1359" t="s">
        <v>87</v>
      </c>
      <c r="F248" s="1359" t="s">
        <v>85</v>
      </c>
      <c r="G248" s="1359"/>
      <c r="H248" s="1359"/>
      <c r="I248" s="1447">
        <v>3.1E-2</v>
      </c>
      <c r="J248" s="1447">
        <v>0</v>
      </c>
      <c r="K248" s="1447">
        <v>3.1E-2</v>
      </c>
      <c r="L248" s="1447">
        <v>0.108</v>
      </c>
      <c r="M248" s="1447">
        <v>0</v>
      </c>
      <c r="N248" s="1447">
        <v>0.108</v>
      </c>
      <c r="O248" s="1447">
        <v>0.08</v>
      </c>
      <c r="P248" s="1447">
        <v>0</v>
      </c>
      <c r="Q248" s="1447">
        <v>0.08</v>
      </c>
    </row>
    <row r="249" spans="3:17">
      <c r="C249" s="1359"/>
      <c r="D249" s="1359"/>
      <c r="E249" s="1359" t="s">
        <v>88</v>
      </c>
      <c r="F249" s="1359" t="s">
        <v>85</v>
      </c>
      <c r="G249" s="1359"/>
      <c r="H249" s="1359"/>
      <c r="I249" s="1447">
        <v>2E-3</v>
      </c>
      <c r="J249" s="1447">
        <v>0</v>
      </c>
      <c r="K249" s="1447">
        <v>2.0999999999999999E-3</v>
      </c>
      <c r="L249" s="1447">
        <v>8.9999999999999993E-3</v>
      </c>
      <c r="M249" s="1447">
        <v>0</v>
      </c>
      <c r="N249" s="1447">
        <v>9.1500000000000001E-3</v>
      </c>
      <c r="O249" s="1447">
        <v>7.0000000000000001E-3</v>
      </c>
      <c r="P249" s="1447">
        <v>0</v>
      </c>
      <c r="Q249" s="1447">
        <v>6.6899999999999998E-3</v>
      </c>
    </row>
    <row r="250" spans="3:17">
      <c r="C250" s="1359"/>
      <c r="D250" s="1359" t="s">
        <v>164</v>
      </c>
      <c r="E250" s="1359" t="s">
        <v>81</v>
      </c>
      <c r="F250" s="1359" t="s">
        <v>158</v>
      </c>
      <c r="G250" s="1359"/>
      <c r="H250" s="1359"/>
      <c r="I250" s="1447">
        <v>0.317</v>
      </c>
      <c r="J250" s="1447">
        <v>0</v>
      </c>
      <c r="K250" s="1447">
        <v>0</v>
      </c>
      <c r="L250" s="1447">
        <v>0.76600000000000001</v>
      </c>
      <c r="M250" s="1447">
        <v>0</v>
      </c>
      <c r="N250" s="1447">
        <v>0</v>
      </c>
      <c r="O250" s="1447">
        <v>0.81200000000000006</v>
      </c>
      <c r="P250" s="1447">
        <v>0</v>
      </c>
      <c r="Q250" s="1447">
        <v>0</v>
      </c>
    </row>
    <row r="251" spans="3:17">
      <c r="C251" s="1359"/>
      <c r="D251" s="1359"/>
      <c r="E251" s="1359" t="s">
        <v>83</v>
      </c>
      <c r="F251" s="1359" t="s">
        <v>158</v>
      </c>
      <c r="G251" s="1359"/>
      <c r="H251" s="1359"/>
      <c r="I251" s="1447">
        <v>0</v>
      </c>
      <c r="J251" s="1447">
        <v>0</v>
      </c>
      <c r="K251" s="1447">
        <v>0.317</v>
      </c>
      <c r="L251" s="1447">
        <v>0</v>
      </c>
      <c r="M251" s="1447">
        <v>0</v>
      </c>
      <c r="N251" s="1447">
        <v>0.76600000000000001</v>
      </c>
      <c r="O251" s="1447">
        <v>0</v>
      </c>
      <c r="P251" s="1447">
        <v>0</v>
      </c>
      <c r="Q251" s="1447">
        <v>0.81200000000000006</v>
      </c>
    </row>
    <row r="252" spans="3:17">
      <c r="C252" s="1359"/>
      <c r="D252" s="1359"/>
      <c r="E252" s="1359" t="s">
        <v>84</v>
      </c>
      <c r="F252" s="1359" t="s">
        <v>85</v>
      </c>
      <c r="G252" s="1359"/>
      <c r="H252" s="1359"/>
      <c r="I252" s="1447">
        <v>7.3999999999999996E-2</v>
      </c>
      <c r="J252" s="1447">
        <v>0</v>
      </c>
      <c r="K252" s="1447">
        <v>7.3999999999999996E-2</v>
      </c>
      <c r="L252" s="1447">
        <v>1.2E-2</v>
      </c>
      <c r="M252" s="1447">
        <v>0</v>
      </c>
      <c r="N252" s="1447">
        <v>1.2E-2</v>
      </c>
      <c r="O252" s="1447">
        <v>0.66</v>
      </c>
      <c r="P252" s="1447">
        <v>0</v>
      </c>
      <c r="Q252" s="1447">
        <v>6.6000000000000003E-2</v>
      </c>
    </row>
    <row r="253" spans="3:17">
      <c r="C253" s="1448"/>
      <c r="D253" s="1448"/>
      <c r="E253" s="1448" t="s">
        <v>86</v>
      </c>
      <c r="F253" s="1448" t="s">
        <v>85</v>
      </c>
      <c r="G253" s="1448"/>
      <c r="H253" s="1448"/>
      <c r="I253" s="1447"/>
      <c r="J253" s="1447">
        <v>0</v>
      </c>
      <c r="K253" s="1447">
        <v>0</v>
      </c>
      <c r="L253" s="1447"/>
      <c r="M253" s="1447">
        <v>0</v>
      </c>
      <c r="N253" s="1447">
        <v>0</v>
      </c>
      <c r="O253" s="1447"/>
      <c r="P253" s="1447">
        <v>0</v>
      </c>
      <c r="Q253" s="1447">
        <v>0</v>
      </c>
    </row>
    <row r="254" spans="3:17">
      <c r="C254" s="1359"/>
      <c r="D254" s="1359"/>
      <c r="E254" s="1359" t="s">
        <v>87</v>
      </c>
      <c r="F254" s="1359" t="s">
        <v>85</v>
      </c>
      <c r="G254" s="1359"/>
      <c r="H254" s="1359"/>
      <c r="I254" s="1447">
        <v>3.4000000000000002E-2</v>
      </c>
      <c r="J254" s="1447">
        <v>0</v>
      </c>
      <c r="K254" s="1447">
        <v>3.4000000000000002E-2</v>
      </c>
      <c r="L254" s="1447">
        <v>9.6000000000000002E-2</v>
      </c>
      <c r="M254" s="1447">
        <v>0</v>
      </c>
      <c r="N254" s="1447">
        <v>9.6000000000000002E-2</v>
      </c>
      <c r="O254" s="1447">
        <v>8.8999999999999996E-2</v>
      </c>
      <c r="P254" s="1447">
        <v>0</v>
      </c>
      <c r="Q254" s="1447">
        <v>8.8999999999999996E-2</v>
      </c>
    </row>
    <row r="255" spans="3:17">
      <c r="C255" s="1359"/>
      <c r="D255" s="1359"/>
      <c r="E255" s="1359" t="s">
        <v>88</v>
      </c>
      <c r="F255" s="1359" t="s">
        <v>85</v>
      </c>
      <c r="G255" s="1359"/>
      <c r="H255" s="1359"/>
      <c r="I255" s="1447">
        <v>2E-3</v>
      </c>
      <c r="J255" s="1447">
        <v>0</v>
      </c>
      <c r="K255" s="1447">
        <v>2E-3</v>
      </c>
      <c r="L255" s="1447">
        <v>1.2999999999999999E-2</v>
      </c>
      <c r="M255" s="1447">
        <v>0</v>
      </c>
      <c r="N255" s="1447">
        <v>1.2999999999999999E-2</v>
      </c>
      <c r="O255" s="1447">
        <v>0.01</v>
      </c>
      <c r="P255" s="1447">
        <v>0</v>
      </c>
      <c r="Q255" s="1447">
        <v>9.6900000000000007E-3</v>
      </c>
    </row>
    <row r="256" spans="3:17">
      <c r="C256" s="1359"/>
      <c r="D256" s="1359" t="s">
        <v>468</v>
      </c>
      <c r="E256" s="1359" t="s">
        <v>81</v>
      </c>
      <c r="F256" s="1359" t="s">
        <v>158</v>
      </c>
      <c r="G256" s="1359"/>
      <c r="H256" s="1359"/>
      <c r="I256" s="1447">
        <v>0.436</v>
      </c>
      <c r="J256" s="1447">
        <v>0</v>
      </c>
      <c r="K256" s="1447">
        <v>0</v>
      </c>
      <c r="L256" s="1447">
        <v>0.999</v>
      </c>
      <c r="M256" s="1447">
        <v>0</v>
      </c>
      <c r="N256" s="1447">
        <v>0</v>
      </c>
      <c r="O256" s="1447">
        <v>0.81599999999999995</v>
      </c>
      <c r="P256" s="1447">
        <v>0</v>
      </c>
      <c r="Q256" s="1447">
        <v>0</v>
      </c>
    </row>
    <row r="257" spans="3:17">
      <c r="C257" s="1359"/>
      <c r="D257" s="1359"/>
      <c r="E257" s="1359" t="s">
        <v>83</v>
      </c>
      <c r="F257" s="1359" t="s">
        <v>158</v>
      </c>
      <c r="G257" s="1359"/>
      <c r="H257" s="1359"/>
      <c r="I257" s="1447">
        <v>0</v>
      </c>
      <c r="J257" s="1447">
        <v>0</v>
      </c>
      <c r="K257" s="1447">
        <v>0.436</v>
      </c>
      <c r="L257" s="1447">
        <v>0</v>
      </c>
      <c r="M257" s="1447">
        <v>0</v>
      </c>
      <c r="N257" s="1447">
        <v>0.999</v>
      </c>
      <c r="O257" s="1447">
        <v>0</v>
      </c>
      <c r="P257" s="1447">
        <v>0</v>
      </c>
      <c r="Q257" s="1447">
        <v>0.81599999999999995</v>
      </c>
    </row>
    <row r="258" spans="3:17">
      <c r="C258" s="1359"/>
      <c r="D258" s="1359"/>
      <c r="E258" s="1359" t="s">
        <v>84</v>
      </c>
      <c r="F258" s="1359" t="s">
        <v>85</v>
      </c>
      <c r="G258" s="1359"/>
      <c r="H258" s="1359"/>
      <c r="I258" s="1447">
        <v>0.10299999999999999</v>
      </c>
      <c r="J258" s="1447">
        <v>0</v>
      </c>
      <c r="K258" s="1447">
        <v>0.10299999999999999</v>
      </c>
      <c r="L258" s="1447">
        <v>4.0000000000000001E-3</v>
      </c>
      <c r="M258" s="1447">
        <v>0</v>
      </c>
      <c r="N258" s="1447">
        <v>4.0000000000000001E-3</v>
      </c>
      <c r="O258" s="1447">
        <v>8.4000000000000005E-2</v>
      </c>
      <c r="P258" s="1447">
        <v>0</v>
      </c>
      <c r="Q258" s="1447">
        <v>8.4000000000000005E-2</v>
      </c>
    </row>
    <row r="259" spans="3:17">
      <c r="C259" s="1448"/>
      <c r="D259" s="1448"/>
      <c r="E259" s="1448" t="s">
        <v>86</v>
      </c>
      <c r="F259" s="1448" t="s">
        <v>85</v>
      </c>
      <c r="G259" s="1448"/>
      <c r="H259" s="1448"/>
      <c r="I259" s="1447"/>
      <c r="J259" s="1447">
        <v>0</v>
      </c>
      <c r="K259" s="1447">
        <v>0</v>
      </c>
      <c r="L259" s="1447"/>
      <c r="M259" s="1447">
        <v>0</v>
      </c>
      <c r="N259" s="1447">
        <v>0</v>
      </c>
      <c r="O259" s="1447"/>
      <c r="P259" s="1447">
        <v>0</v>
      </c>
      <c r="Q259" s="1447">
        <v>0</v>
      </c>
    </row>
    <row r="260" spans="3:17">
      <c r="C260" s="1359"/>
      <c r="D260" s="1359"/>
      <c r="E260" s="1359" t="s">
        <v>87</v>
      </c>
      <c r="F260" s="1359" t="s">
        <v>85</v>
      </c>
      <c r="G260" s="1359"/>
      <c r="H260" s="1359"/>
      <c r="I260" s="1447">
        <v>3.4000000000000002E-2</v>
      </c>
      <c r="J260" s="1447">
        <v>0</v>
      </c>
      <c r="K260" s="1447">
        <v>3.4000000000000002E-2</v>
      </c>
      <c r="L260" s="1447">
        <v>0.111</v>
      </c>
      <c r="M260" s="1447">
        <v>0</v>
      </c>
      <c r="N260" s="1447">
        <v>0.111</v>
      </c>
      <c r="O260" s="1447">
        <v>9.2999999999999999E-2</v>
      </c>
      <c r="P260" s="1447">
        <v>0</v>
      </c>
      <c r="Q260" s="1447">
        <v>9.2999999999999999E-2</v>
      </c>
    </row>
    <row r="261" spans="3:17">
      <c r="C261" s="1359"/>
      <c r="D261" s="1359"/>
      <c r="E261" s="1359" t="s">
        <v>88</v>
      </c>
      <c r="F261" s="1359" t="s">
        <v>85</v>
      </c>
      <c r="G261" s="1359"/>
      <c r="H261" s="1359"/>
      <c r="I261" s="1447">
        <v>5.0000000000000001E-3</v>
      </c>
      <c r="J261" s="1447">
        <v>0</v>
      </c>
      <c r="K261" s="1447">
        <v>4.7099999999999998E-3</v>
      </c>
      <c r="L261" s="1447">
        <v>1.4E-2</v>
      </c>
      <c r="M261" s="1447">
        <v>0</v>
      </c>
      <c r="N261" s="1447">
        <v>1.434E-2</v>
      </c>
      <c r="O261" s="1447">
        <v>1.2E-2</v>
      </c>
      <c r="P261" s="1447">
        <v>0</v>
      </c>
      <c r="Q261" s="1447">
        <v>1.248E-2</v>
      </c>
    </row>
    <row r="262" spans="3:17">
      <c r="C262" s="1359"/>
      <c r="D262" s="1359" t="s">
        <v>763</v>
      </c>
      <c r="E262" s="1359" t="s">
        <v>81</v>
      </c>
      <c r="F262" s="1359" t="s">
        <v>158</v>
      </c>
      <c r="G262" s="1359"/>
      <c r="H262" s="1359"/>
      <c r="I262" s="1447">
        <v>0.32300000000000001</v>
      </c>
      <c r="J262" s="1447">
        <v>0</v>
      </c>
      <c r="K262" s="1447">
        <v>0</v>
      </c>
      <c r="L262" s="1447">
        <v>0.73399999999999999</v>
      </c>
      <c r="M262" s="1447">
        <v>0</v>
      </c>
      <c r="N262" s="1447">
        <v>0</v>
      </c>
      <c r="O262" s="1447">
        <v>0.75</v>
      </c>
      <c r="P262" s="1447">
        <v>0</v>
      </c>
      <c r="Q262" s="1447">
        <v>0</v>
      </c>
    </row>
    <row r="263" spans="3:17">
      <c r="C263" s="1359"/>
      <c r="D263" s="1359"/>
      <c r="E263" s="1359" t="s">
        <v>83</v>
      </c>
      <c r="F263" s="1359" t="s">
        <v>158</v>
      </c>
      <c r="G263" s="1359"/>
      <c r="H263" s="1359"/>
      <c r="I263" s="1447">
        <v>0</v>
      </c>
      <c r="J263" s="1447">
        <v>0</v>
      </c>
      <c r="K263" s="1447">
        <v>0.32300000000000001</v>
      </c>
      <c r="L263" s="1447">
        <v>0</v>
      </c>
      <c r="M263" s="1447">
        <v>0</v>
      </c>
      <c r="N263" s="1447">
        <v>0.73399999999999999</v>
      </c>
      <c r="O263" s="1447">
        <v>0</v>
      </c>
      <c r="P263" s="1447">
        <v>0</v>
      </c>
      <c r="Q263" s="1447">
        <v>0.75</v>
      </c>
    </row>
    <row r="264" spans="3:17">
      <c r="C264" s="1359"/>
      <c r="D264" s="1359"/>
      <c r="E264" s="1359" t="s">
        <v>84</v>
      </c>
      <c r="F264" s="1359" t="s">
        <v>85</v>
      </c>
      <c r="G264" s="1359"/>
      <c r="H264" s="1359"/>
      <c r="I264" s="1447">
        <v>4.8000000000000001E-2</v>
      </c>
      <c r="J264" s="1447">
        <v>0</v>
      </c>
      <c r="K264" s="1447">
        <v>4.8000000000000001E-2</v>
      </c>
      <c r="L264" s="1447">
        <v>1.2E-2</v>
      </c>
      <c r="M264" s="1447">
        <v>0</v>
      </c>
      <c r="N264" s="1447">
        <v>1.2E-2</v>
      </c>
      <c r="O264" s="1447">
        <v>5.1999999999999998E-2</v>
      </c>
      <c r="P264" s="1447">
        <v>0</v>
      </c>
      <c r="Q264" s="1447">
        <v>5.1999999999999998E-2</v>
      </c>
    </row>
    <row r="265" spans="3:17">
      <c r="C265" s="1448"/>
      <c r="D265" s="1448"/>
      <c r="E265" s="1448" t="s">
        <v>86</v>
      </c>
      <c r="F265" s="1448" t="s">
        <v>85</v>
      </c>
      <c r="G265" s="1448"/>
      <c r="H265" s="1448"/>
      <c r="I265" s="1447"/>
      <c r="J265" s="1447">
        <v>0</v>
      </c>
      <c r="K265" s="1447">
        <v>0</v>
      </c>
      <c r="L265" s="1447"/>
      <c r="M265" s="1447">
        <v>0</v>
      </c>
      <c r="N265" s="1447">
        <v>0</v>
      </c>
      <c r="O265" s="1447"/>
      <c r="P265" s="1447">
        <v>0</v>
      </c>
      <c r="Q265" s="1447">
        <v>0</v>
      </c>
    </row>
    <row r="266" spans="3:17">
      <c r="C266" s="1359"/>
      <c r="D266" s="1359"/>
      <c r="E266" s="1359" t="s">
        <v>87</v>
      </c>
      <c r="F266" s="1359" t="s">
        <v>85</v>
      </c>
      <c r="G266" s="1359"/>
      <c r="H266" s="1359"/>
      <c r="I266" s="1447">
        <v>1.9E-2</v>
      </c>
      <c r="J266" s="1447">
        <v>0</v>
      </c>
      <c r="K266" s="1447">
        <v>1.9E-2</v>
      </c>
      <c r="L266" s="1447">
        <v>0.1</v>
      </c>
      <c r="M266" s="1447">
        <v>0</v>
      </c>
      <c r="N266" s="1447">
        <v>0.1</v>
      </c>
      <c r="O266" s="1447">
        <v>0.13600000000000001</v>
      </c>
      <c r="P266" s="1447">
        <v>0</v>
      </c>
      <c r="Q266" s="1447">
        <v>0.13600000000000001</v>
      </c>
    </row>
    <row r="267" spans="3:17">
      <c r="C267" s="1359"/>
      <c r="D267" s="1359"/>
      <c r="E267" s="1359" t="s">
        <v>88</v>
      </c>
      <c r="F267" s="1359" t="s">
        <v>85</v>
      </c>
      <c r="G267" s="1359"/>
      <c r="H267" s="1359"/>
      <c r="I267" s="1447">
        <v>2E-3</v>
      </c>
      <c r="J267" s="1447">
        <v>0</v>
      </c>
      <c r="K267" s="1447">
        <v>1.98E-3</v>
      </c>
      <c r="L267" s="1447">
        <v>1.2999999999999999E-2</v>
      </c>
      <c r="M267" s="1447">
        <v>0</v>
      </c>
      <c r="N267" s="1447">
        <v>1.329E-2</v>
      </c>
      <c r="O267" s="1447">
        <v>0.125</v>
      </c>
      <c r="P267" s="1447">
        <v>0</v>
      </c>
      <c r="Q267" s="1447">
        <v>0.12509999999999999</v>
      </c>
    </row>
    <row r="268" spans="3:17">
      <c r="C268" s="1387" t="s">
        <v>212</v>
      </c>
      <c r="D268" s="1387"/>
      <c r="E268" s="1359"/>
      <c r="F268" s="1359"/>
      <c r="G268" s="1359"/>
      <c r="H268" s="1359"/>
      <c r="I268" s="1359"/>
      <c r="J268" s="1358"/>
      <c r="K268" s="1358"/>
      <c r="L268" s="1358"/>
      <c r="M268" s="1358"/>
      <c r="N268" s="1358"/>
      <c r="O268" s="1358"/>
      <c r="P268" s="1358"/>
      <c r="Q268" s="1358"/>
    </row>
    <row r="269" spans="3:17">
      <c r="C269" s="1359"/>
      <c r="D269" s="1387" t="s">
        <v>524</v>
      </c>
      <c r="E269" s="1359"/>
      <c r="F269" s="1359"/>
      <c r="G269" s="1359"/>
      <c r="H269" s="1359"/>
      <c r="I269" s="1442">
        <v>25</v>
      </c>
      <c r="J269" s="1358" t="s">
        <v>892</v>
      </c>
      <c r="K269" s="1358"/>
      <c r="L269" s="1358"/>
      <c r="M269" s="1358"/>
      <c r="N269" s="1358"/>
      <c r="O269" s="1358"/>
      <c r="P269" s="1358"/>
      <c r="Q269" s="1358"/>
    </row>
    <row r="270" spans="3:17" hidden="1">
      <c r="C270" s="1359"/>
      <c r="D270" s="1397" t="s">
        <v>109</v>
      </c>
      <c r="E270" s="1359"/>
      <c r="F270" s="1359"/>
      <c r="G270" s="1359"/>
      <c r="H270" s="1359"/>
      <c r="I270" s="1442"/>
      <c r="J270" s="1358"/>
      <c r="K270" s="1358"/>
      <c r="L270" s="1358"/>
      <c r="M270" s="1358"/>
      <c r="N270" s="1358"/>
      <c r="O270" s="1358"/>
      <c r="P270" s="1358"/>
      <c r="Q270" s="1358"/>
    </row>
    <row r="271" spans="3:17">
      <c r="C271" s="1359"/>
      <c r="D271" s="1387" t="s">
        <v>523</v>
      </c>
      <c r="E271" s="1359"/>
      <c r="F271" s="1387"/>
      <c r="G271" s="1359"/>
      <c r="H271" s="1359"/>
      <c r="I271" s="1442">
        <v>18</v>
      </c>
      <c r="J271" s="1358" t="s">
        <v>892</v>
      </c>
      <c r="K271" s="1358"/>
      <c r="L271" s="1358"/>
      <c r="M271" s="1358"/>
      <c r="N271" s="1358"/>
      <c r="O271" s="1358"/>
      <c r="P271" s="1358"/>
      <c r="Q271" s="1358"/>
    </row>
    <row r="272" spans="3:17">
      <c r="C272" s="1359"/>
      <c r="D272" s="1387" t="s">
        <v>110</v>
      </c>
      <c r="E272" s="1359"/>
      <c r="F272" s="1387"/>
      <c r="G272" s="1359"/>
      <c r="H272" s="1359"/>
      <c r="I272" s="1442">
        <v>15</v>
      </c>
      <c r="J272" s="1358" t="s">
        <v>892</v>
      </c>
      <c r="K272" s="1358"/>
      <c r="L272" s="1358"/>
      <c r="M272" s="1358"/>
      <c r="N272" s="1358"/>
      <c r="O272" s="1358"/>
      <c r="P272" s="1358"/>
      <c r="Q272" s="1358"/>
    </row>
    <row r="273" spans="3:17">
      <c r="C273" s="1359"/>
      <c r="D273" s="1387"/>
      <c r="E273" s="1359"/>
      <c r="F273" s="1359"/>
      <c r="G273" s="1359"/>
      <c r="H273" s="1359"/>
      <c r="I273" s="1359"/>
      <c r="J273" s="1359"/>
      <c r="K273" s="1358"/>
      <c r="L273" s="1358"/>
      <c r="M273" s="1358"/>
      <c r="N273" s="1358"/>
      <c r="O273" s="1358"/>
      <c r="P273" s="1358"/>
      <c r="Q273" s="1358"/>
    </row>
    <row r="274" spans="3:17">
      <c r="C274" s="1359" t="s">
        <v>213</v>
      </c>
      <c r="D274" s="1359"/>
      <c r="E274" s="1359"/>
      <c r="F274" s="1359"/>
      <c r="G274" s="1359"/>
      <c r="H274" s="1359"/>
      <c r="I274" s="1359"/>
      <c r="J274" s="1359"/>
      <c r="K274" s="1359"/>
      <c r="L274" s="1359"/>
      <c r="M274" s="1359"/>
      <c r="N274" s="1359"/>
      <c r="O274" s="1359"/>
      <c r="P274" s="1359"/>
      <c r="Q274" s="1359"/>
    </row>
    <row r="275" spans="3:17">
      <c r="C275" s="1359"/>
      <c r="D275" s="1359" t="s">
        <v>524</v>
      </c>
      <c r="E275" s="1359"/>
      <c r="F275" s="1359"/>
      <c r="G275" s="1359"/>
      <c r="H275" s="1359"/>
      <c r="I275" s="1441">
        <v>0.01</v>
      </c>
      <c r="J275" s="1359" t="s">
        <v>214</v>
      </c>
      <c r="K275" s="1359"/>
      <c r="L275" s="1359"/>
      <c r="M275" s="1359"/>
      <c r="N275" s="1359"/>
      <c r="O275" s="1359"/>
      <c r="P275" s="1359"/>
      <c r="Q275" s="1359"/>
    </row>
    <row r="276" spans="3:17">
      <c r="C276" s="1359"/>
      <c r="D276" s="1359" t="s">
        <v>523</v>
      </c>
      <c r="E276" s="1359"/>
      <c r="F276" s="1359"/>
      <c r="G276" s="1359"/>
      <c r="H276" s="1359"/>
      <c r="I276" s="1441">
        <v>0.01</v>
      </c>
      <c r="J276" s="1359" t="s">
        <v>214</v>
      </c>
      <c r="K276" s="1359"/>
      <c r="L276" s="1359"/>
      <c r="M276" s="1359"/>
      <c r="N276" s="1359"/>
      <c r="O276" s="1359"/>
      <c r="P276" s="1359"/>
      <c r="Q276" s="1359"/>
    </row>
    <row r="277" spans="3:17">
      <c r="C277" s="1359"/>
      <c r="D277" s="1359" t="s">
        <v>110</v>
      </c>
      <c r="E277" s="1359"/>
      <c r="F277" s="1359"/>
      <c r="G277" s="1359"/>
      <c r="H277" s="1359"/>
      <c r="I277" s="1441">
        <v>0.02</v>
      </c>
      <c r="J277" s="1359" t="s">
        <v>214</v>
      </c>
      <c r="K277" s="1359"/>
      <c r="L277" s="1359"/>
      <c r="M277" s="1359"/>
      <c r="N277" s="1359"/>
      <c r="O277" s="1359"/>
      <c r="P277" s="1359"/>
      <c r="Q277" s="1359"/>
    </row>
    <row r="278" spans="3:17"/>
    <row r="279" spans="3:17" ht="9" hidden="1" customHeight="1"/>
    <row r="280" spans="3:17" hidden="1"/>
    <row r="281" spans="3:17"/>
    <row r="282" spans="3:17"/>
    <row r="283" spans="3:17"/>
    <row r="284" spans="3:17"/>
    <row r="285" spans="3:17"/>
    <row r="286" spans="3:17"/>
    <row r="287" spans="3:17"/>
    <row r="288" spans="3:17"/>
    <row r="289"/>
    <row r="290"/>
    <row r="291"/>
    <row r="292"/>
    <row r="293"/>
    <row r="294"/>
    <row r="295"/>
    <row r="296"/>
    <row r="297"/>
    <row r="298"/>
    <row r="299"/>
    <row r="300"/>
    <row r="301"/>
    <row r="302"/>
  </sheetData>
  <sheetProtection password="82B4" sheet="1" objects="1" scenarios="1"/>
  <phoneticPr fontId="20"/>
  <conditionalFormatting sqref="D4 D63 D6">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7" fitToHeight="2" orientation="portrait" verticalDpi="300" r:id="rId1"/>
  <headerFooter alignWithMargins="0">
    <oddHeader>&amp;L&amp;F&amp;R&amp;A</oddHeader>
    <oddFooter>&amp;C&amp;P/&amp;N</oddFooter>
  </headerFooter>
  <rowBreaks count="2" manualBreakCount="2">
    <brk id="146" max="17" man="1"/>
    <brk id="198" max="17" man="1"/>
  </rowBreaks>
  <drawing r:id="rId2"/>
</worksheet>
</file>

<file path=xl/worksheets/sheet25.xml><?xml version="1.0" encoding="utf-8"?>
<worksheet xmlns="http://schemas.openxmlformats.org/spreadsheetml/2006/main" xmlns:r="http://schemas.openxmlformats.org/officeDocument/2006/relationships">
  <sheetPr codeName="Sheet25">
    <pageSetUpPr autoPageBreaks="0"/>
  </sheetPr>
  <dimension ref="A1:CP219"/>
  <sheetViews>
    <sheetView showGridLines="0" zoomScaleNormal="100" zoomScaleSheetLayoutView="100" workbookViewId="0"/>
  </sheetViews>
  <sheetFormatPr defaultColWidth="0" defaultRowHeight="13.5" zeroHeight="1"/>
  <cols>
    <col min="1" max="1" width="1.25" customWidth="1"/>
    <col min="2" max="2" width="6.625" style="1900" customWidth="1"/>
    <col min="3" max="3" width="31.625" style="1901" customWidth="1"/>
    <col min="4" max="4" width="7.375" style="1902" customWidth="1"/>
    <col min="5" max="5" width="6.625" style="1903" customWidth="1"/>
    <col min="6" max="6" width="1.625" customWidth="1"/>
    <col min="7" max="14" width="6.625" style="1903" customWidth="1"/>
    <col min="15" max="15" width="2.625" customWidth="1"/>
    <col min="16" max="16" width="6.625" style="1904" customWidth="1"/>
    <col min="17" max="17" width="6.625" style="1904" hidden="1" customWidth="1"/>
    <col min="18" max="18" width="24.875" style="1905" customWidth="1"/>
    <col min="19" max="30" width="6.625" style="1906" customWidth="1"/>
    <col min="31" max="31" width="8.875" style="1906" bestFit="1" customWidth="1"/>
    <col min="32" max="32" width="1.625" customWidth="1"/>
    <col min="33" max="33" width="10.5" style="1907" hidden="1" customWidth="1"/>
    <col min="34" max="34" width="6.875" style="1647" hidden="1" customWidth="1"/>
    <col min="35" max="35" width="40.625" style="1908" hidden="1" customWidth="1"/>
    <col min="36" max="36" width="6.375" style="1647" hidden="1" customWidth="1"/>
    <col min="37" max="37" width="5.625" style="1647" hidden="1" customWidth="1"/>
    <col min="38" max="39" width="6.375" style="1647" hidden="1" customWidth="1"/>
    <col min="40" max="40" width="5.625" style="1647" hidden="1" customWidth="1"/>
    <col min="41" max="41" width="6.125" style="1647" hidden="1" customWidth="1"/>
    <col min="42" max="42" width="8" style="1647" hidden="1" customWidth="1"/>
    <col min="43" max="43" width="6.375" style="1647" hidden="1" customWidth="1"/>
    <col min="44" max="44" width="5.625" style="1647" hidden="1" customWidth="1"/>
    <col min="45" max="45" width="6.375" style="1647" hidden="1" customWidth="1"/>
    <col min="46" max="46" width="5.625" style="1647" hidden="1" customWidth="1"/>
    <col min="47" max="47" width="7" style="1647" hidden="1" customWidth="1"/>
    <col min="48" max="48" width="8.875" style="1647" hidden="1" customWidth="1"/>
    <col min="49" max="49" width="1.375" hidden="1" customWidth="1"/>
    <col min="50" max="50" width="15.75" style="1907" hidden="1" customWidth="1"/>
    <col min="51" max="51" width="6.875" style="1647" hidden="1" customWidth="1"/>
    <col min="52" max="52" width="40.625" style="1908" hidden="1" customWidth="1"/>
    <col min="53" max="53" width="6.375" style="1647" hidden="1" customWidth="1"/>
    <col min="54" max="54" width="5" style="1647" hidden="1" customWidth="1"/>
    <col min="55" max="56" width="6.375" style="1647" hidden="1" customWidth="1"/>
    <col min="57" max="57" width="5" style="1647" hidden="1" customWidth="1"/>
    <col min="58" max="58" width="6.125" style="1647" hidden="1" customWidth="1"/>
    <col min="59" max="59" width="8" style="1647" hidden="1" customWidth="1"/>
    <col min="60" max="60" width="6.375" style="1647" hidden="1" customWidth="1"/>
    <col min="61" max="61" width="5" style="1647" hidden="1" customWidth="1"/>
    <col min="62" max="62" width="6.375" style="1647" hidden="1" customWidth="1"/>
    <col min="63" max="63" width="5.625" style="1647" hidden="1" customWidth="1"/>
    <col min="64" max="64" width="7" style="1647" hidden="1" customWidth="1"/>
    <col min="65" max="65" width="8.875" style="1647" hidden="1" customWidth="1"/>
    <col min="66" max="66" width="3.5" hidden="1" customWidth="1"/>
    <col min="67" max="67" width="4" style="1907" hidden="1" customWidth="1"/>
    <col min="68" max="68" width="6.875" style="1647" hidden="1" customWidth="1"/>
    <col min="69" max="69" width="40.625" style="1908" hidden="1" customWidth="1"/>
    <col min="70" max="70" width="6.375" style="1647" hidden="1" customWidth="1"/>
    <col min="71" max="71" width="5.625" style="1647" hidden="1" customWidth="1"/>
    <col min="72" max="73" width="6.375" style="1647" hidden="1" customWidth="1"/>
    <col min="74" max="74" width="5.625" style="1647" hidden="1" customWidth="1"/>
    <col min="75" max="75" width="6.125" style="1647" hidden="1" customWidth="1"/>
    <col min="76" max="76" width="8" style="1647" hidden="1" customWidth="1"/>
    <col min="77" max="77" width="6.375" style="1647" hidden="1" customWidth="1"/>
    <col min="78" max="78" width="5.625" style="1647" hidden="1" customWidth="1"/>
    <col min="79" max="79" width="6.375" style="1647" hidden="1" customWidth="1"/>
    <col min="80" max="80" width="5.625" style="1647" hidden="1" customWidth="1"/>
    <col min="81" max="81" width="7" style="1647" hidden="1" customWidth="1"/>
    <col min="82" max="82" width="8.875" style="1647" hidden="1" customWidth="1"/>
    <col min="83" max="83" width="4.5" hidden="1" customWidth="1"/>
    <col min="84" max="93" width="6.625" style="1458" hidden="1" customWidth="1"/>
    <col min="94" max="94" width="4.75" style="1458" hidden="1" customWidth="1"/>
    <col min="95" max="16384" width="0" style="1458" hidden="1"/>
  </cols>
  <sheetData>
    <row r="1" spans="1:83"/>
    <row r="2" spans="1:83" s="1467" customFormat="1" ht="17.25">
      <c r="A2"/>
      <c r="B2" s="1909" t="s">
        <v>215</v>
      </c>
      <c r="C2" s="1910"/>
      <c r="D2" s="1911"/>
      <c r="E2" s="1912"/>
      <c r="F2"/>
      <c r="G2" s="1912"/>
      <c r="H2" s="1912"/>
      <c r="I2" s="1913"/>
      <c r="J2" s="1913"/>
      <c r="K2" s="1912"/>
      <c r="L2" s="1912"/>
      <c r="M2" s="1912"/>
      <c r="N2" s="1912"/>
      <c r="O2"/>
      <c r="P2" s="1914" t="s">
        <v>216</v>
      </c>
      <c r="Q2" s="1915"/>
      <c r="R2" s="1916"/>
      <c r="S2" s="1464"/>
      <c r="T2" s="1917"/>
      <c r="U2" s="1917"/>
      <c r="V2" s="1917"/>
      <c r="W2" s="1917"/>
      <c r="X2" s="1917"/>
      <c r="Y2" s="1917"/>
      <c r="Z2" s="1917"/>
      <c r="AA2" s="1917"/>
      <c r="AB2" s="1917"/>
      <c r="AC2" s="1917"/>
      <c r="AD2" s="1917"/>
      <c r="AE2" s="1917"/>
      <c r="AF2"/>
      <c r="AG2" s="1918"/>
      <c r="AH2" s="1464"/>
      <c r="AI2" s="1919"/>
      <c r="AJ2" s="1464"/>
      <c r="AK2" s="1464"/>
      <c r="AL2" s="1464"/>
      <c r="AM2" s="1464"/>
      <c r="AN2" s="1464"/>
      <c r="AO2" s="1464"/>
      <c r="AP2" s="1464"/>
      <c r="AQ2" s="1464"/>
      <c r="AR2" s="1464"/>
      <c r="AS2" s="1464"/>
      <c r="AT2" s="1464"/>
      <c r="AU2" s="1464"/>
      <c r="AV2" s="1464"/>
      <c r="AW2"/>
      <c r="AX2" s="1918"/>
      <c r="AY2" s="1464"/>
      <c r="AZ2" s="1919"/>
      <c r="BA2" s="1464"/>
      <c r="BB2" s="1464"/>
      <c r="BC2" s="1464"/>
      <c r="BD2" s="1464"/>
      <c r="BE2" s="1464"/>
      <c r="BF2" s="1464"/>
      <c r="BG2" s="1464"/>
      <c r="BH2" s="1464"/>
      <c r="BI2" s="1464"/>
      <c r="BJ2" s="1464"/>
      <c r="BK2" s="1464"/>
      <c r="BL2" s="1464"/>
      <c r="BM2" s="1464"/>
      <c r="BN2"/>
      <c r="BO2" s="1918"/>
      <c r="BP2" s="1464"/>
      <c r="BQ2" s="1919"/>
      <c r="BR2" s="1464"/>
      <c r="BS2" s="1464"/>
      <c r="BT2" s="1464"/>
      <c r="BU2" s="1464"/>
      <c r="BV2" s="1464"/>
      <c r="BW2" s="1464"/>
      <c r="BX2" s="1464"/>
      <c r="BY2" s="1464"/>
      <c r="BZ2" s="1464"/>
      <c r="CA2" s="1464"/>
      <c r="CB2" s="1464"/>
      <c r="CC2" s="1464"/>
      <c r="CD2" s="1464"/>
      <c r="CE2"/>
    </row>
    <row r="3" spans="1:83" s="1467" customFormat="1" ht="17.25">
      <c r="A3"/>
      <c r="B3" s="1909"/>
      <c r="C3" s="1910"/>
      <c r="D3" s="1911"/>
      <c r="E3" s="1912"/>
      <c r="F3"/>
      <c r="G3" s="1912"/>
      <c r="H3" s="1912"/>
      <c r="I3" s="1913"/>
      <c r="J3" s="1913"/>
      <c r="K3" s="1912"/>
      <c r="L3" s="1912"/>
      <c r="M3" s="1912"/>
      <c r="N3" s="1912"/>
      <c r="O3"/>
      <c r="P3" s="1920">
        <v>0</v>
      </c>
      <c r="Q3" s="1464"/>
      <c r="R3" s="1897" t="s">
        <v>752</v>
      </c>
      <c r="S3" s="1898">
        <v>2</v>
      </c>
      <c r="T3" s="1917"/>
      <c r="U3" s="1917"/>
      <c r="V3" s="1917"/>
      <c r="W3" s="1917"/>
      <c r="X3" s="1917"/>
      <c r="Y3" s="1917"/>
      <c r="Z3" s="1917"/>
      <c r="AA3" s="1917"/>
      <c r="AB3" s="1917"/>
      <c r="AC3" s="1917"/>
      <c r="AD3" s="1917"/>
      <c r="AE3" s="1917"/>
      <c r="AF3"/>
      <c r="AG3" s="1920" t="s">
        <v>996</v>
      </c>
      <c r="AH3" s="1464"/>
      <c r="AI3" s="1921"/>
      <c r="AJ3" s="1917"/>
      <c r="AK3" s="1917"/>
      <c r="AL3" s="1917"/>
      <c r="AM3" s="1917"/>
      <c r="AN3" s="1917"/>
      <c r="AO3" s="1917"/>
      <c r="AP3" s="1917"/>
      <c r="AQ3" s="1917"/>
      <c r="AR3" s="1917"/>
      <c r="AS3" s="1917"/>
      <c r="AT3" s="1917"/>
      <c r="AU3" s="1917"/>
      <c r="AV3" s="1917"/>
      <c r="AW3"/>
      <c r="AX3" s="1920" t="s">
        <v>354</v>
      </c>
      <c r="AY3" s="1464"/>
      <c r="AZ3" s="1921"/>
      <c r="BA3" s="1917"/>
      <c r="BB3" s="1917"/>
      <c r="BC3" s="1917"/>
      <c r="BD3" s="1917"/>
      <c r="BE3" s="1917"/>
      <c r="BF3" s="1917"/>
      <c r="BG3" s="1917"/>
      <c r="BH3" s="1917"/>
      <c r="BI3" s="1917"/>
      <c r="BJ3" s="1917"/>
      <c r="BK3" s="1917"/>
      <c r="BL3" s="1917"/>
      <c r="BM3" s="1917"/>
      <c r="BN3"/>
      <c r="BO3" s="1920" t="s">
        <v>355</v>
      </c>
      <c r="BP3" s="1464"/>
      <c r="BQ3" s="1921"/>
      <c r="BR3" s="1917"/>
      <c r="BS3" s="1917"/>
      <c r="BT3" s="1917"/>
      <c r="BU3" s="1917"/>
      <c r="BV3" s="1917"/>
      <c r="BW3" s="1917"/>
      <c r="BX3" s="1917"/>
      <c r="BY3" s="1917"/>
      <c r="BZ3" s="1917"/>
      <c r="CA3" s="1917"/>
      <c r="CB3" s="1917"/>
      <c r="CC3" s="1917"/>
      <c r="CD3" s="1917"/>
      <c r="CE3"/>
    </row>
    <row r="4" spans="1:83" s="1467" customFormat="1" ht="4.5" customHeight="1">
      <c r="A4"/>
      <c r="B4" s="1909"/>
      <c r="C4" s="1910"/>
      <c r="D4" s="1911"/>
      <c r="E4" s="1912"/>
      <c r="F4"/>
      <c r="G4" s="1912"/>
      <c r="H4" s="1912"/>
      <c r="I4" s="1913"/>
      <c r="J4" s="1913"/>
      <c r="K4" s="1912"/>
      <c r="L4" s="1912"/>
      <c r="M4" s="1912"/>
      <c r="N4" s="1912"/>
      <c r="O4"/>
      <c r="P4" s="1915"/>
      <c r="Q4" s="1915"/>
      <c r="R4" s="1921"/>
      <c r="S4" s="1917"/>
      <c r="T4" s="1917"/>
      <c r="U4" s="1917"/>
      <c r="V4" s="1917"/>
      <c r="W4" s="1917"/>
      <c r="X4" s="1917"/>
      <c r="Y4" s="1917"/>
      <c r="Z4" s="1917"/>
      <c r="AA4" s="1917"/>
      <c r="AB4" s="1917"/>
      <c r="AC4" s="1917"/>
      <c r="AD4" s="1917"/>
      <c r="AE4" s="1917"/>
      <c r="AF4"/>
      <c r="AG4" s="1920"/>
      <c r="AH4" s="1915"/>
      <c r="AI4" s="1921"/>
      <c r="AJ4" s="1917"/>
      <c r="AK4" s="1917"/>
      <c r="AL4" s="1917"/>
      <c r="AM4" s="1917"/>
      <c r="AN4" s="1917"/>
      <c r="AO4" s="1917"/>
      <c r="AP4" s="1917"/>
      <c r="AQ4" s="1917"/>
      <c r="AR4" s="1917"/>
      <c r="AS4" s="1917"/>
      <c r="AT4" s="1917"/>
      <c r="AU4" s="1917"/>
      <c r="AV4" s="1917"/>
      <c r="AW4"/>
      <c r="AX4" s="1920"/>
      <c r="AY4" s="1915"/>
      <c r="AZ4" s="1921"/>
      <c r="BA4" s="1917"/>
      <c r="BB4" s="1917"/>
      <c r="BC4" s="1917"/>
      <c r="BD4" s="1917"/>
      <c r="BE4" s="1917"/>
      <c r="BF4" s="1917"/>
      <c r="BG4" s="1917"/>
      <c r="BH4" s="1917"/>
      <c r="BI4" s="1917"/>
      <c r="BJ4" s="1917"/>
      <c r="BK4" s="1917"/>
      <c r="BL4" s="1917"/>
      <c r="BM4" s="1917"/>
      <c r="BN4"/>
      <c r="BO4" s="1920"/>
      <c r="BP4" s="1915"/>
      <c r="BQ4" s="1921"/>
      <c r="BR4" s="1917"/>
      <c r="BS4" s="1917"/>
      <c r="BT4" s="1917"/>
      <c r="BU4" s="1917"/>
      <c r="BV4" s="1917"/>
      <c r="BW4" s="1917"/>
      <c r="BX4" s="1917"/>
      <c r="BY4" s="1917"/>
      <c r="BZ4" s="1917"/>
      <c r="CA4" s="1917"/>
      <c r="CB4" s="1917"/>
      <c r="CC4" s="1917"/>
      <c r="CD4" s="1917"/>
      <c r="CE4"/>
    </row>
    <row r="5" spans="1:83">
      <c r="B5" s="1899"/>
      <c r="C5" s="1922"/>
      <c r="D5" s="1600" t="s">
        <v>341</v>
      </c>
      <c r="E5" s="1923"/>
      <c r="G5" s="1924" t="s">
        <v>343</v>
      </c>
      <c r="H5" s="1925"/>
      <c r="I5" s="1926" t="s">
        <v>342</v>
      </c>
      <c r="J5" s="1927"/>
      <c r="K5" s="1924" t="s">
        <v>344</v>
      </c>
      <c r="L5" s="1925"/>
      <c r="M5" s="1924" t="s">
        <v>218</v>
      </c>
      <c r="N5" s="1925"/>
      <c r="P5" s="1472"/>
      <c r="Q5" s="1472"/>
      <c r="R5" s="1928"/>
      <c r="S5" s="2984" t="s">
        <v>219</v>
      </c>
      <c r="T5" s="2984"/>
      <c r="U5" s="2984"/>
      <c r="V5" s="2984"/>
      <c r="W5" s="2984"/>
      <c r="X5" s="2984"/>
      <c r="Y5" s="2984"/>
      <c r="Z5" s="2984"/>
      <c r="AA5" s="2985"/>
      <c r="AB5" s="1929" t="s">
        <v>842</v>
      </c>
      <c r="AC5" s="2984" t="s">
        <v>220</v>
      </c>
      <c r="AD5" s="2984"/>
      <c r="AE5" s="2984"/>
      <c r="AG5" s="1930"/>
      <c r="AH5" s="1472"/>
      <c r="AI5" s="1931"/>
      <c r="AJ5" s="2984" t="s">
        <v>219</v>
      </c>
      <c r="AK5" s="2984"/>
      <c r="AL5" s="2984"/>
      <c r="AM5" s="2984"/>
      <c r="AN5" s="2984"/>
      <c r="AO5" s="2984"/>
      <c r="AP5" s="2984"/>
      <c r="AQ5" s="2984"/>
      <c r="AR5" s="2985"/>
      <c r="AS5" s="1929" t="s">
        <v>842</v>
      </c>
      <c r="AT5" s="2984" t="s">
        <v>220</v>
      </c>
      <c r="AU5" s="2984"/>
      <c r="AV5" s="2984"/>
      <c r="AX5" s="1930"/>
      <c r="AY5" s="1472"/>
      <c r="AZ5" s="1931"/>
      <c r="BA5" s="2984" t="s">
        <v>219</v>
      </c>
      <c r="BB5" s="2984"/>
      <c r="BC5" s="2984"/>
      <c r="BD5" s="2984"/>
      <c r="BE5" s="2984"/>
      <c r="BF5" s="2984"/>
      <c r="BG5" s="2984"/>
      <c r="BH5" s="2984"/>
      <c r="BI5" s="2985"/>
      <c r="BJ5" s="1929" t="s">
        <v>842</v>
      </c>
      <c r="BK5" s="2984" t="s">
        <v>220</v>
      </c>
      <c r="BL5" s="2984"/>
      <c r="BM5" s="2984"/>
      <c r="BO5" s="1930"/>
      <c r="BP5" s="1472"/>
      <c r="BQ5" s="1931"/>
      <c r="BR5" s="2984" t="s">
        <v>219</v>
      </c>
      <c r="BS5" s="2984"/>
      <c r="BT5" s="2984"/>
      <c r="BU5" s="2984"/>
      <c r="BV5" s="2984"/>
      <c r="BW5" s="2984"/>
      <c r="BX5" s="2984"/>
      <c r="BY5" s="2984"/>
      <c r="BZ5" s="2985"/>
      <c r="CA5" s="1929" t="s">
        <v>842</v>
      </c>
      <c r="CB5" s="2984" t="s">
        <v>220</v>
      </c>
      <c r="CC5" s="2984"/>
      <c r="CD5" s="2984"/>
    </row>
    <row r="6" spans="1:83" s="1939" customFormat="1">
      <c r="A6"/>
      <c r="B6" s="1932"/>
      <c r="C6" s="1933"/>
      <c r="D6" s="1934" t="s">
        <v>221</v>
      </c>
      <c r="E6" s="1934" t="s">
        <v>222</v>
      </c>
      <c r="F6"/>
      <c r="G6" s="1934" t="s">
        <v>221</v>
      </c>
      <c r="H6" s="1934" t="s">
        <v>222</v>
      </c>
      <c r="I6" s="1934" t="s">
        <v>221</v>
      </c>
      <c r="J6" s="1934" t="s">
        <v>222</v>
      </c>
      <c r="K6" s="1934" t="s">
        <v>221</v>
      </c>
      <c r="L6" s="1934" t="s">
        <v>222</v>
      </c>
      <c r="M6" s="1934" t="s">
        <v>221</v>
      </c>
      <c r="N6" s="1934" t="s">
        <v>222</v>
      </c>
      <c r="O6"/>
      <c r="P6" s="1928"/>
      <c r="Q6" s="1928" t="s">
        <v>63</v>
      </c>
      <c r="R6" s="1928" t="s">
        <v>388</v>
      </c>
      <c r="S6" s="1935" t="s">
        <v>456</v>
      </c>
      <c r="T6" s="1935" t="s">
        <v>458</v>
      </c>
      <c r="U6" s="1935" t="s">
        <v>460</v>
      </c>
      <c r="V6" s="1935" t="s">
        <v>462</v>
      </c>
      <c r="W6" s="1935" t="s">
        <v>466</v>
      </c>
      <c r="X6" s="1935" t="s">
        <v>185</v>
      </c>
      <c r="Y6" s="1935" t="s">
        <v>470</v>
      </c>
      <c r="Z6" s="1936" t="s">
        <v>766</v>
      </c>
      <c r="AA6" s="1935" t="s">
        <v>472</v>
      </c>
      <c r="AB6" s="1935" t="s">
        <v>458</v>
      </c>
      <c r="AC6" s="1937" t="s">
        <v>1003</v>
      </c>
      <c r="AD6" s="1935" t="s">
        <v>1004</v>
      </c>
      <c r="AE6" s="1935" t="s">
        <v>1005</v>
      </c>
      <c r="AF6"/>
      <c r="AG6" s="1938"/>
      <c r="AH6" s="1928" t="s">
        <v>63</v>
      </c>
      <c r="AI6" s="1931" t="s">
        <v>388</v>
      </c>
      <c r="AJ6" s="1935" t="s">
        <v>456</v>
      </c>
      <c r="AK6" s="1935" t="s">
        <v>458</v>
      </c>
      <c r="AL6" s="1935" t="s">
        <v>460</v>
      </c>
      <c r="AM6" s="1935" t="s">
        <v>462</v>
      </c>
      <c r="AN6" s="1935" t="s">
        <v>466</v>
      </c>
      <c r="AO6" s="1935" t="s">
        <v>185</v>
      </c>
      <c r="AP6" s="1935" t="s">
        <v>470</v>
      </c>
      <c r="AQ6" s="1936" t="s">
        <v>766</v>
      </c>
      <c r="AR6" s="1935" t="s">
        <v>472</v>
      </c>
      <c r="AS6" s="1935" t="s">
        <v>458</v>
      </c>
      <c r="AT6" s="1937" t="s">
        <v>1003</v>
      </c>
      <c r="AU6" s="1935" t="s">
        <v>1004</v>
      </c>
      <c r="AV6" s="1935" t="s">
        <v>1005</v>
      </c>
      <c r="AW6"/>
      <c r="AX6" s="1938"/>
      <c r="AY6" s="1928" t="s">
        <v>63</v>
      </c>
      <c r="AZ6" s="1931" t="s">
        <v>388</v>
      </c>
      <c r="BA6" s="1935" t="s">
        <v>456</v>
      </c>
      <c r="BB6" s="1935" t="s">
        <v>458</v>
      </c>
      <c r="BC6" s="1935" t="s">
        <v>460</v>
      </c>
      <c r="BD6" s="1935" t="s">
        <v>462</v>
      </c>
      <c r="BE6" s="1935" t="s">
        <v>466</v>
      </c>
      <c r="BF6" s="1935" t="s">
        <v>185</v>
      </c>
      <c r="BG6" s="1935" t="s">
        <v>470</v>
      </c>
      <c r="BH6" s="1936" t="s">
        <v>766</v>
      </c>
      <c r="BI6" s="1935" t="s">
        <v>472</v>
      </c>
      <c r="BJ6" s="1935" t="s">
        <v>458</v>
      </c>
      <c r="BK6" s="1937" t="s">
        <v>1003</v>
      </c>
      <c r="BL6" s="1935" t="s">
        <v>1004</v>
      </c>
      <c r="BM6" s="1935" t="s">
        <v>1005</v>
      </c>
      <c r="BN6"/>
      <c r="BO6" s="1938"/>
      <c r="BP6" s="1928" t="s">
        <v>63</v>
      </c>
      <c r="BQ6" s="1931" t="s">
        <v>388</v>
      </c>
      <c r="BR6" s="1935" t="s">
        <v>456</v>
      </c>
      <c r="BS6" s="1935" t="s">
        <v>458</v>
      </c>
      <c r="BT6" s="1935" t="s">
        <v>460</v>
      </c>
      <c r="BU6" s="1935" t="s">
        <v>462</v>
      </c>
      <c r="BV6" s="1935" t="s">
        <v>466</v>
      </c>
      <c r="BW6" s="1935" t="s">
        <v>185</v>
      </c>
      <c r="BX6" s="1935" t="s">
        <v>470</v>
      </c>
      <c r="BY6" s="1936" t="s">
        <v>766</v>
      </c>
      <c r="BZ6" s="1935" t="s">
        <v>472</v>
      </c>
      <c r="CA6" s="1935" t="s">
        <v>458</v>
      </c>
      <c r="CB6" s="1937" t="s">
        <v>1003</v>
      </c>
      <c r="CC6" s="1935" t="s">
        <v>1004</v>
      </c>
      <c r="CD6" s="1935" t="s">
        <v>1005</v>
      </c>
      <c r="CE6"/>
    </row>
    <row r="7" spans="1:83">
      <c r="B7" s="1477"/>
      <c r="C7" s="1940" t="s">
        <v>1006</v>
      </c>
      <c r="D7" s="1941">
        <f>1-E7</f>
        <v>0.98041775456919056</v>
      </c>
      <c r="E7" s="1942">
        <f>(AC8*W7)+(AD8*X7)+(AE8*Y7)</f>
        <v>1.95822454308094E-2</v>
      </c>
      <c r="G7" s="1942"/>
      <c r="H7" s="1942"/>
      <c r="I7" s="1942"/>
      <c r="J7" s="1942"/>
      <c r="K7" s="1942"/>
      <c r="L7" s="1942"/>
      <c r="M7" s="1942"/>
      <c r="N7" s="1942"/>
      <c r="P7" s="1472"/>
      <c r="Q7" s="1472" t="s">
        <v>226</v>
      </c>
      <c r="R7" s="1928" t="s">
        <v>997</v>
      </c>
      <c r="S7" s="1485">
        <f>メイン!$O$52/メイン!$O$72</f>
        <v>0.71801566579634468</v>
      </c>
      <c r="T7" s="1485">
        <f>(メイン!E54+メイン!E57+メイン!E58)/メイン!$C$19</f>
        <v>0</v>
      </c>
      <c r="U7" s="1485">
        <f>メイン!$O$59/メイン!$O$72</f>
        <v>0</v>
      </c>
      <c r="V7" s="1485">
        <f>メイン!$O$61/メイン!$O$72</f>
        <v>0.26109660574412535</v>
      </c>
      <c r="W7" s="1485">
        <f>メイン!$O$65/メイン!$O$72</f>
        <v>0</v>
      </c>
      <c r="X7" s="1485">
        <f>メイン!$O$66/メイン!$O$72</f>
        <v>0</v>
      </c>
      <c r="Y7" s="1485">
        <f>メイン!$O$67/メイン!$O$72</f>
        <v>2.0887728459530026E-2</v>
      </c>
      <c r="Z7" s="1485">
        <f>メイン!$O$62/メイン!$O$72</f>
        <v>0</v>
      </c>
      <c r="AA7" s="1485">
        <f>メイン!$O$68/メイン!$O$72</f>
        <v>0</v>
      </c>
      <c r="AB7" s="1485">
        <f>(メイン!E55+メイン!E56)/メイン!$C$19</f>
        <v>0</v>
      </c>
      <c r="AC7" s="1485">
        <f>W7</f>
        <v>0</v>
      </c>
      <c r="AD7" s="1485">
        <f>X7</f>
        <v>0</v>
      </c>
      <c r="AE7" s="1485">
        <f>Y7</f>
        <v>2.0887728459530026E-2</v>
      </c>
      <c r="AG7" s="1930"/>
      <c r="AH7" s="1472"/>
      <c r="AI7" s="1931"/>
      <c r="AJ7" s="1943"/>
      <c r="AK7" s="1943"/>
      <c r="AL7" s="1943"/>
      <c r="AM7" s="1943"/>
      <c r="AN7" s="1943"/>
      <c r="AO7" s="1943"/>
      <c r="AP7" s="1943"/>
      <c r="AQ7" s="1944"/>
      <c r="AR7" s="1943"/>
      <c r="AS7" s="1943"/>
      <c r="AT7" s="1943"/>
      <c r="AU7" s="1943"/>
      <c r="AV7" s="1943"/>
      <c r="AX7" s="1930"/>
      <c r="AY7" s="1472"/>
      <c r="AZ7" s="1931"/>
      <c r="BA7" s="1943"/>
      <c r="BB7" s="1943"/>
      <c r="BC7" s="1943"/>
      <c r="BD7" s="1943"/>
      <c r="BE7" s="1943"/>
      <c r="BF7" s="1943"/>
      <c r="BG7" s="1943"/>
      <c r="BH7" s="1944"/>
      <c r="BI7" s="1943"/>
      <c r="BJ7" s="1943"/>
      <c r="BK7" s="1943"/>
      <c r="BL7" s="1943"/>
      <c r="BM7" s="1943"/>
      <c r="BO7" s="1930"/>
      <c r="BP7" s="1472"/>
      <c r="BQ7" s="1931"/>
      <c r="BR7" s="1943"/>
      <c r="BS7" s="1943"/>
      <c r="BT7" s="1943"/>
      <c r="BU7" s="1943"/>
      <c r="BV7" s="1943"/>
      <c r="BW7" s="1943"/>
      <c r="BX7" s="1943"/>
      <c r="BY7" s="1944"/>
      <c r="BZ7" s="1943"/>
      <c r="CA7" s="1943"/>
      <c r="CB7" s="1943"/>
      <c r="CC7" s="1943"/>
      <c r="CD7" s="1943"/>
    </row>
    <row r="8" spans="1:83" s="1505" customFormat="1" ht="14.25">
      <c r="A8"/>
      <c r="B8" s="1945" t="s">
        <v>227</v>
      </c>
      <c r="C8" s="1946" t="s">
        <v>228</v>
      </c>
      <c r="D8" s="1947"/>
      <c r="E8" s="1948"/>
      <c r="F8"/>
      <c r="G8" s="1948"/>
      <c r="H8" s="1948"/>
      <c r="I8" s="1948">
        <f>G9+G61+G109</f>
        <v>1</v>
      </c>
      <c r="J8" s="1948">
        <f>H9+H61+H109</f>
        <v>0</v>
      </c>
      <c r="K8" s="1948"/>
      <c r="L8" s="1948"/>
      <c r="M8" s="1948"/>
      <c r="N8" s="1948"/>
      <c r="O8"/>
      <c r="P8" s="1945"/>
      <c r="Q8" s="1945" t="s">
        <v>998</v>
      </c>
      <c r="R8" s="1928" t="s">
        <v>999</v>
      </c>
      <c r="S8" s="1492"/>
      <c r="T8" s="1492"/>
      <c r="U8" s="1492"/>
      <c r="V8" s="1492"/>
      <c r="W8" s="1492">
        <f>1-AB8</f>
        <v>1</v>
      </c>
      <c r="X8" s="1492">
        <f>1-AC8</f>
        <v>1</v>
      </c>
      <c r="Y8" s="1492">
        <f>1-AD8</f>
        <v>1</v>
      </c>
      <c r="Z8" s="1493"/>
      <c r="AA8" s="1492"/>
      <c r="AB8" s="1769"/>
      <c r="AC8" s="1494">
        <f>メイン!$E$73</f>
        <v>0</v>
      </c>
      <c r="AD8" s="1494">
        <f>メイン!$E$74</f>
        <v>0</v>
      </c>
      <c r="AE8" s="1494">
        <f>メイン!$E$75</f>
        <v>0.9375</v>
      </c>
      <c r="AF8"/>
      <c r="AG8" s="1949" t="s">
        <v>1000</v>
      </c>
      <c r="AH8" s="1945"/>
      <c r="AI8" s="1950" t="s">
        <v>1001</v>
      </c>
      <c r="AJ8" s="1951"/>
      <c r="AK8" s="1951"/>
      <c r="AL8" s="1951"/>
      <c r="AM8" s="1951"/>
      <c r="AN8" s="1951"/>
      <c r="AO8" s="1951"/>
      <c r="AP8" s="1951"/>
      <c r="AQ8" s="1952"/>
      <c r="AR8" s="1951"/>
      <c r="AS8" s="1951"/>
      <c r="AT8" s="1953"/>
      <c r="AU8" s="1954"/>
      <c r="AV8" s="1954"/>
      <c r="AW8"/>
      <c r="AX8" s="1491" t="s">
        <v>351</v>
      </c>
      <c r="AY8" s="1491"/>
      <c r="AZ8" s="1488" t="s">
        <v>366</v>
      </c>
      <c r="BA8" s="1627"/>
      <c r="BB8" s="1627"/>
      <c r="BC8" s="1627"/>
      <c r="BD8" s="1627"/>
      <c r="BE8" s="1627"/>
      <c r="BF8" s="1627"/>
      <c r="BG8" s="1627"/>
      <c r="BH8" s="1628"/>
      <c r="BI8" s="1627"/>
      <c r="BJ8" s="1771"/>
      <c r="BK8" s="1629"/>
      <c r="BL8" s="1630"/>
      <c r="BM8" s="1630"/>
      <c r="BN8"/>
      <c r="BO8" s="1949" t="s">
        <v>1000</v>
      </c>
      <c r="BP8" s="1945"/>
      <c r="BQ8" s="1950" t="s">
        <v>1001</v>
      </c>
      <c r="BR8" s="1951"/>
      <c r="BS8" s="1951"/>
      <c r="BT8" s="1951"/>
      <c r="BU8" s="1951"/>
      <c r="BV8" s="1951"/>
      <c r="BW8" s="1951"/>
      <c r="BX8" s="1951"/>
      <c r="BY8" s="1952"/>
      <c r="BZ8" s="1951"/>
      <c r="CA8" s="1951"/>
      <c r="CB8" s="1953"/>
      <c r="CC8" s="1954"/>
      <c r="CD8" s="1954"/>
      <c r="CE8"/>
    </row>
    <row r="9" spans="1:83" s="1505" customFormat="1">
      <c r="A9"/>
      <c r="B9" s="1497" t="str">
        <f t="shared" ref="B9:B41" si="0">P9</f>
        <v>Q1</v>
      </c>
      <c r="C9" s="1955" t="str">
        <f t="shared" ref="C9:C40" si="1">R9</f>
        <v>室内環境</v>
      </c>
      <c r="D9" s="1956">
        <f>IF(I$8=0,0,G9/I$8)</f>
        <v>0.40000000000000008</v>
      </c>
      <c r="E9" s="1957">
        <f>IF(J$8=0,0,H9/J$8)</f>
        <v>0</v>
      </c>
      <c r="F9"/>
      <c r="G9" s="1957">
        <f t="shared" ref="G9:G40" si="2">K9*M9</f>
        <v>0.40000000000000008</v>
      </c>
      <c r="H9" s="1957">
        <f t="shared" ref="H9:H40" si="3">L9*N9</f>
        <v>0</v>
      </c>
      <c r="I9" s="1957">
        <f>G10+G20+G34+G47</f>
        <v>1</v>
      </c>
      <c r="J9" s="1957">
        <f>H10+H20+H34+H47</f>
        <v>4</v>
      </c>
      <c r="K9" s="1957">
        <f>IF(スコア表示!W9=0,0,1)</f>
        <v>1</v>
      </c>
      <c r="L9" s="1957">
        <f>IF(スコア表示!AA9=0,0,1)</f>
        <v>1</v>
      </c>
      <c r="M9" s="1957">
        <f t="shared" ref="M9:M40" si="4">SUMPRODUCT($S$7:$AB$7,S9:AB9)</f>
        <v>0.40000000000000008</v>
      </c>
      <c r="N9" s="1957">
        <f t="shared" ref="N9:N40" si="5">(AC$7*AC9)+(AD$7*AD9)+(AE$7*AE9)</f>
        <v>0</v>
      </c>
      <c r="O9"/>
      <c r="P9" s="1497" t="str">
        <f t="shared" ref="P9:P40" si="6">IF($P$3=1,AX9,BO9)</f>
        <v>Q1</v>
      </c>
      <c r="Q9" s="1497" t="str">
        <f t="shared" ref="Q9:Q40" si="7">IF($P$3=1,AY9,BP9)</f>
        <v xml:space="preserve"> Q</v>
      </c>
      <c r="R9" s="1958" t="str">
        <f t="shared" ref="R9:R40" si="8">AI9</f>
        <v>室内環境</v>
      </c>
      <c r="S9" s="1503">
        <f>IF($P$3=1,BA9,IF($P$3=2,BR9,AJ9))</f>
        <v>0.4</v>
      </c>
      <c r="T9" s="1503">
        <f t="shared" ref="T9:T40" si="9">IF($P$3=1,BB9,IF($P$3=2,BS9,AK9))</f>
        <v>0.4</v>
      </c>
      <c r="U9" s="1503">
        <f t="shared" ref="U9:U40" si="10">IF($P$3=1,BC9,IF($P$3=2,BT9,AL9))</f>
        <v>0.4</v>
      </c>
      <c r="V9" s="1503">
        <f t="shared" ref="V9:V40" si="11">IF($P$3=1,BD9,IF($P$3=2,BU9,AM9))</f>
        <v>0.4</v>
      </c>
      <c r="W9" s="1503">
        <f t="shared" ref="W9:W40" si="12">IF($P$3=1,BE9,IF($P$3=2,BV9,AN9))</f>
        <v>0.4</v>
      </c>
      <c r="X9" s="1503">
        <f t="shared" ref="X9:X40" si="13">IF($P$3=1,BF9,IF($P$3=2,BW9,AO9))</f>
        <v>0.4</v>
      </c>
      <c r="Y9" s="1503">
        <f t="shared" ref="Y9:Y40" si="14">IF($P$3=1,BG9,IF($P$3=2,BX9,AP9))</f>
        <v>0.4</v>
      </c>
      <c r="Z9" s="1503">
        <f t="shared" ref="Z9:Z40" si="15">IF($P$3=1,BH9,IF($P$3=2,BY9,AQ9))</f>
        <v>0.4</v>
      </c>
      <c r="AA9" s="1503">
        <f t="shared" ref="AA9:AA40" si="16">IF($P$3=1,BI9,IF($P$3=2,BZ9,AR9))</f>
        <v>0.3</v>
      </c>
      <c r="AB9" s="1503">
        <f t="shared" ref="AB9:AB40" si="17">IF($P$3=1,BJ9,IF($P$3=2,CA9,AS9))</f>
        <v>0.4</v>
      </c>
      <c r="AC9" s="1558">
        <f t="shared" ref="AC9:AC40" si="18">IF($P$3=1,BK9,IF($P$3=2,CB9,AT9))</f>
        <v>0</v>
      </c>
      <c r="AD9" s="1503">
        <f t="shared" ref="AD9:AD40" si="19">IF($P$3=1,BL9,IF($P$3=2,CC9,AU9))</f>
        <v>0</v>
      </c>
      <c r="AE9" s="1503">
        <f t="shared" ref="AE9:AE40" si="20">IF($P$3=1,BM9,IF($P$3=2,CD9,AV9))</f>
        <v>0</v>
      </c>
      <c r="AF9"/>
      <c r="AG9" s="1497" t="s">
        <v>1528</v>
      </c>
      <c r="AH9" s="1959" t="s">
        <v>229</v>
      </c>
      <c r="AI9" s="1958" t="s">
        <v>1529</v>
      </c>
      <c r="AJ9" s="1503">
        <v>0.4</v>
      </c>
      <c r="AK9" s="1503">
        <v>0.4</v>
      </c>
      <c r="AL9" s="1503">
        <v>0.4</v>
      </c>
      <c r="AM9" s="1503">
        <v>0.4</v>
      </c>
      <c r="AN9" s="1503">
        <v>0.4</v>
      </c>
      <c r="AO9" s="1503">
        <v>0.4</v>
      </c>
      <c r="AP9" s="1503">
        <v>0.4</v>
      </c>
      <c r="AQ9" s="1503">
        <v>0.4</v>
      </c>
      <c r="AR9" s="1503">
        <v>0.3</v>
      </c>
      <c r="AS9" s="1960">
        <v>0.4</v>
      </c>
      <c r="AT9" s="1961"/>
      <c r="AU9" s="1960"/>
      <c r="AV9" s="1960"/>
      <c r="AW9"/>
      <c r="AX9" s="1497" t="s">
        <v>1314</v>
      </c>
      <c r="AY9" s="1959" t="s">
        <v>229</v>
      </c>
      <c r="AZ9" s="1958" t="s">
        <v>1315</v>
      </c>
      <c r="BA9" s="1960">
        <v>0.4</v>
      </c>
      <c r="BB9" s="1960">
        <v>0.4</v>
      </c>
      <c r="BC9" s="1960">
        <v>0.4</v>
      </c>
      <c r="BD9" s="1960">
        <v>0.4</v>
      </c>
      <c r="BE9" s="1960">
        <v>0.4</v>
      </c>
      <c r="BF9" s="1960">
        <v>0.4</v>
      </c>
      <c r="BG9" s="1960">
        <v>0.4</v>
      </c>
      <c r="BH9" s="1960">
        <v>0.4</v>
      </c>
      <c r="BI9" s="1960">
        <v>0.3</v>
      </c>
      <c r="BJ9" s="1960">
        <v>0.4</v>
      </c>
      <c r="BK9" s="1961"/>
      <c r="BL9" s="1960"/>
      <c r="BM9" s="1960"/>
      <c r="BN9"/>
      <c r="BO9" s="1497" t="s">
        <v>1476</v>
      </c>
      <c r="BP9" s="1959" t="s">
        <v>229</v>
      </c>
      <c r="BQ9" s="1958" t="s">
        <v>1477</v>
      </c>
      <c r="BR9" s="1960">
        <v>0.4</v>
      </c>
      <c r="BS9" s="1960">
        <v>0.4</v>
      </c>
      <c r="BT9" s="1960">
        <v>0.4</v>
      </c>
      <c r="BU9" s="1960">
        <v>0.4</v>
      </c>
      <c r="BV9" s="1960">
        <v>0.4</v>
      </c>
      <c r="BW9" s="1960">
        <v>0.4</v>
      </c>
      <c r="BX9" s="1960">
        <v>0.4</v>
      </c>
      <c r="BY9" s="1960">
        <v>0.4</v>
      </c>
      <c r="BZ9" s="1960">
        <v>0.3</v>
      </c>
      <c r="CA9" s="1960">
        <v>0.4</v>
      </c>
      <c r="CB9" s="1961"/>
      <c r="CC9" s="1960"/>
      <c r="CD9" s="1960"/>
      <c r="CE9"/>
    </row>
    <row r="10" spans="1:83" s="1505" customFormat="1">
      <c r="A10"/>
      <c r="B10" s="1497">
        <f t="shared" si="0"/>
        <v>1</v>
      </c>
      <c r="C10" s="1507" t="str">
        <f t="shared" si="1"/>
        <v>音環境</v>
      </c>
      <c r="D10" s="1962">
        <f>IF(I$9=0,0,G10/I$9)</f>
        <v>0.15</v>
      </c>
      <c r="E10" s="1643">
        <f>IF(J$9=0,0,H10/J$9)</f>
        <v>0.25</v>
      </c>
      <c r="F10"/>
      <c r="G10" s="1643">
        <f>K10*M10</f>
        <v>0.15</v>
      </c>
      <c r="H10" s="1643">
        <f t="shared" si="3"/>
        <v>1</v>
      </c>
      <c r="I10" s="1621">
        <f>G11+G14+G19</f>
        <v>1.0000000000000002</v>
      </c>
      <c r="J10" s="1621">
        <f>H11+H14+H19</f>
        <v>2.0887728459530026E-2</v>
      </c>
      <c r="K10" s="1643">
        <f>IF(スコア表示!W10=0,0,1)</f>
        <v>1</v>
      </c>
      <c r="L10" s="1643">
        <f>IF(スコア表示!AA10=0,0,1)</f>
        <v>1</v>
      </c>
      <c r="M10" s="1643">
        <f t="shared" si="4"/>
        <v>0.15</v>
      </c>
      <c r="N10" s="1643">
        <v>1</v>
      </c>
      <c r="O10"/>
      <c r="P10" s="1541">
        <f t="shared" si="6"/>
        <v>1</v>
      </c>
      <c r="Q10" s="1541" t="str">
        <f t="shared" si="7"/>
        <v xml:space="preserve"> Q1</v>
      </c>
      <c r="R10" s="1680" t="str">
        <f t="shared" si="8"/>
        <v>音環境</v>
      </c>
      <c r="S10" s="1510">
        <f t="shared" ref="S10:S40" si="21">IF($P$3=1,BA10,IF($P$3=2,BR10,AJ10))</f>
        <v>0.15</v>
      </c>
      <c r="T10" s="1510">
        <f t="shared" si="9"/>
        <v>0.15</v>
      </c>
      <c r="U10" s="1510">
        <f t="shared" si="10"/>
        <v>0.15</v>
      </c>
      <c r="V10" s="1510">
        <f t="shared" si="11"/>
        <v>0.15</v>
      </c>
      <c r="W10" s="1510">
        <f t="shared" si="12"/>
        <v>0.15</v>
      </c>
      <c r="X10" s="1510">
        <f t="shared" si="13"/>
        <v>0.15</v>
      </c>
      <c r="Y10" s="1510">
        <f t="shared" si="14"/>
        <v>0.15</v>
      </c>
      <c r="Z10" s="1511">
        <f t="shared" si="15"/>
        <v>0.23</v>
      </c>
      <c r="AA10" s="1510">
        <f t="shared" si="16"/>
        <v>0.15</v>
      </c>
      <c r="AB10" s="1510">
        <f t="shared" si="17"/>
        <v>0.15</v>
      </c>
      <c r="AC10" s="1559">
        <f t="shared" si="18"/>
        <v>0</v>
      </c>
      <c r="AD10" s="1510">
        <f t="shared" si="19"/>
        <v>0</v>
      </c>
      <c r="AE10" s="1510">
        <f t="shared" si="20"/>
        <v>0</v>
      </c>
      <c r="AF10"/>
      <c r="AG10" s="1541">
        <v>1</v>
      </c>
      <c r="AH10" s="1644" t="s">
        <v>230</v>
      </c>
      <c r="AI10" s="1680" t="s">
        <v>925</v>
      </c>
      <c r="AJ10" s="1510">
        <v>0.15</v>
      </c>
      <c r="AK10" s="1510">
        <v>0.15</v>
      </c>
      <c r="AL10" s="1510">
        <v>0.15</v>
      </c>
      <c r="AM10" s="1510">
        <v>0.15</v>
      </c>
      <c r="AN10" s="1510">
        <v>0.15</v>
      </c>
      <c r="AO10" s="1510">
        <v>0.15</v>
      </c>
      <c r="AP10" s="1510">
        <v>0.15</v>
      </c>
      <c r="AQ10" s="1511">
        <v>0.23</v>
      </c>
      <c r="AR10" s="1510">
        <v>0.15</v>
      </c>
      <c r="AS10" s="1611">
        <v>0.15</v>
      </c>
      <c r="AT10" s="1963"/>
      <c r="AU10" s="1611"/>
      <c r="AV10" s="1611"/>
      <c r="AW10"/>
      <c r="AX10" s="1541">
        <v>1</v>
      </c>
      <c r="AY10" s="1644" t="s">
        <v>230</v>
      </c>
      <c r="AZ10" s="1680" t="s">
        <v>925</v>
      </c>
      <c r="BA10" s="1611">
        <v>0.15</v>
      </c>
      <c r="BB10" s="1611">
        <v>0.15</v>
      </c>
      <c r="BC10" s="1611">
        <v>0.15</v>
      </c>
      <c r="BD10" s="1611">
        <v>0.15</v>
      </c>
      <c r="BE10" s="1611">
        <v>0.15</v>
      </c>
      <c r="BF10" s="1611">
        <v>0.15</v>
      </c>
      <c r="BG10" s="1611">
        <v>0.15</v>
      </c>
      <c r="BH10" s="1612">
        <v>0.23</v>
      </c>
      <c r="BI10" s="1611">
        <v>0.15</v>
      </c>
      <c r="BJ10" s="1611">
        <v>0.15</v>
      </c>
      <c r="BK10" s="1963"/>
      <c r="BL10" s="1611"/>
      <c r="BM10" s="1611"/>
      <c r="BN10"/>
      <c r="BO10" s="1541">
        <v>1</v>
      </c>
      <c r="BP10" s="1644" t="s">
        <v>230</v>
      </c>
      <c r="BQ10" s="1680" t="s">
        <v>925</v>
      </c>
      <c r="BR10" s="1611">
        <v>0.15</v>
      </c>
      <c r="BS10" s="1611">
        <v>0.15</v>
      </c>
      <c r="BT10" s="1611">
        <v>0.15</v>
      </c>
      <c r="BU10" s="1611">
        <v>0.15</v>
      </c>
      <c r="BV10" s="1611">
        <v>0.15</v>
      </c>
      <c r="BW10" s="1611">
        <v>0.15</v>
      </c>
      <c r="BX10" s="1611">
        <v>0.15</v>
      </c>
      <c r="BY10" s="1612">
        <v>0.23</v>
      </c>
      <c r="BZ10" s="1611">
        <v>0.15</v>
      </c>
      <c r="CA10" s="1611">
        <v>0.15</v>
      </c>
      <c r="CB10" s="1963"/>
      <c r="CC10" s="1611"/>
      <c r="CD10" s="1611"/>
      <c r="CE10"/>
    </row>
    <row r="11" spans="1:83">
      <c r="B11" s="1497">
        <f t="shared" si="0"/>
        <v>1.1000000000000001</v>
      </c>
      <c r="C11" s="1514" t="str">
        <f t="shared" si="1"/>
        <v>騒音</v>
      </c>
      <c r="D11" s="1616">
        <f>IF(I$10=0,0,G11/I$10)</f>
        <v>0.40835509138381199</v>
      </c>
      <c r="E11" s="1616">
        <f>IF(J$10=0,0,H11/J$10)</f>
        <v>0.39999999999999997</v>
      </c>
      <c r="G11" s="1591">
        <f t="shared" si="2"/>
        <v>0.4083550913838121</v>
      </c>
      <c r="H11" s="1591">
        <f t="shared" si="3"/>
        <v>8.3550913838120102E-3</v>
      </c>
      <c r="I11" s="1621"/>
      <c r="J11" s="1621"/>
      <c r="K11" s="1591">
        <f>IF(スコア表示!W11=0,0,1)</f>
        <v>1</v>
      </c>
      <c r="L11" s="1591">
        <f>IF(スコア表示!AA11=0,0,1)</f>
        <v>1</v>
      </c>
      <c r="M11" s="1591">
        <f t="shared" si="4"/>
        <v>0.4083550913838121</v>
      </c>
      <c r="N11" s="1591">
        <f t="shared" si="5"/>
        <v>8.3550913838120102E-3</v>
      </c>
      <c r="P11" s="1547">
        <f t="shared" si="6"/>
        <v>1.1000000000000001</v>
      </c>
      <c r="Q11" s="1547" t="str">
        <f t="shared" si="7"/>
        <v xml:space="preserve"> Q1 1</v>
      </c>
      <c r="R11" s="1637" t="str">
        <f t="shared" si="8"/>
        <v>騒音</v>
      </c>
      <c r="S11" s="1518">
        <f t="shared" si="21"/>
        <v>0.4</v>
      </c>
      <c r="T11" s="1518">
        <f t="shared" si="9"/>
        <v>0.4</v>
      </c>
      <c r="U11" s="1518">
        <f t="shared" si="10"/>
        <v>0.8</v>
      </c>
      <c r="V11" s="1518">
        <f t="shared" si="11"/>
        <v>0.4</v>
      </c>
      <c r="W11" s="1518">
        <f t="shared" si="12"/>
        <v>0.4</v>
      </c>
      <c r="X11" s="1518">
        <f t="shared" si="13"/>
        <v>0.8</v>
      </c>
      <c r="Y11" s="1518">
        <f t="shared" si="14"/>
        <v>0.8</v>
      </c>
      <c r="Z11" s="1518">
        <f t="shared" si="15"/>
        <v>0.8</v>
      </c>
      <c r="AA11" s="1518">
        <f t="shared" si="16"/>
        <v>0.5</v>
      </c>
      <c r="AB11" s="1518">
        <f t="shared" si="17"/>
        <v>0.4</v>
      </c>
      <c r="AC11" s="1519">
        <f t="shared" si="18"/>
        <v>0.5</v>
      </c>
      <c r="AD11" s="1518">
        <f t="shared" si="19"/>
        <v>0.4</v>
      </c>
      <c r="AE11" s="1518">
        <f t="shared" si="20"/>
        <v>0.4</v>
      </c>
      <c r="AG11" s="1547">
        <v>1.1000000000000001</v>
      </c>
      <c r="AH11" s="1593" t="s">
        <v>231</v>
      </c>
      <c r="AI11" s="1964" t="s">
        <v>1530</v>
      </c>
      <c r="AJ11" s="2251">
        <v>0.4</v>
      </c>
      <c r="AK11" s="1518">
        <v>0.4</v>
      </c>
      <c r="AL11" s="1518">
        <v>0.8</v>
      </c>
      <c r="AM11" s="1518">
        <v>0.4</v>
      </c>
      <c r="AN11" s="2251">
        <v>0.4</v>
      </c>
      <c r="AO11" s="1518">
        <v>0.8</v>
      </c>
      <c r="AP11" s="1518">
        <v>0.8</v>
      </c>
      <c r="AQ11" s="2251">
        <v>0.8</v>
      </c>
      <c r="AR11" s="2251">
        <v>0.5</v>
      </c>
      <c r="AS11" s="1523">
        <v>0.4</v>
      </c>
      <c r="AT11" s="1525">
        <v>0.5</v>
      </c>
      <c r="AU11" s="1523">
        <v>0.4</v>
      </c>
      <c r="AV11" s="1523">
        <v>0.4</v>
      </c>
      <c r="AW11" s="1518"/>
      <c r="AX11" s="1547">
        <v>1.1000000000000001</v>
      </c>
      <c r="AY11" s="1593" t="s">
        <v>231</v>
      </c>
      <c r="AZ11" s="1964" t="s">
        <v>1317</v>
      </c>
      <c r="BA11" s="1523">
        <v>0.4</v>
      </c>
      <c r="BB11" s="1523">
        <v>0.4</v>
      </c>
      <c r="BC11" s="1523">
        <v>0.4</v>
      </c>
      <c r="BD11" s="1523">
        <v>0.4</v>
      </c>
      <c r="BE11" s="1523">
        <v>0.4</v>
      </c>
      <c r="BF11" s="1523">
        <v>0.4</v>
      </c>
      <c r="BG11" s="1523">
        <v>0.5</v>
      </c>
      <c r="BH11" s="1523">
        <v>0.4</v>
      </c>
      <c r="BI11" s="1523">
        <v>0.4</v>
      </c>
      <c r="BJ11" s="1523">
        <v>0.4</v>
      </c>
      <c r="BK11" s="1523">
        <v>0.4</v>
      </c>
      <c r="BL11" s="1523">
        <v>0.4</v>
      </c>
      <c r="BM11" s="1523">
        <v>0.5</v>
      </c>
      <c r="BO11" s="1547">
        <v>1.1000000000000001</v>
      </c>
      <c r="BP11" s="1593" t="s">
        <v>231</v>
      </c>
      <c r="BQ11" s="1964" t="s">
        <v>1316</v>
      </c>
      <c r="BR11" s="1523">
        <v>0.4</v>
      </c>
      <c r="BS11" s="1523">
        <v>0.4</v>
      </c>
      <c r="BT11" s="1523">
        <v>0.4</v>
      </c>
      <c r="BU11" s="1523">
        <v>0.4</v>
      </c>
      <c r="BV11" s="1523">
        <v>0.4</v>
      </c>
      <c r="BW11" s="1523">
        <v>0.4</v>
      </c>
      <c r="BX11" s="1523">
        <v>0.5</v>
      </c>
      <c r="BY11" s="1523">
        <v>0.4</v>
      </c>
      <c r="BZ11" s="1523">
        <v>0.4</v>
      </c>
      <c r="CA11" s="1523">
        <v>0.4</v>
      </c>
      <c r="CB11" s="1523">
        <v>0.4</v>
      </c>
      <c r="CC11" s="1523">
        <v>0.4</v>
      </c>
      <c r="CD11" s="1523">
        <v>0.5</v>
      </c>
    </row>
    <row r="12" spans="1:83" hidden="1">
      <c r="B12" s="1497" t="str">
        <f t="shared" si="0"/>
        <v>1.1.1</v>
      </c>
      <c r="C12" s="1550" t="str">
        <f t="shared" si="1"/>
        <v>室内騒音レベル</v>
      </c>
      <c r="D12" s="1616">
        <f>IF(I$11=0,0,G12/I$11)</f>
        <v>0</v>
      </c>
      <c r="E12" s="1616">
        <f>IF(J$11=0,0,H12/J$11)</f>
        <v>0</v>
      </c>
      <c r="G12" s="1591">
        <f t="shared" si="2"/>
        <v>0</v>
      </c>
      <c r="H12" s="1591">
        <f t="shared" si="3"/>
        <v>0</v>
      </c>
      <c r="I12" s="1621"/>
      <c r="J12" s="1621"/>
      <c r="K12" s="1591">
        <f>IF(スコア表示!W12=0,0,1)</f>
        <v>0</v>
      </c>
      <c r="L12" s="1591">
        <f>IF(スコア表示!AA12=0,0,1)</f>
        <v>0</v>
      </c>
      <c r="M12" s="1591">
        <f t="shared" si="4"/>
        <v>0</v>
      </c>
      <c r="N12" s="1591">
        <f t="shared" si="5"/>
        <v>0</v>
      </c>
      <c r="P12" s="1547" t="str">
        <f t="shared" si="6"/>
        <v>1.1.1</v>
      </c>
      <c r="Q12" s="1547" t="str">
        <f t="shared" si="7"/>
        <v xml:space="preserve"> Q1 1.1</v>
      </c>
      <c r="R12" s="1637" t="str">
        <f t="shared" si="8"/>
        <v>室内騒音レベル</v>
      </c>
      <c r="S12" s="1518">
        <f t="shared" si="21"/>
        <v>0</v>
      </c>
      <c r="T12" s="1518">
        <f t="shared" si="9"/>
        <v>0</v>
      </c>
      <c r="U12" s="1518">
        <f t="shared" si="10"/>
        <v>0</v>
      </c>
      <c r="V12" s="1518">
        <f t="shared" si="11"/>
        <v>0</v>
      </c>
      <c r="W12" s="1518">
        <f t="shared" si="12"/>
        <v>0</v>
      </c>
      <c r="X12" s="1518">
        <f t="shared" si="13"/>
        <v>0</v>
      </c>
      <c r="Y12" s="1518">
        <f t="shared" si="14"/>
        <v>0</v>
      </c>
      <c r="Z12" s="1518">
        <f t="shared" si="15"/>
        <v>0</v>
      </c>
      <c r="AA12" s="1518">
        <f t="shared" si="16"/>
        <v>0</v>
      </c>
      <c r="AB12" s="1518">
        <f t="shared" si="17"/>
        <v>0</v>
      </c>
      <c r="AC12" s="1519">
        <f t="shared" si="18"/>
        <v>0</v>
      </c>
      <c r="AD12" s="1518">
        <f t="shared" si="19"/>
        <v>0</v>
      </c>
      <c r="AE12" s="1518">
        <f t="shared" si="20"/>
        <v>0</v>
      </c>
      <c r="AG12" s="1547" t="s">
        <v>232</v>
      </c>
      <c r="AH12" s="1593" t="s">
        <v>233</v>
      </c>
      <c r="AI12" s="1964" t="s">
        <v>843</v>
      </c>
      <c r="AJ12" s="1518"/>
      <c r="AK12" s="1518"/>
      <c r="AL12" s="1518"/>
      <c r="AM12" s="1518"/>
      <c r="AN12" s="1518"/>
      <c r="AO12" s="1518"/>
      <c r="AP12" s="1518"/>
      <c r="AQ12" s="1518"/>
      <c r="AR12" s="1518"/>
      <c r="AS12" s="1523"/>
      <c r="AT12" s="1525"/>
      <c r="AU12" s="1523"/>
      <c r="AV12" s="1523"/>
      <c r="AW12" s="1518"/>
      <c r="AX12" s="1547" t="s">
        <v>232</v>
      </c>
      <c r="AY12" s="1593" t="s">
        <v>233</v>
      </c>
      <c r="AZ12" s="1964" t="s">
        <v>843</v>
      </c>
      <c r="BA12" s="1523"/>
      <c r="BB12" s="1523"/>
      <c r="BC12" s="1523"/>
      <c r="BD12" s="1523"/>
      <c r="BE12" s="1523"/>
      <c r="BF12" s="1523"/>
      <c r="BG12" s="1523"/>
      <c r="BH12" s="1523"/>
      <c r="BI12" s="1523"/>
      <c r="BJ12" s="1523"/>
      <c r="BK12" s="1525"/>
      <c r="BL12" s="1523"/>
      <c r="BM12" s="1523"/>
      <c r="BO12" s="1547" t="s">
        <v>232</v>
      </c>
      <c r="BP12" s="1593" t="s">
        <v>233</v>
      </c>
      <c r="BQ12" s="1964" t="s">
        <v>843</v>
      </c>
      <c r="BR12" s="1523"/>
      <c r="BS12" s="1523"/>
      <c r="BT12" s="1523"/>
      <c r="BU12" s="1523"/>
      <c r="BV12" s="1523"/>
      <c r="BW12" s="1523"/>
      <c r="BX12" s="1523"/>
      <c r="BY12" s="1523"/>
      <c r="BZ12" s="1523"/>
      <c r="CA12" s="1523"/>
      <c r="CB12" s="1525"/>
      <c r="CC12" s="1523"/>
      <c r="CD12" s="1523"/>
    </row>
    <row r="13" spans="1:83" hidden="1">
      <c r="B13" s="1497" t="str">
        <f t="shared" si="0"/>
        <v>1.1.2</v>
      </c>
      <c r="C13" s="1550" t="str">
        <f t="shared" si="1"/>
        <v>設備騒音対策</v>
      </c>
      <c r="D13" s="1616">
        <f>IF(I$11=0,0,G13/I$11)</f>
        <v>0</v>
      </c>
      <c r="E13" s="1616">
        <f>IF(J$11=0,0,H13/J$11)</f>
        <v>0</v>
      </c>
      <c r="G13" s="1591">
        <f t="shared" si="2"/>
        <v>0</v>
      </c>
      <c r="H13" s="1591">
        <f t="shared" si="3"/>
        <v>0</v>
      </c>
      <c r="I13" s="1621"/>
      <c r="J13" s="1621"/>
      <c r="K13" s="1591">
        <f>IF(スコア表示!W13=0,0,1)</f>
        <v>0</v>
      </c>
      <c r="L13" s="1591">
        <f>IF(スコア表示!AA13=0,0,1)</f>
        <v>0</v>
      </c>
      <c r="M13" s="1591">
        <f t="shared" si="4"/>
        <v>0</v>
      </c>
      <c r="N13" s="1591">
        <f t="shared" si="5"/>
        <v>0</v>
      </c>
      <c r="P13" s="1547" t="str">
        <f t="shared" si="6"/>
        <v>1.1.2</v>
      </c>
      <c r="Q13" s="1547" t="str">
        <f t="shared" si="7"/>
        <v xml:space="preserve"> Q1 1.1</v>
      </c>
      <c r="R13" s="1637" t="str">
        <f t="shared" si="8"/>
        <v>設備騒音対策</v>
      </c>
      <c r="S13" s="1518">
        <f t="shared" si="21"/>
        <v>0</v>
      </c>
      <c r="T13" s="1518">
        <f t="shared" si="9"/>
        <v>0</v>
      </c>
      <c r="U13" s="1518">
        <f t="shared" si="10"/>
        <v>0</v>
      </c>
      <c r="V13" s="1518">
        <f t="shared" si="11"/>
        <v>0</v>
      </c>
      <c r="W13" s="1518">
        <f t="shared" si="12"/>
        <v>0</v>
      </c>
      <c r="X13" s="1518">
        <f t="shared" si="13"/>
        <v>0</v>
      </c>
      <c r="Y13" s="1518">
        <f t="shared" si="14"/>
        <v>0</v>
      </c>
      <c r="Z13" s="1518">
        <f t="shared" si="15"/>
        <v>0</v>
      </c>
      <c r="AA13" s="1518">
        <f t="shared" si="16"/>
        <v>0</v>
      </c>
      <c r="AB13" s="1518">
        <f t="shared" si="17"/>
        <v>0</v>
      </c>
      <c r="AC13" s="1519">
        <f t="shared" si="18"/>
        <v>0</v>
      </c>
      <c r="AD13" s="1518">
        <f t="shared" si="19"/>
        <v>0</v>
      </c>
      <c r="AE13" s="1518">
        <f t="shared" si="20"/>
        <v>0</v>
      </c>
      <c r="AG13" s="1547" t="s">
        <v>234</v>
      </c>
      <c r="AH13" s="1593" t="s">
        <v>233</v>
      </c>
      <c r="AI13" s="1964" t="s">
        <v>367</v>
      </c>
      <c r="AJ13" s="1518"/>
      <c r="AK13" s="1518"/>
      <c r="AL13" s="1518"/>
      <c r="AM13" s="1518"/>
      <c r="AN13" s="1518"/>
      <c r="AO13" s="1518"/>
      <c r="AP13" s="1518"/>
      <c r="AQ13" s="1518"/>
      <c r="AR13" s="1518"/>
      <c r="AS13" s="1523"/>
      <c r="AT13" s="1525"/>
      <c r="AU13" s="1523"/>
      <c r="AV13" s="1523"/>
      <c r="AW13" s="1518"/>
      <c r="AX13" s="1547" t="s">
        <v>234</v>
      </c>
      <c r="AY13" s="1593" t="s">
        <v>233</v>
      </c>
      <c r="AZ13" s="1964" t="s">
        <v>367</v>
      </c>
      <c r="BA13" s="1523"/>
      <c r="BB13" s="1523"/>
      <c r="BC13" s="1523"/>
      <c r="BD13" s="1523"/>
      <c r="BE13" s="1523"/>
      <c r="BF13" s="1523"/>
      <c r="BG13" s="1523"/>
      <c r="BH13" s="1523"/>
      <c r="BI13" s="1523"/>
      <c r="BJ13" s="1523"/>
      <c r="BK13" s="1525"/>
      <c r="BL13" s="1523"/>
      <c r="BM13" s="1523"/>
      <c r="BO13" s="1547" t="s">
        <v>234</v>
      </c>
      <c r="BP13" s="1593" t="s">
        <v>233</v>
      </c>
      <c r="BQ13" s="1964" t="s">
        <v>367</v>
      </c>
      <c r="BR13" s="1523"/>
      <c r="BS13" s="1523"/>
      <c r="BT13" s="1523"/>
      <c r="BU13" s="1523"/>
      <c r="BV13" s="1523"/>
      <c r="BW13" s="1523"/>
      <c r="BX13" s="1523"/>
      <c r="BY13" s="1523"/>
      <c r="BZ13" s="1523"/>
      <c r="CA13" s="1523"/>
      <c r="CB13" s="1525"/>
      <c r="CC13" s="1523"/>
      <c r="CD13" s="1523"/>
    </row>
    <row r="14" spans="1:83">
      <c r="B14" s="1497">
        <f t="shared" si="0"/>
        <v>1.2</v>
      </c>
      <c r="C14" s="522" t="str">
        <f t="shared" si="1"/>
        <v>遮音</v>
      </c>
      <c r="D14" s="1616">
        <f>IF(I$10=0,0,G14/I$10)</f>
        <v>0.39164490861618795</v>
      </c>
      <c r="E14" s="1616">
        <f>IF(J$10=0,0,H14/J$10)</f>
        <v>0.39999999999999997</v>
      </c>
      <c r="G14" s="1591">
        <f t="shared" si="2"/>
        <v>0.39164490861618806</v>
      </c>
      <c r="H14" s="1591">
        <f t="shared" si="3"/>
        <v>8.3550913838120102E-3</v>
      </c>
      <c r="I14" s="1621">
        <f>SUM(G15:G18)</f>
        <v>0.97911227154047009</v>
      </c>
      <c r="J14" s="1621">
        <f>SUM(H15:H18)</f>
        <v>2.0887728459530026E-2</v>
      </c>
      <c r="K14" s="1591">
        <f>IF(スコア表示!W14=0,0,1)</f>
        <v>1</v>
      </c>
      <c r="L14" s="1591">
        <f>IF(スコア表示!AA14=0,0,1)</f>
        <v>1</v>
      </c>
      <c r="M14" s="1591">
        <f t="shared" si="4"/>
        <v>0.39164490861618806</v>
      </c>
      <c r="N14" s="1591">
        <f t="shared" si="5"/>
        <v>8.3550913838120102E-3</v>
      </c>
      <c r="P14" s="1547">
        <f t="shared" si="6"/>
        <v>1.2</v>
      </c>
      <c r="Q14" s="1547" t="str">
        <f t="shared" si="7"/>
        <v xml:space="preserve"> Q1 1</v>
      </c>
      <c r="R14" s="1637" t="str">
        <f t="shared" si="8"/>
        <v>遮音</v>
      </c>
      <c r="S14" s="1518">
        <f t="shared" si="21"/>
        <v>0.4</v>
      </c>
      <c r="T14" s="1518">
        <f t="shared" si="9"/>
        <v>0.4</v>
      </c>
      <c r="U14" s="1518">
        <f t="shared" si="10"/>
        <v>0</v>
      </c>
      <c r="V14" s="1518">
        <f t="shared" si="11"/>
        <v>0.4</v>
      </c>
      <c r="W14" s="1518">
        <f t="shared" si="12"/>
        <v>0.4</v>
      </c>
      <c r="X14" s="1518">
        <f t="shared" si="13"/>
        <v>0</v>
      </c>
      <c r="Y14" s="1518">
        <f t="shared" si="14"/>
        <v>0</v>
      </c>
      <c r="Z14" s="1518">
        <f t="shared" si="15"/>
        <v>0</v>
      </c>
      <c r="AA14" s="1518">
        <f t="shared" si="16"/>
        <v>0.5</v>
      </c>
      <c r="AB14" s="1518">
        <f t="shared" si="17"/>
        <v>0.4</v>
      </c>
      <c r="AC14" s="1519">
        <f t="shared" si="18"/>
        <v>0.5</v>
      </c>
      <c r="AD14" s="1518">
        <f t="shared" si="19"/>
        <v>0.4</v>
      </c>
      <c r="AE14" s="1518">
        <f t="shared" si="20"/>
        <v>0.4</v>
      </c>
      <c r="AG14" s="1547">
        <v>1.2</v>
      </c>
      <c r="AH14" s="1593" t="s">
        <v>231</v>
      </c>
      <c r="AI14" s="1885" t="s">
        <v>368</v>
      </c>
      <c r="AJ14" s="2251">
        <v>0.4</v>
      </c>
      <c r="AK14" s="1518">
        <v>0.4</v>
      </c>
      <c r="AL14" s="1518"/>
      <c r="AM14" s="1518">
        <v>0.4</v>
      </c>
      <c r="AN14" s="2251">
        <v>0.4</v>
      </c>
      <c r="AO14" s="1518"/>
      <c r="AP14" s="1518"/>
      <c r="AQ14" s="1518"/>
      <c r="AR14" s="2251">
        <v>0.5</v>
      </c>
      <c r="AS14" s="1523">
        <v>0.4</v>
      </c>
      <c r="AT14" s="1525">
        <v>0.5</v>
      </c>
      <c r="AU14" s="1523">
        <v>0.4</v>
      </c>
      <c r="AV14" s="2252">
        <v>0.4</v>
      </c>
      <c r="AW14" s="1518"/>
      <c r="AX14" s="1547">
        <v>1.2</v>
      </c>
      <c r="AY14" s="1593" t="s">
        <v>231</v>
      </c>
      <c r="AZ14" s="1885" t="s">
        <v>368</v>
      </c>
      <c r="BA14" s="1523">
        <v>0.4</v>
      </c>
      <c r="BB14" s="1523">
        <v>0.4</v>
      </c>
      <c r="BC14" s="1523">
        <v>0.4</v>
      </c>
      <c r="BD14" s="1523">
        <v>0.4</v>
      </c>
      <c r="BE14" s="1523">
        <v>0.4</v>
      </c>
      <c r="BF14" s="1523">
        <v>0.4</v>
      </c>
      <c r="BG14" s="1523">
        <v>0.5</v>
      </c>
      <c r="BH14" s="1523">
        <v>0.4</v>
      </c>
      <c r="BI14" s="1523">
        <v>0.4</v>
      </c>
      <c r="BJ14" s="1523">
        <v>0.4</v>
      </c>
      <c r="BK14" s="1523">
        <v>0.4</v>
      </c>
      <c r="BL14" s="1523">
        <v>0.4</v>
      </c>
      <c r="BM14" s="1523">
        <v>0.5</v>
      </c>
      <c r="BO14" s="1547">
        <v>1.2</v>
      </c>
      <c r="BP14" s="1593" t="s">
        <v>231</v>
      </c>
      <c r="BQ14" s="1885" t="s">
        <v>368</v>
      </c>
      <c r="BR14" s="1523">
        <v>0.4</v>
      </c>
      <c r="BS14" s="1523">
        <v>0.4</v>
      </c>
      <c r="BT14" s="1523">
        <v>0.4</v>
      </c>
      <c r="BU14" s="1523">
        <v>0.4</v>
      </c>
      <c r="BV14" s="1523">
        <v>0.4</v>
      </c>
      <c r="BW14" s="1523">
        <v>0.4</v>
      </c>
      <c r="BX14" s="1523">
        <v>0.5</v>
      </c>
      <c r="BY14" s="1523">
        <v>0.4</v>
      </c>
      <c r="BZ14" s="1523">
        <v>0.4</v>
      </c>
      <c r="CA14" s="1523">
        <v>0.4</v>
      </c>
      <c r="CB14" s="1523">
        <v>0.4</v>
      </c>
      <c r="CC14" s="1523">
        <v>0.4</v>
      </c>
      <c r="CD14" s="1523">
        <v>0.5</v>
      </c>
    </row>
    <row r="15" spans="1:83">
      <c r="B15" s="1497" t="str">
        <f t="shared" si="0"/>
        <v>1.2.1</v>
      </c>
      <c r="C15" s="522" t="str">
        <f t="shared" si="1"/>
        <v>開口部遮音性能</v>
      </c>
      <c r="D15" s="1616">
        <f t="shared" ref="D15:E18" si="22">IF(I$14=0,0,G15/I$14)</f>
        <v>0</v>
      </c>
      <c r="E15" s="1616">
        <f>IF(J$14=0,0,H15/J$14)</f>
        <v>0</v>
      </c>
      <c r="G15" s="1591">
        <f t="shared" si="2"/>
        <v>0</v>
      </c>
      <c r="H15" s="1591">
        <f t="shared" si="3"/>
        <v>0</v>
      </c>
      <c r="I15" s="1621"/>
      <c r="J15" s="1621"/>
      <c r="K15" s="1966">
        <f>IF(スコア表示!W15=0,0,1)</f>
        <v>0</v>
      </c>
      <c r="L15" s="1966">
        <f>IF(スコア表示!AA15=0,0,1)</f>
        <v>0</v>
      </c>
      <c r="M15" s="1966">
        <f t="shared" si="4"/>
        <v>0</v>
      </c>
      <c r="N15" s="1966">
        <f t="shared" si="5"/>
        <v>0</v>
      </c>
      <c r="P15" s="1967" t="str">
        <f t="shared" si="6"/>
        <v>1.2.1</v>
      </c>
      <c r="Q15" s="1967" t="str">
        <f t="shared" si="7"/>
        <v xml:space="preserve"> Q1 1.2</v>
      </c>
      <c r="R15" s="1968" t="str">
        <f t="shared" si="8"/>
        <v>開口部遮音性能</v>
      </c>
      <c r="S15" s="1554">
        <f t="shared" si="21"/>
        <v>0</v>
      </c>
      <c r="T15" s="1554">
        <f t="shared" si="9"/>
        <v>0</v>
      </c>
      <c r="U15" s="1554">
        <f t="shared" si="10"/>
        <v>0</v>
      </c>
      <c r="V15" s="1554">
        <f t="shared" si="11"/>
        <v>0</v>
      </c>
      <c r="W15" s="1554">
        <f t="shared" si="12"/>
        <v>0</v>
      </c>
      <c r="X15" s="1554">
        <f t="shared" si="13"/>
        <v>0</v>
      </c>
      <c r="Y15" s="1554">
        <f t="shared" si="14"/>
        <v>0</v>
      </c>
      <c r="Z15" s="1555">
        <f t="shared" si="15"/>
        <v>0</v>
      </c>
      <c r="AA15" s="1554">
        <f t="shared" si="16"/>
        <v>0</v>
      </c>
      <c r="AB15" s="1554">
        <f t="shared" si="17"/>
        <v>0</v>
      </c>
      <c r="AC15" s="1556">
        <f t="shared" si="18"/>
        <v>0</v>
      </c>
      <c r="AD15" s="1554">
        <f t="shared" si="19"/>
        <v>0</v>
      </c>
      <c r="AE15" s="1554">
        <f t="shared" si="20"/>
        <v>0</v>
      </c>
      <c r="AG15" s="1547" t="s">
        <v>1531</v>
      </c>
      <c r="AH15" s="1593" t="s">
        <v>235</v>
      </c>
      <c r="AI15" s="1885" t="s">
        <v>1532</v>
      </c>
      <c r="AJ15" s="1554"/>
      <c r="AK15" s="1554"/>
      <c r="AL15" s="1554"/>
      <c r="AM15" s="1554"/>
      <c r="AN15" s="1554"/>
      <c r="AO15" s="1554"/>
      <c r="AP15" s="1554"/>
      <c r="AQ15" s="1554"/>
      <c r="AR15" s="1554"/>
      <c r="AS15" s="1523"/>
      <c r="AT15" s="1525"/>
      <c r="AU15" s="1523"/>
      <c r="AV15" s="1523"/>
      <c r="AW15" s="1554"/>
      <c r="AX15" s="1547" t="s">
        <v>1318</v>
      </c>
      <c r="AY15" s="1593" t="s">
        <v>235</v>
      </c>
      <c r="AZ15" s="1885" t="s">
        <v>1319</v>
      </c>
      <c r="BA15" s="1523">
        <v>0.6</v>
      </c>
      <c r="BB15" s="1523">
        <v>0.3</v>
      </c>
      <c r="BC15" s="1523">
        <v>1</v>
      </c>
      <c r="BD15" s="1523">
        <v>0.6</v>
      </c>
      <c r="BE15" s="1523">
        <v>0.4</v>
      </c>
      <c r="BF15" s="1523">
        <v>1</v>
      </c>
      <c r="BG15" s="1523">
        <v>1</v>
      </c>
      <c r="BH15" s="1523">
        <v>1</v>
      </c>
      <c r="BI15" s="1523">
        <v>0.6</v>
      </c>
      <c r="BJ15" s="1523">
        <v>0.3</v>
      </c>
      <c r="BK15" s="1523">
        <v>0.3</v>
      </c>
      <c r="BL15" s="1523">
        <v>0.3</v>
      </c>
      <c r="BM15" s="1523">
        <v>0.3</v>
      </c>
      <c r="BO15" s="1547" t="s">
        <v>1478</v>
      </c>
      <c r="BP15" s="1593" t="s">
        <v>235</v>
      </c>
      <c r="BQ15" s="1885" t="s">
        <v>1479</v>
      </c>
      <c r="BR15" s="1523">
        <v>0.6</v>
      </c>
      <c r="BS15" s="1523">
        <v>0.3</v>
      </c>
      <c r="BT15" s="1523">
        <v>1</v>
      </c>
      <c r="BU15" s="1523">
        <v>0.6</v>
      </c>
      <c r="BV15" s="1523">
        <v>0.4</v>
      </c>
      <c r="BW15" s="1523">
        <v>1</v>
      </c>
      <c r="BX15" s="1523">
        <v>1</v>
      </c>
      <c r="BY15" s="1523">
        <v>1</v>
      </c>
      <c r="BZ15" s="1523">
        <v>0.6</v>
      </c>
      <c r="CA15" s="1523">
        <v>0.3</v>
      </c>
      <c r="CB15" s="1523">
        <v>0.3</v>
      </c>
      <c r="CC15" s="1523">
        <v>0.3</v>
      </c>
      <c r="CD15" s="1523">
        <v>0.3</v>
      </c>
    </row>
    <row r="16" spans="1:83">
      <c r="B16" s="1497" t="str">
        <f t="shared" si="0"/>
        <v>1.2.2</v>
      </c>
      <c r="C16" s="522" t="str">
        <f t="shared" si="1"/>
        <v>界壁遮音性能</v>
      </c>
      <c r="D16" s="1616">
        <f>IF(I$14=0,0,G16/I$14)</f>
        <v>1</v>
      </c>
      <c r="E16" s="1616">
        <f t="shared" si="22"/>
        <v>0.39999999999999997</v>
      </c>
      <c r="G16" s="1591">
        <f t="shared" si="2"/>
        <v>0.97911227154047009</v>
      </c>
      <c r="H16" s="1591">
        <f t="shared" si="3"/>
        <v>8.3550913838120102E-3</v>
      </c>
      <c r="I16" s="1591"/>
      <c r="J16" s="1591"/>
      <c r="K16" s="1591">
        <f>IF(スコア表示!W16=0,0,1)</f>
        <v>1</v>
      </c>
      <c r="L16" s="1591">
        <f>IF(スコア表示!AA16=0,0,1)</f>
        <v>1</v>
      </c>
      <c r="M16" s="1591">
        <f t="shared" si="4"/>
        <v>0.97911227154047009</v>
      </c>
      <c r="N16" s="1591">
        <f t="shared" si="5"/>
        <v>8.3550913838120102E-3</v>
      </c>
      <c r="P16" s="1547" t="str">
        <f t="shared" si="6"/>
        <v>1.2.2</v>
      </c>
      <c r="Q16" s="1547" t="str">
        <f t="shared" si="7"/>
        <v xml:space="preserve"> Q1 1.2</v>
      </c>
      <c r="R16" s="1637" t="str">
        <f t="shared" si="8"/>
        <v>界壁遮音性能</v>
      </c>
      <c r="S16" s="1518">
        <f t="shared" si="21"/>
        <v>1</v>
      </c>
      <c r="T16" s="1518">
        <f t="shared" si="9"/>
        <v>0.4</v>
      </c>
      <c r="U16" s="1518">
        <f t="shared" si="10"/>
        <v>0</v>
      </c>
      <c r="V16" s="1518">
        <f t="shared" si="11"/>
        <v>1</v>
      </c>
      <c r="W16" s="1518">
        <f t="shared" si="12"/>
        <v>0.4</v>
      </c>
      <c r="X16" s="1518">
        <f t="shared" si="13"/>
        <v>0</v>
      </c>
      <c r="Y16" s="1518">
        <f t="shared" si="14"/>
        <v>0</v>
      </c>
      <c r="Z16" s="1526">
        <f t="shared" si="15"/>
        <v>0</v>
      </c>
      <c r="AA16" s="1518">
        <f t="shared" si="16"/>
        <v>1</v>
      </c>
      <c r="AB16" s="1518">
        <f t="shared" si="17"/>
        <v>0.4</v>
      </c>
      <c r="AC16" s="1519">
        <f t="shared" si="18"/>
        <v>1</v>
      </c>
      <c r="AD16" s="1518">
        <f t="shared" si="19"/>
        <v>0.4</v>
      </c>
      <c r="AE16" s="1518">
        <f t="shared" si="20"/>
        <v>0.4</v>
      </c>
      <c r="AG16" s="1547" t="s">
        <v>1533</v>
      </c>
      <c r="AH16" s="1593" t="s">
        <v>235</v>
      </c>
      <c r="AI16" s="1885" t="s">
        <v>548</v>
      </c>
      <c r="AJ16" s="2253">
        <v>1</v>
      </c>
      <c r="AK16" s="1523">
        <v>0.4</v>
      </c>
      <c r="AL16" s="1523"/>
      <c r="AM16" s="1523">
        <v>1</v>
      </c>
      <c r="AN16" s="2253">
        <v>0.4</v>
      </c>
      <c r="AO16" s="1523"/>
      <c r="AP16" s="1523"/>
      <c r="AQ16" s="1524"/>
      <c r="AR16" s="2253">
        <v>1</v>
      </c>
      <c r="AS16" s="1523">
        <v>0.4</v>
      </c>
      <c r="AT16" s="1525">
        <v>1</v>
      </c>
      <c r="AU16" s="1523">
        <v>0.4</v>
      </c>
      <c r="AV16" s="1523">
        <v>0.4</v>
      </c>
      <c r="AW16" s="1523"/>
      <c r="AX16" s="1547" t="s">
        <v>1320</v>
      </c>
      <c r="AY16" s="1593" t="s">
        <v>235</v>
      </c>
      <c r="AZ16" s="1885" t="s">
        <v>548</v>
      </c>
      <c r="BA16" s="1523">
        <v>0.4</v>
      </c>
      <c r="BB16" s="1523">
        <v>0.3</v>
      </c>
      <c r="BC16" s="1523"/>
      <c r="BD16" s="1523">
        <v>0.4</v>
      </c>
      <c r="BE16" s="1523">
        <v>0.6</v>
      </c>
      <c r="BF16" s="1523"/>
      <c r="BG16" s="1523"/>
      <c r="BH16" s="1523"/>
      <c r="BI16" s="1523">
        <v>0.4</v>
      </c>
      <c r="BJ16" s="1523">
        <v>0.3</v>
      </c>
      <c r="BK16" s="1523">
        <v>0.3</v>
      </c>
      <c r="BL16" s="1523">
        <v>0.3</v>
      </c>
      <c r="BM16" s="1523">
        <v>0.3</v>
      </c>
      <c r="BO16" s="1547" t="s">
        <v>1480</v>
      </c>
      <c r="BP16" s="1593" t="s">
        <v>235</v>
      </c>
      <c r="BQ16" s="1885" t="s">
        <v>548</v>
      </c>
      <c r="BR16" s="1523">
        <v>0.4</v>
      </c>
      <c r="BS16" s="1523">
        <v>0.3</v>
      </c>
      <c r="BT16" s="1523"/>
      <c r="BU16" s="1523">
        <v>0.4</v>
      </c>
      <c r="BV16" s="1523">
        <v>0.6</v>
      </c>
      <c r="BW16" s="1523"/>
      <c r="BX16" s="1523"/>
      <c r="BY16" s="1523"/>
      <c r="BZ16" s="1523">
        <v>0.4</v>
      </c>
      <c r="CA16" s="1523">
        <v>0.3</v>
      </c>
      <c r="CB16" s="1523">
        <v>0.3</v>
      </c>
      <c r="CC16" s="1523">
        <v>0.3</v>
      </c>
      <c r="CD16" s="1523">
        <v>0.3</v>
      </c>
    </row>
    <row r="17" spans="1:83">
      <c r="B17" s="1497" t="str">
        <f t="shared" si="0"/>
        <v>1.2.3</v>
      </c>
      <c r="C17" s="522" t="str">
        <f t="shared" si="1"/>
        <v>界床遮音性能（軽量衝撃源）</v>
      </c>
      <c r="D17" s="1616">
        <f t="shared" si="22"/>
        <v>0</v>
      </c>
      <c r="E17" s="1616">
        <f t="shared" si="22"/>
        <v>0.3</v>
      </c>
      <c r="G17" s="1591">
        <f t="shared" si="2"/>
        <v>0</v>
      </c>
      <c r="H17" s="1591">
        <f t="shared" si="3"/>
        <v>6.2663185378590081E-3</v>
      </c>
      <c r="I17" s="1591"/>
      <c r="J17" s="1591"/>
      <c r="K17" s="1591">
        <f>IF(スコア表示!W17=0,0,1)</f>
        <v>0</v>
      </c>
      <c r="L17" s="1591">
        <f>IF(スコア表示!AA17=0,0,1)</f>
        <v>1</v>
      </c>
      <c r="M17" s="1591">
        <f t="shared" si="4"/>
        <v>0</v>
      </c>
      <c r="N17" s="1591">
        <f t="shared" si="5"/>
        <v>6.2663185378590081E-3</v>
      </c>
      <c r="P17" s="1547" t="str">
        <f t="shared" si="6"/>
        <v>1.2.3</v>
      </c>
      <c r="Q17" s="1547" t="str">
        <f t="shared" si="7"/>
        <v xml:space="preserve"> Q1 1.2</v>
      </c>
      <c r="R17" s="1637" t="str">
        <f t="shared" si="8"/>
        <v>界床遮音性能（軽量衝撃源）</v>
      </c>
      <c r="S17" s="1518">
        <f t="shared" si="21"/>
        <v>0</v>
      </c>
      <c r="T17" s="1518">
        <f t="shared" si="9"/>
        <v>0.3</v>
      </c>
      <c r="U17" s="1518">
        <f t="shared" si="10"/>
        <v>0</v>
      </c>
      <c r="V17" s="1518">
        <f t="shared" si="11"/>
        <v>0</v>
      </c>
      <c r="W17" s="1518">
        <f t="shared" si="12"/>
        <v>0.6</v>
      </c>
      <c r="X17" s="1518">
        <f t="shared" si="13"/>
        <v>0</v>
      </c>
      <c r="Y17" s="1518">
        <f t="shared" si="14"/>
        <v>0</v>
      </c>
      <c r="Z17" s="1526">
        <f t="shared" si="15"/>
        <v>0</v>
      </c>
      <c r="AA17" s="1518">
        <f t="shared" si="16"/>
        <v>0</v>
      </c>
      <c r="AB17" s="1518">
        <f t="shared" si="17"/>
        <v>0.3</v>
      </c>
      <c r="AC17" s="1519">
        <f t="shared" si="18"/>
        <v>0</v>
      </c>
      <c r="AD17" s="1518">
        <f t="shared" si="19"/>
        <v>0.3</v>
      </c>
      <c r="AE17" s="1518">
        <f t="shared" si="20"/>
        <v>0.3</v>
      </c>
      <c r="AG17" s="1547" t="s">
        <v>1534</v>
      </c>
      <c r="AH17" s="1593" t="s">
        <v>235</v>
      </c>
      <c r="AI17" s="1885" t="s">
        <v>549</v>
      </c>
      <c r="AJ17" s="1523"/>
      <c r="AK17" s="1523">
        <v>0.3</v>
      </c>
      <c r="AL17" s="1523"/>
      <c r="AM17" s="1523"/>
      <c r="AN17" s="2253">
        <v>0.6</v>
      </c>
      <c r="AO17" s="1523"/>
      <c r="AP17" s="1523"/>
      <c r="AQ17" s="1524"/>
      <c r="AR17" s="1523"/>
      <c r="AS17" s="1523">
        <v>0.3</v>
      </c>
      <c r="AT17" s="1525"/>
      <c r="AU17" s="1523">
        <v>0.3</v>
      </c>
      <c r="AV17" s="1523">
        <v>0.3</v>
      </c>
      <c r="AW17" s="1523"/>
      <c r="AX17" s="1547" t="s">
        <v>1322</v>
      </c>
      <c r="AY17" s="1593" t="s">
        <v>235</v>
      </c>
      <c r="AZ17" s="1885" t="s">
        <v>549</v>
      </c>
      <c r="BA17" s="1523"/>
      <c r="BB17" s="1523">
        <v>0.2</v>
      </c>
      <c r="BC17" s="1523"/>
      <c r="BD17" s="1523"/>
      <c r="BE17" s="1523"/>
      <c r="BF17" s="1523"/>
      <c r="BG17" s="1523"/>
      <c r="BH17" s="1524"/>
      <c r="BI17" s="1523"/>
      <c r="BJ17" s="1523">
        <v>0.2</v>
      </c>
      <c r="BK17" s="1525">
        <v>0.2</v>
      </c>
      <c r="BL17" s="1523">
        <v>0.2</v>
      </c>
      <c r="BM17" s="1523">
        <v>0.2</v>
      </c>
      <c r="BO17" s="1547" t="s">
        <v>1481</v>
      </c>
      <c r="BP17" s="1593" t="s">
        <v>235</v>
      </c>
      <c r="BQ17" s="1885" t="s">
        <v>549</v>
      </c>
      <c r="BR17" s="1523"/>
      <c r="BS17" s="1523">
        <v>0.2</v>
      </c>
      <c r="BT17" s="1523"/>
      <c r="BU17" s="1523"/>
      <c r="BV17" s="1523"/>
      <c r="BW17" s="1523"/>
      <c r="BX17" s="1523"/>
      <c r="BY17" s="1524"/>
      <c r="BZ17" s="1523"/>
      <c r="CA17" s="1523">
        <v>0.2</v>
      </c>
      <c r="CB17" s="1525">
        <v>0.2</v>
      </c>
      <c r="CC17" s="1523">
        <v>0.2</v>
      </c>
      <c r="CD17" s="1523">
        <v>0.2</v>
      </c>
    </row>
    <row r="18" spans="1:83">
      <c r="B18" s="1497" t="str">
        <f t="shared" si="0"/>
        <v>1.2.4</v>
      </c>
      <c r="C18" s="522" t="str">
        <f t="shared" si="1"/>
        <v>界床遮音性能（重量衝撃源）</v>
      </c>
      <c r="D18" s="1616">
        <f t="shared" si="22"/>
        <v>0</v>
      </c>
      <c r="E18" s="1616">
        <f t="shared" si="22"/>
        <v>0.3</v>
      </c>
      <c r="G18" s="1591">
        <f t="shared" si="2"/>
        <v>0</v>
      </c>
      <c r="H18" s="1591">
        <f>L18*N18</f>
        <v>6.2663185378590081E-3</v>
      </c>
      <c r="I18" s="1591"/>
      <c r="J18" s="1591"/>
      <c r="K18" s="1591">
        <f>IF(スコア表示!W18=0,0,1)</f>
        <v>0</v>
      </c>
      <c r="L18" s="1591">
        <f>IF(スコア表示!AA18=0,0,1)</f>
        <v>1</v>
      </c>
      <c r="M18" s="1591">
        <f t="shared" si="4"/>
        <v>0</v>
      </c>
      <c r="N18" s="1591">
        <f t="shared" si="5"/>
        <v>6.2663185378590081E-3</v>
      </c>
      <c r="P18" s="1547" t="str">
        <f t="shared" si="6"/>
        <v>1.2.4</v>
      </c>
      <c r="Q18" s="1547" t="str">
        <f t="shared" si="7"/>
        <v xml:space="preserve"> Q1 1.2</v>
      </c>
      <c r="R18" s="1637" t="str">
        <f t="shared" si="8"/>
        <v>界床遮音性能（重量衝撃源）</v>
      </c>
      <c r="S18" s="1518">
        <f t="shared" si="21"/>
        <v>0</v>
      </c>
      <c r="T18" s="1518">
        <f t="shared" si="9"/>
        <v>0.3</v>
      </c>
      <c r="U18" s="1518">
        <f t="shared" si="10"/>
        <v>0</v>
      </c>
      <c r="V18" s="1518">
        <f t="shared" si="11"/>
        <v>0</v>
      </c>
      <c r="W18" s="1518">
        <f t="shared" si="12"/>
        <v>0</v>
      </c>
      <c r="X18" s="1518">
        <f t="shared" si="13"/>
        <v>0</v>
      </c>
      <c r="Y18" s="1518">
        <f t="shared" si="14"/>
        <v>0</v>
      </c>
      <c r="Z18" s="1526">
        <f t="shared" si="15"/>
        <v>0</v>
      </c>
      <c r="AA18" s="1518">
        <f t="shared" si="16"/>
        <v>0</v>
      </c>
      <c r="AB18" s="1518">
        <f t="shared" si="17"/>
        <v>0.3</v>
      </c>
      <c r="AC18" s="1519">
        <f t="shared" si="18"/>
        <v>0</v>
      </c>
      <c r="AD18" s="1518">
        <f t="shared" si="19"/>
        <v>0.3</v>
      </c>
      <c r="AE18" s="1518">
        <f t="shared" si="20"/>
        <v>0.3</v>
      </c>
      <c r="AG18" s="1547" t="s">
        <v>1535</v>
      </c>
      <c r="AH18" s="1593" t="s">
        <v>235</v>
      </c>
      <c r="AI18" s="1885" t="s">
        <v>550</v>
      </c>
      <c r="AJ18" s="1523"/>
      <c r="AK18" s="1523">
        <v>0.3</v>
      </c>
      <c r="AL18" s="1523"/>
      <c r="AM18" s="1523"/>
      <c r="AN18" s="1523"/>
      <c r="AO18" s="1523"/>
      <c r="AP18" s="1523"/>
      <c r="AQ18" s="1524"/>
      <c r="AR18" s="1523"/>
      <c r="AS18" s="1523">
        <v>0.3</v>
      </c>
      <c r="AT18" s="1525"/>
      <c r="AU18" s="1523">
        <v>0.3</v>
      </c>
      <c r="AV18" s="1523">
        <v>0.3</v>
      </c>
      <c r="AW18" s="1523"/>
      <c r="AX18" s="1547" t="s">
        <v>1323</v>
      </c>
      <c r="AY18" s="1593" t="s">
        <v>235</v>
      </c>
      <c r="AZ18" s="1885" t="s">
        <v>550</v>
      </c>
      <c r="BA18" s="1523"/>
      <c r="BB18" s="1523">
        <v>0.2</v>
      </c>
      <c r="BC18" s="1523"/>
      <c r="BD18" s="1523"/>
      <c r="BE18" s="1523"/>
      <c r="BF18" s="1523"/>
      <c r="BG18" s="1523"/>
      <c r="BH18" s="1524"/>
      <c r="BI18" s="1523"/>
      <c r="BJ18" s="1523">
        <v>0.2</v>
      </c>
      <c r="BK18" s="1525">
        <v>0.2</v>
      </c>
      <c r="BL18" s="1523">
        <v>0.2</v>
      </c>
      <c r="BM18" s="1523">
        <v>0.2</v>
      </c>
      <c r="BO18" s="1547" t="s">
        <v>1482</v>
      </c>
      <c r="BP18" s="1593" t="s">
        <v>235</v>
      </c>
      <c r="BQ18" s="1885" t="s">
        <v>550</v>
      </c>
      <c r="BR18" s="1523"/>
      <c r="BS18" s="1523">
        <v>0.2</v>
      </c>
      <c r="BT18" s="1523"/>
      <c r="BU18" s="1523"/>
      <c r="BV18" s="1523"/>
      <c r="BW18" s="1523"/>
      <c r="BX18" s="1523"/>
      <c r="BY18" s="1524"/>
      <c r="BZ18" s="1523"/>
      <c r="CA18" s="1523">
        <v>0.2</v>
      </c>
      <c r="CB18" s="1525">
        <v>0.2</v>
      </c>
      <c r="CC18" s="1523">
        <v>0.2</v>
      </c>
      <c r="CD18" s="1523">
        <v>0.2</v>
      </c>
    </row>
    <row r="19" spans="1:83">
      <c r="B19" s="1497">
        <f t="shared" si="0"/>
        <v>1.3</v>
      </c>
      <c r="C19" s="522" t="str">
        <f t="shared" si="1"/>
        <v>吸音</v>
      </c>
      <c r="D19" s="1616">
        <f>IF(I$10=0,0,G19/I$10)</f>
        <v>0.19999999999999998</v>
      </c>
      <c r="E19" s="1616">
        <f>IF(J$10=0,0,H19/J$10)</f>
        <v>0.19999999999999998</v>
      </c>
      <c r="G19" s="1591">
        <f t="shared" si="2"/>
        <v>0.20000000000000004</v>
      </c>
      <c r="H19" s="1591">
        <f>L19*N19</f>
        <v>4.1775456919060051E-3</v>
      </c>
      <c r="I19" s="1591"/>
      <c r="J19" s="1591"/>
      <c r="K19" s="1591">
        <f>IF(スコア表示!W19=0,0,1)</f>
        <v>1</v>
      </c>
      <c r="L19" s="1591">
        <f>IF(スコア表示!AA19=0,0,1)</f>
        <v>1</v>
      </c>
      <c r="M19" s="1591">
        <f t="shared" si="4"/>
        <v>0.20000000000000004</v>
      </c>
      <c r="N19" s="1591">
        <f t="shared" si="5"/>
        <v>4.1775456919060051E-3</v>
      </c>
      <c r="P19" s="1547">
        <f t="shared" si="6"/>
        <v>1.3</v>
      </c>
      <c r="Q19" s="1547" t="str">
        <f t="shared" si="7"/>
        <v xml:space="preserve"> Q1 1</v>
      </c>
      <c r="R19" s="1637" t="str">
        <f t="shared" si="8"/>
        <v>吸音</v>
      </c>
      <c r="S19" s="1518">
        <f t="shared" si="21"/>
        <v>0.2</v>
      </c>
      <c r="T19" s="1518">
        <f t="shared" si="9"/>
        <v>0.2</v>
      </c>
      <c r="U19" s="1518">
        <f t="shared" si="10"/>
        <v>0.2</v>
      </c>
      <c r="V19" s="1518">
        <f t="shared" si="11"/>
        <v>0.2</v>
      </c>
      <c r="W19" s="1518">
        <f t="shared" si="12"/>
        <v>0.2</v>
      </c>
      <c r="X19" s="1518">
        <f t="shared" si="13"/>
        <v>0.2</v>
      </c>
      <c r="Y19" s="1518">
        <f t="shared" si="14"/>
        <v>0.2</v>
      </c>
      <c r="Z19" s="1526">
        <f t="shared" si="15"/>
        <v>0.2</v>
      </c>
      <c r="AA19" s="1518">
        <f t="shared" si="16"/>
        <v>0</v>
      </c>
      <c r="AB19" s="1518">
        <f t="shared" si="17"/>
        <v>0.2</v>
      </c>
      <c r="AC19" s="1519">
        <f t="shared" si="18"/>
        <v>0</v>
      </c>
      <c r="AD19" s="1518">
        <f t="shared" si="19"/>
        <v>0.2</v>
      </c>
      <c r="AE19" s="1518">
        <f t="shared" si="20"/>
        <v>0.2</v>
      </c>
      <c r="AG19" s="1547">
        <v>1.3</v>
      </c>
      <c r="AH19" s="1593" t="s">
        <v>231</v>
      </c>
      <c r="AI19" s="1885" t="s">
        <v>551</v>
      </c>
      <c r="AJ19" s="2253">
        <v>0.2</v>
      </c>
      <c r="AK19" s="1518">
        <v>0.2</v>
      </c>
      <c r="AL19" s="1518">
        <v>0.2</v>
      </c>
      <c r="AM19" s="1518">
        <v>0.2</v>
      </c>
      <c r="AN19" s="2253">
        <v>0.2</v>
      </c>
      <c r="AO19" s="1518">
        <v>0.2</v>
      </c>
      <c r="AP19" s="1518">
        <v>0.2</v>
      </c>
      <c r="AQ19" s="2253">
        <v>0.2</v>
      </c>
      <c r="AR19" s="1518"/>
      <c r="AS19" s="1523">
        <v>0.2</v>
      </c>
      <c r="AT19" s="1525"/>
      <c r="AU19" s="1523">
        <v>0.2</v>
      </c>
      <c r="AV19" s="2253">
        <v>0.2</v>
      </c>
      <c r="AW19" s="1518"/>
      <c r="AX19" s="1547">
        <v>1.3</v>
      </c>
      <c r="AY19" s="1593" t="s">
        <v>231</v>
      </c>
      <c r="AZ19" s="1885" t="s">
        <v>551</v>
      </c>
      <c r="BA19" s="1523">
        <v>0.2</v>
      </c>
      <c r="BB19" s="1523">
        <v>0.2</v>
      </c>
      <c r="BC19" s="1523">
        <v>0.2</v>
      </c>
      <c r="BD19" s="1523">
        <v>0.2</v>
      </c>
      <c r="BE19" s="1523">
        <v>0.2</v>
      </c>
      <c r="BF19" s="1523">
        <v>0.2</v>
      </c>
      <c r="BG19" s="1523">
        <v>0</v>
      </c>
      <c r="BH19" s="1524">
        <v>0.2</v>
      </c>
      <c r="BI19" s="1523">
        <v>0.2</v>
      </c>
      <c r="BJ19" s="1523">
        <v>0.2</v>
      </c>
      <c r="BK19" s="1525">
        <v>0.2</v>
      </c>
      <c r="BL19" s="1523">
        <v>0.2</v>
      </c>
      <c r="BM19" s="1523">
        <v>0</v>
      </c>
      <c r="BO19" s="1547">
        <v>1.3</v>
      </c>
      <c r="BP19" s="1593" t="s">
        <v>231</v>
      </c>
      <c r="BQ19" s="1885" t="s">
        <v>551</v>
      </c>
      <c r="BR19" s="1523">
        <v>0.2</v>
      </c>
      <c r="BS19" s="1523">
        <v>0.2</v>
      </c>
      <c r="BT19" s="1523">
        <v>0.2</v>
      </c>
      <c r="BU19" s="1523">
        <v>0.2</v>
      </c>
      <c r="BV19" s="1523">
        <v>0.2</v>
      </c>
      <c r="BW19" s="1523">
        <v>0.2</v>
      </c>
      <c r="BX19" s="1523">
        <v>0</v>
      </c>
      <c r="BY19" s="1524">
        <v>0.2</v>
      </c>
      <c r="BZ19" s="1523">
        <v>0.2</v>
      </c>
      <c r="CA19" s="1523">
        <v>0.2</v>
      </c>
      <c r="CB19" s="1525">
        <v>0.2</v>
      </c>
      <c r="CC19" s="1523">
        <v>0.2</v>
      </c>
      <c r="CD19" s="1523">
        <v>0</v>
      </c>
    </row>
    <row r="20" spans="1:83" s="1505" customFormat="1">
      <c r="A20"/>
      <c r="B20" s="1497">
        <f t="shared" si="0"/>
        <v>2</v>
      </c>
      <c r="C20" s="1528" t="str">
        <f t="shared" si="1"/>
        <v>温熱環境</v>
      </c>
      <c r="D20" s="1962">
        <f>IF(I$9=0,0,G20/I$9)</f>
        <v>0.35000000000000003</v>
      </c>
      <c r="E20" s="1643">
        <f>IF(J$9=0,0,H20/J$9)</f>
        <v>0.25</v>
      </c>
      <c r="F20"/>
      <c r="G20" s="1643">
        <f t="shared" si="2"/>
        <v>0.35000000000000003</v>
      </c>
      <c r="H20" s="1643">
        <f t="shared" si="3"/>
        <v>1</v>
      </c>
      <c r="I20" s="1643">
        <f>G21+G30+G31</f>
        <v>1.0000000000000002</v>
      </c>
      <c r="J20" s="1643">
        <f>H21+H30+H31</f>
        <v>2.0887728459530026E-2</v>
      </c>
      <c r="K20" s="1643">
        <f>IF(スコア表示!W20=0,0,1)</f>
        <v>1</v>
      </c>
      <c r="L20" s="1643">
        <f>IF(スコア表示!AA20=0,0,1)</f>
        <v>1</v>
      </c>
      <c r="M20" s="1643">
        <f t="shared" si="4"/>
        <v>0.35000000000000003</v>
      </c>
      <c r="N20" s="1643">
        <v>1</v>
      </c>
      <c r="O20"/>
      <c r="P20" s="1541">
        <f t="shared" si="6"/>
        <v>2</v>
      </c>
      <c r="Q20" s="1541" t="str">
        <f t="shared" si="7"/>
        <v xml:space="preserve"> Q1</v>
      </c>
      <c r="R20" s="1680" t="str">
        <f t="shared" si="8"/>
        <v>温熱環境</v>
      </c>
      <c r="S20" s="1510">
        <f t="shared" si="21"/>
        <v>0.35</v>
      </c>
      <c r="T20" s="1510">
        <f t="shared" si="9"/>
        <v>0.35</v>
      </c>
      <c r="U20" s="1510">
        <f t="shared" si="10"/>
        <v>0.35</v>
      </c>
      <c r="V20" s="1510">
        <f t="shared" si="11"/>
        <v>0.35</v>
      </c>
      <c r="W20" s="1510">
        <f t="shared" si="12"/>
        <v>0.35</v>
      </c>
      <c r="X20" s="1510">
        <f t="shared" si="13"/>
        <v>0.35</v>
      </c>
      <c r="Y20" s="1510">
        <f t="shared" si="14"/>
        <v>0.35</v>
      </c>
      <c r="Z20" s="1529">
        <f t="shared" si="15"/>
        <v>0.44</v>
      </c>
      <c r="AA20" s="1510">
        <f t="shared" si="16"/>
        <v>0.35</v>
      </c>
      <c r="AB20" s="1510">
        <f t="shared" si="17"/>
        <v>0.35</v>
      </c>
      <c r="AC20" s="1559">
        <f t="shared" si="18"/>
        <v>0</v>
      </c>
      <c r="AD20" s="1510">
        <f t="shared" si="19"/>
        <v>0</v>
      </c>
      <c r="AE20" s="1510">
        <f t="shared" si="20"/>
        <v>0</v>
      </c>
      <c r="AF20"/>
      <c r="AG20" s="1541">
        <v>2</v>
      </c>
      <c r="AH20" s="1644" t="s">
        <v>230</v>
      </c>
      <c r="AI20" s="1687" t="s">
        <v>928</v>
      </c>
      <c r="AJ20" s="1510">
        <v>0.35</v>
      </c>
      <c r="AK20" s="1510">
        <v>0.35</v>
      </c>
      <c r="AL20" s="1510">
        <v>0.35</v>
      </c>
      <c r="AM20" s="1510">
        <v>0.35</v>
      </c>
      <c r="AN20" s="1510">
        <v>0.35</v>
      </c>
      <c r="AO20" s="1510">
        <v>0.35</v>
      </c>
      <c r="AP20" s="1510">
        <v>0.35</v>
      </c>
      <c r="AQ20" s="1510">
        <v>0.44</v>
      </c>
      <c r="AR20" s="1510">
        <v>0.35</v>
      </c>
      <c r="AS20" s="1611">
        <v>0.35</v>
      </c>
      <c r="AT20" s="1963"/>
      <c r="AU20" s="1611"/>
      <c r="AV20" s="1611"/>
      <c r="AW20"/>
      <c r="AX20" s="1541">
        <v>2</v>
      </c>
      <c r="AY20" s="1644" t="s">
        <v>230</v>
      </c>
      <c r="AZ20" s="1687" t="s">
        <v>928</v>
      </c>
      <c r="BA20" s="1611">
        <v>0.35</v>
      </c>
      <c r="BB20" s="1611">
        <v>0.35</v>
      </c>
      <c r="BC20" s="1611">
        <v>0.35</v>
      </c>
      <c r="BD20" s="1611">
        <v>0.35</v>
      </c>
      <c r="BE20" s="1611">
        <v>0.35</v>
      </c>
      <c r="BF20" s="1611">
        <v>0.35</v>
      </c>
      <c r="BG20" s="1611">
        <v>0.35</v>
      </c>
      <c r="BH20" s="1535">
        <v>0.44</v>
      </c>
      <c r="BI20" s="1611">
        <v>0.35</v>
      </c>
      <c r="BJ20" s="1611">
        <v>0.35</v>
      </c>
      <c r="BK20" s="1963"/>
      <c r="BL20" s="1611"/>
      <c r="BM20" s="1611"/>
      <c r="BN20"/>
      <c r="BO20" s="1541">
        <v>2</v>
      </c>
      <c r="BP20" s="1644" t="s">
        <v>230</v>
      </c>
      <c r="BQ20" s="1687" t="s">
        <v>928</v>
      </c>
      <c r="BR20" s="1611">
        <v>0.35</v>
      </c>
      <c r="BS20" s="1611">
        <v>0.35</v>
      </c>
      <c r="BT20" s="1611">
        <v>0.35</v>
      </c>
      <c r="BU20" s="1611">
        <v>0.35</v>
      </c>
      <c r="BV20" s="1611">
        <v>0.35</v>
      </c>
      <c r="BW20" s="1611">
        <v>0.35</v>
      </c>
      <c r="BX20" s="1611">
        <v>0.35</v>
      </c>
      <c r="BY20" s="1535">
        <v>0.44</v>
      </c>
      <c r="BZ20" s="1611">
        <v>0.35</v>
      </c>
      <c r="CA20" s="1611">
        <v>0.35</v>
      </c>
      <c r="CB20" s="1963"/>
      <c r="CC20" s="1611"/>
      <c r="CD20" s="1611"/>
      <c r="CE20"/>
    </row>
    <row r="21" spans="1:83">
      <c r="B21" s="1497">
        <f t="shared" si="0"/>
        <v>2.1</v>
      </c>
      <c r="C21" s="1530" t="str">
        <f t="shared" si="1"/>
        <v>室温制御</v>
      </c>
      <c r="D21" s="1616">
        <f>IF(I$20=0,0,G21/I$20)</f>
        <v>0.5</v>
      </c>
      <c r="E21" s="1591">
        <f>IF(J$20=0,0,H21/J$20)</f>
        <v>1</v>
      </c>
      <c r="G21" s="1591">
        <f t="shared" si="2"/>
        <v>0.50000000000000011</v>
      </c>
      <c r="H21" s="1591">
        <f t="shared" si="3"/>
        <v>2.0887728459530026E-2</v>
      </c>
      <c r="I21" s="1591">
        <f>SUM(G22:G29)</f>
        <v>0.74778067885117494</v>
      </c>
      <c r="J21" s="1591">
        <f>SUM(H22:H29)</f>
        <v>1.2532637075718016E-2</v>
      </c>
      <c r="K21" s="1591">
        <f>IF(スコア表示!W21=0,0,1)</f>
        <v>1</v>
      </c>
      <c r="L21" s="1591">
        <f>IF(スコア表示!AA21=0,0,1)</f>
        <v>1</v>
      </c>
      <c r="M21" s="1591">
        <f t="shared" si="4"/>
        <v>0.50000000000000011</v>
      </c>
      <c r="N21" s="1591">
        <f t="shared" si="5"/>
        <v>2.0887728459530026E-2</v>
      </c>
      <c r="P21" s="1547">
        <f t="shared" si="6"/>
        <v>2.1</v>
      </c>
      <c r="Q21" s="1547" t="str">
        <f t="shared" si="7"/>
        <v xml:space="preserve"> Q1 2</v>
      </c>
      <c r="R21" s="1637" t="str">
        <f t="shared" si="8"/>
        <v>室温制御</v>
      </c>
      <c r="S21" s="1518">
        <f t="shared" si="21"/>
        <v>0.5</v>
      </c>
      <c r="T21" s="1518">
        <f t="shared" si="9"/>
        <v>0.5</v>
      </c>
      <c r="U21" s="1518">
        <f t="shared" si="10"/>
        <v>0.5</v>
      </c>
      <c r="V21" s="1518">
        <f t="shared" si="11"/>
        <v>0.5</v>
      </c>
      <c r="W21" s="1518">
        <f t="shared" si="12"/>
        <v>0.5</v>
      </c>
      <c r="X21" s="1518">
        <f t="shared" si="13"/>
        <v>0.5</v>
      </c>
      <c r="Y21" s="1518">
        <f t="shared" si="14"/>
        <v>0.5</v>
      </c>
      <c r="Z21" s="1531">
        <f t="shared" si="15"/>
        <v>0.5</v>
      </c>
      <c r="AA21" s="1518">
        <f t="shared" si="16"/>
        <v>0.5</v>
      </c>
      <c r="AB21" s="1518">
        <f t="shared" si="17"/>
        <v>0.5</v>
      </c>
      <c r="AC21" s="1519">
        <f t="shared" si="18"/>
        <v>1</v>
      </c>
      <c r="AD21" s="1518">
        <f t="shared" si="19"/>
        <v>1</v>
      </c>
      <c r="AE21" s="1518">
        <f t="shared" si="20"/>
        <v>1</v>
      </c>
      <c r="AG21" s="1547">
        <v>2.1</v>
      </c>
      <c r="AH21" s="1593" t="s">
        <v>236</v>
      </c>
      <c r="AI21" s="1637" t="s">
        <v>555</v>
      </c>
      <c r="AJ21" s="1518">
        <v>0.5</v>
      </c>
      <c r="AK21" s="1518">
        <v>0.5</v>
      </c>
      <c r="AL21" s="1518">
        <v>0.5</v>
      </c>
      <c r="AM21" s="1518">
        <v>0.5</v>
      </c>
      <c r="AN21" s="1518">
        <v>0.5</v>
      </c>
      <c r="AO21" s="1518">
        <v>0.5</v>
      </c>
      <c r="AP21" s="1518">
        <v>0.5</v>
      </c>
      <c r="AQ21" s="1518">
        <v>0.5</v>
      </c>
      <c r="AR21" s="1518">
        <v>0.5</v>
      </c>
      <c r="AS21" s="1523">
        <v>0.5</v>
      </c>
      <c r="AT21" s="1525">
        <v>1</v>
      </c>
      <c r="AU21" s="1523">
        <v>1</v>
      </c>
      <c r="AV21" s="1523">
        <v>1</v>
      </c>
      <c r="AX21" s="1547">
        <v>2.1</v>
      </c>
      <c r="AY21" s="1593" t="s">
        <v>236</v>
      </c>
      <c r="AZ21" s="1637" t="s">
        <v>555</v>
      </c>
      <c r="BA21" s="1523">
        <v>0.5</v>
      </c>
      <c r="BB21" s="1523">
        <v>0.5</v>
      </c>
      <c r="BC21" s="1523">
        <v>0.5</v>
      </c>
      <c r="BD21" s="1523">
        <v>0.5</v>
      </c>
      <c r="BE21" s="1523">
        <v>0.5</v>
      </c>
      <c r="BF21" s="1523">
        <v>0.5</v>
      </c>
      <c r="BG21" s="1523">
        <v>0.5</v>
      </c>
      <c r="BH21" s="1614">
        <v>0.5</v>
      </c>
      <c r="BI21" s="1523">
        <v>0.5</v>
      </c>
      <c r="BJ21" s="1523">
        <v>0.5</v>
      </c>
      <c r="BK21" s="1525">
        <v>0.5</v>
      </c>
      <c r="BL21" s="1523">
        <v>0.5</v>
      </c>
      <c r="BM21" s="1523">
        <v>0.5</v>
      </c>
      <c r="BO21" s="1547">
        <v>2.1</v>
      </c>
      <c r="BP21" s="1593" t="s">
        <v>236</v>
      </c>
      <c r="BQ21" s="1637" t="s">
        <v>555</v>
      </c>
      <c r="BR21" s="1523">
        <v>0.5</v>
      </c>
      <c r="BS21" s="1523">
        <v>0.5</v>
      </c>
      <c r="BT21" s="1523">
        <v>0.5</v>
      </c>
      <c r="BU21" s="1523">
        <v>0.5</v>
      </c>
      <c r="BV21" s="1523">
        <v>0.5</v>
      </c>
      <c r="BW21" s="1523">
        <v>0.5</v>
      </c>
      <c r="BX21" s="1523">
        <v>0.5</v>
      </c>
      <c r="BY21" s="1614">
        <v>0.5</v>
      </c>
      <c r="BZ21" s="1523">
        <v>0.5</v>
      </c>
      <c r="CA21" s="1523">
        <v>0.5</v>
      </c>
      <c r="CB21" s="1525">
        <v>0.5</v>
      </c>
      <c r="CC21" s="1523">
        <v>0.5</v>
      </c>
      <c r="CD21" s="1523">
        <v>0.5</v>
      </c>
    </row>
    <row r="22" spans="1:83">
      <c r="B22" s="1497" t="str">
        <f t="shared" si="0"/>
        <v>2.1.1</v>
      </c>
      <c r="C22" s="1514" t="str">
        <f t="shared" si="1"/>
        <v>室温設定</v>
      </c>
      <c r="D22" s="1621">
        <f t="shared" ref="D22:E29" si="23">IF(I$21&gt;0,G22/I$21,0)</f>
        <v>0.40677374301675973</v>
      </c>
      <c r="E22" s="1591">
        <f t="shared" si="23"/>
        <v>0</v>
      </c>
      <c r="G22" s="1591">
        <f t="shared" si="2"/>
        <v>0.30417754569190597</v>
      </c>
      <c r="H22" s="1591">
        <f t="shared" si="3"/>
        <v>0</v>
      </c>
      <c r="I22" s="1591"/>
      <c r="J22" s="1591"/>
      <c r="K22" s="1591">
        <f>IF(スコア表示!W22=0,0,1)</f>
        <v>1</v>
      </c>
      <c r="L22" s="1591">
        <f>IF(スコア表示!AA22=0,0,1)</f>
        <v>0</v>
      </c>
      <c r="M22" s="1591">
        <f t="shared" si="4"/>
        <v>0.30417754569190597</v>
      </c>
      <c r="N22" s="1591">
        <f t="shared" si="5"/>
        <v>0</v>
      </c>
      <c r="P22" s="1547" t="str">
        <f t="shared" si="6"/>
        <v>2.1.1</v>
      </c>
      <c r="Q22" s="1547" t="str">
        <f t="shared" si="7"/>
        <v xml:space="preserve"> Q1 2.1</v>
      </c>
      <c r="R22" s="1637" t="str">
        <f t="shared" si="8"/>
        <v>室温設定</v>
      </c>
      <c r="S22" s="1518">
        <f t="shared" si="21"/>
        <v>0.3</v>
      </c>
      <c r="T22" s="1518">
        <f t="shared" si="9"/>
        <v>0.3</v>
      </c>
      <c r="U22" s="1518">
        <f t="shared" si="10"/>
        <v>0.3</v>
      </c>
      <c r="V22" s="1518">
        <f t="shared" si="11"/>
        <v>0.3</v>
      </c>
      <c r="W22" s="1518">
        <f t="shared" si="12"/>
        <v>0.3</v>
      </c>
      <c r="X22" s="1518">
        <f t="shared" si="13"/>
        <v>0.3</v>
      </c>
      <c r="Y22" s="1518">
        <f t="shared" si="14"/>
        <v>0.5</v>
      </c>
      <c r="Z22" s="1531">
        <f t="shared" si="15"/>
        <v>0.3</v>
      </c>
      <c r="AA22" s="1518">
        <f t="shared" si="16"/>
        <v>0.3</v>
      </c>
      <c r="AB22" s="1518">
        <f t="shared" si="17"/>
        <v>0.3</v>
      </c>
      <c r="AC22" s="1519">
        <f t="shared" si="18"/>
        <v>0</v>
      </c>
      <c r="AD22" s="1518">
        <f t="shared" si="19"/>
        <v>0</v>
      </c>
      <c r="AE22" s="1518">
        <f t="shared" si="20"/>
        <v>0</v>
      </c>
      <c r="AG22" s="1547" t="s">
        <v>1536</v>
      </c>
      <c r="AH22" s="1593" t="s">
        <v>237</v>
      </c>
      <c r="AI22" s="1964" t="s">
        <v>369</v>
      </c>
      <c r="AJ22" s="1518">
        <v>0.3</v>
      </c>
      <c r="AK22" s="1518">
        <v>0.3</v>
      </c>
      <c r="AL22" s="1518">
        <v>0.3</v>
      </c>
      <c r="AM22" s="1518">
        <v>0.3</v>
      </c>
      <c r="AN22" s="1518">
        <v>0.3</v>
      </c>
      <c r="AO22" s="1518">
        <v>0.3</v>
      </c>
      <c r="AP22" s="1518">
        <v>0.5</v>
      </c>
      <c r="AQ22" s="1531">
        <v>0.3</v>
      </c>
      <c r="AR22" s="1518">
        <v>0.3</v>
      </c>
      <c r="AS22" s="1523">
        <v>0.3</v>
      </c>
      <c r="AT22" s="1525"/>
      <c r="AU22" s="1523"/>
      <c r="AV22" s="1523"/>
      <c r="AX22" s="1547" t="s">
        <v>1325</v>
      </c>
      <c r="AY22" s="1593" t="s">
        <v>237</v>
      </c>
      <c r="AZ22" s="1964" t="s">
        <v>1326</v>
      </c>
      <c r="BA22" s="1523">
        <v>0.3</v>
      </c>
      <c r="BB22" s="1523">
        <v>0.3</v>
      </c>
      <c r="BC22" s="1523">
        <v>0.3</v>
      </c>
      <c r="BD22" s="1523">
        <v>0.3</v>
      </c>
      <c r="BE22" s="1523">
        <v>0.3</v>
      </c>
      <c r="BF22" s="1523">
        <v>0.3</v>
      </c>
      <c r="BG22" s="1523">
        <v>0.5</v>
      </c>
      <c r="BH22" s="1614">
        <v>0.3</v>
      </c>
      <c r="BI22" s="1523">
        <v>0.3</v>
      </c>
      <c r="BJ22" s="1523">
        <v>0.3</v>
      </c>
      <c r="BK22" s="1525">
        <v>0.4</v>
      </c>
      <c r="BL22" s="1523">
        <v>0.4</v>
      </c>
      <c r="BM22" s="1523">
        <v>0.5</v>
      </c>
      <c r="BO22" s="1547" t="s">
        <v>1483</v>
      </c>
      <c r="BP22" s="1593" t="s">
        <v>237</v>
      </c>
      <c r="BQ22" s="1964" t="s">
        <v>1484</v>
      </c>
      <c r="BR22" s="1523">
        <v>0.3</v>
      </c>
      <c r="BS22" s="1523">
        <v>0.3</v>
      </c>
      <c r="BT22" s="1523">
        <v>0.3</v>
      </c>
      <c r="BU22" s="1523">
        <v>0.3</v>
      </c>
      <c r="BV22" s="1523">
        <v>0.3</v>
      </c>
      <c r="BW22" s="1523">
        <v>0.3</v>
      </c>
      <c r="BX22" s="1523">
        <v>0.5</v>
      </c>
      <c r="BY22" s="1614">
        <v>0.3</v>
      </c>
      <c r="BZ22" s="1523">
        <v>0.3</v>
      </c>
      <c r="CA22" s="1523">
        <v>0.3</v>
      </c>
      <c r="CB22" s="1525">
        <v>0.4</v>
      </c>
      <c r="CC22" s="1523">
        <v>0.4</v>
      </c>
      <c r="CD22" s="1523">
        <v>0.5</v>
      </c>
    </row>
    <row r="23" spans="1:83" hidden="1">
      <c r="B23" s="1497" t="str">
        <f t="shared" si="0"/>
        <v>2.1.2</v>
      </c>
      <c r="C23" s="1550" t="str">
        <f t="shared" si="1"/>
        <v>負荷変動・追従制御性</v>
      </c>
      <c r="D23" s="1621">
        <f t="shared" si="23"/>
        <v>0</v>
      </c>
      <c r="E23" s="1591">
        <f t="shared" si="23"/>
        <v>0</v>
      </c>
      <c r="G23" s="1591">
        <f t="shared" si="2"/>
        <v>0</v>
      </c>
      <c r="H23" s="1591">
        <f t="shared" si="3"/>
        <v>0</v>
      </c>
      <c r="I23" s="1591"/>
      <c r="J23" s="1591"/>
      <c r="K23" s="1591">
        <f>IF(スコア表示!W23=0,0,1)</f>
        <v>0</v>
      </c>
      <c r="L23" s="1591">
        <f>IF(スコア表示!AA23=0,0,1)</f>
        <v>0</v>
      </c>
      <c r="M23" s="1591">
        <f t="shared" si="4"/>
        <v>5.2219321148825076E-2</v>
      </c>
      <c r="N23" s="1591">
        <f t="shared" si="5"/>
        <v>0</v>
      </c>
      <c r="P23" s="1547" t="str">
        <f t="shared" si="6"/>
        <v>2.1.2</v>
      </c>
      <c r="Q23" s="1547" t="str">
        <f t="shared" si="7"/>
        <v xml:space="preserve"> Q1 2.1</v>
      </c>
      <c r="R23" s="1637" t="str">
        <f t="shared" si="8"/>
        <v>負荷変動・追従制御性</v>
      </c>
      <c r="S23" s="1533">
        <f t="shared" si="21"/>
        <v>0</v>
      </c>
      <c r="T23" s="1518">
        <f t="shared" si="9"/>
        <v>0.2</v>
      </c>
      <c r="U23" s="1518">
        <f t="shared" si="10"/>
        <v>0.2</v>
      </c>
      <c r="V23" s="1518">
        <f t="shared" si="11"/>
        <v>0.2</v>
      </c>
      <c r="W23" s="1518">
        <f t="shared" si="12"/>
        <v>0</v>
      </c>
      <c r="X23" s="1518">
        <f t="shared" si="13"/>
        <v>0</v>
      </c>
      <c r="Y23" s="1518">
        <f t="shared" si="14"/>
        <v>0</v>
      </c>
      <c r="Z23" s="1531">
        <f t="shared" si="15"/>
        <v>0.3</v>
      </c>
      <c r="AA23" s="1533">
        <f t="shared" si="16"/>
        <v>0</v>
      </c>
      <c r="AB23" s="1518">
        <f t="shared" si="17"/>
        <v>0.2</v>
      </c>
      <c r="AC23" s="1519">
        <f t="shared" si="18"/>
        <v>0</v>
      </c>
      <c r="AD23" s="1518">
        <f t="shared" si="19"/>
        <v>0</v>
      </c>
      <c r="AE23" s="1518">
        <f t="shared" si="20"/>
        <v>0</v>
      </c>
      <c r="AG23" s="1547" t="s">
        <v>238</v>
      </c>
      <c r="AH23" s="1593" t="s">
        <v>237</v>
      </c>
      <c r="AI23" s="1964" t="s">
        <v>239</v>
      </c>
      <c r="AJ23" s="1554"/>
      <c r="AK23" s="1554">
        <v>0.2</v>
      </c>
      <c r="AL23" s="1554">
        <v>0.2</v>
      </c>
      <c r="AM23" s="1554">
        <v>0.2</v>
      </c>
      <c r="AN23" s="1554"/>
      <c r="AO23" s="1554"/>
      <c r="AP23" s="1554"/>
      <c r="AQ23" s="1971">
        <v>0.3</v>
      </c>
      <c r="AR23" s="1554"/>
      <c r="AS23" s="1523">
        <v>0.2</v>
      </c>
      <c r="AT23" s="1525"/>
      <c r="AU23" s="1523"/>
      <c r="AV23" s="1523"/>
      <c r="AX23" s="1547" t="s">
        <v>238</v>
      </c>
      <c r="AY23" s="1593" t="s">
        <v>237</v>
      </c>
      <c r="AZ23" s="1964" t="s">
        <v>239</v>
      </c>
      <c r="BA23" s="1615"/>
      <c r="BB23" s="1523">
        <v>0.2</v>
      </c>
      <c r="BC23" s="1523">
        <v>0.2</v>
      </c>
      <c r="BD23" s="1523">
        <v>0.2</v>
      </c>
      <c r="BE23" s="1523"/>
      <c r="BF23" s="1523"/>
      <c r="BG23" s="1523"/>
      <c r="BH23" s="1614">
        <v>0.3</v>
      </c>
      <c r="BI23" s="1615"/>
      <c r="BJ23" s="1523">
        <v>0.2</v>
      </c>
      <c r="BK23" s="1525"/>
      <c r="BL23" s="1523"/>
      <c r="BM23" s="1523"/>
      <c r="BO23" s="1547" t="s">
        <v>238</v>
      </c>
      <c r="BP23" s="1593" t="s">
        <v>237</v>
      </c>
      <c r="BQ23" s="1964" t="s">
        <v>239</v>
      </c>
      <c r="BR23" s="1615"/>
      <c r="BS23" s="1523">
        <v>0.2</v>
      </c>
      <c r="BT23" s="1523">
        <v>0.2</v>
      </c>
      <c r="BU23" s="1523">
        <v>0.2</v>
      </c>
      <c r="BV23" s="1523"/>
      <c r="BW23" s="1523"/>
      <c r="BX23" s="1523"/>
      <c r="BY23" s="1614">
        <v>0.3</v>
      </c>
      <c r="BZ23" s="1615"/>
      <c r="CA23" s="1523">
        <v>0.2</v>
      </c>
      <c r="CB23" s="1525"/>
      <c r="CC23" s="1523"/>
      <c r="CD23" s="1523"/>
    </row>
    <row r="24" spans="1:83">
      <c r="B24" s="1497" t="str">
        <f t="shared" si="0"/>
        <v>2.1.3</v>
      </c>
      <c r="C24" s="1514" t="str">
        <f t="shared" si="1"/>
        <v>外皮性能</v>
      </c>
      <c r="D24" s="1621">
        <f t="shared" si="23"/>
        <v>0.23533519553072627</v>
      </c>
      <c r="E24" s="1591">
        <f t="shared" si="23"/>
        <v>1</v>
      </c>
      <c r="G24" s="1591">
        <f t="shared" si="2"/>
        <v>0.17597911227154048</v>
      </c>
      <c r="H24" s="1591">
        <f t="shared" si="3"/>
        <v>1.2532637075718016E-2</v>
      </c>
      <c r="I24" s="1591"/>
      <c r="J24" s="1591"/>
      <c r="K24" s="1591">
        <f>IF(スコア表示!W24=0,0,1)</f>
        <v>1</v>
      </c>
      <c r="L24" s="1591">
        <f>IF(スコア表示!AA24=0,0,1)</f>
        <v>1</v>
      </c>
      <c r="M24" s="1591">
        <f t="shared" si="4"/>
        <v>0.17597911227154048</v>
      </c>
      <c r="N24" s="1591">
        <f t="shared" si="5"/>
        <v>1.2532637075718016E-2</v>
      </c>
      <c r="P24" s="1547" t="str">
        <f t="shared" si="6"/>
        <v>2.1.3</v>
      </c>
      <c r="Q24" s="1547" t="str">
        <f t="shared" si="7"/>
        <v xml:space="preserve"> Q1 2.1</v>
      </c>
      <c r="R24" s="1637" t="str">
        <f t="shared" si="8"/>
        <v>外皮性能</v>
      </c>
      <c r="S24" s="1518">
        <f t="shared" si="21"/>
        <v>0.2</v>
      </c>
      <c r="T24" s="1518">
        <f t="shared" si="9"/>
        <v>0.2</v>
      </c>
      <c r="U24" s="1518">
        <f t="shared" si="10"/>
        <v>0.1</v>
      </c>
      <c r="V24" s="1518">
        <f t="shared" si="11"/>
        <v>0.1</v>
      </c>
      <c r="W24" s="1518">
        <f t="shared" si="12"/>
        <v>0.2</v>
      </c>
      <c r="X24" s="1518">
        <f t="shared" si="13"/>
        <v>0.2</v>
      </c>
      <c r="Y24" s="1518">
        <f t="shared" si="14"/>
        <v>0.3</v>
      </c>
      <c r="Z24" s="1531">
        <f t="shared" si="15"/>
        <v>0.1</v>
      </c>
      <c r="AA24" s="1518">
        <f t="shared" si="16"/>
        <v>0.2</v>
      </c>
      <c r="AB24" s="1518">
        <f t="shared" si="17"/>
        <v>0.2</v>
      </c>
      <c r="AC24" s="1519">
        <f t="shared" si="18"/>
        <v>0.5</v>
      </c>
      <c r="AD24" s="1518">
        <f t="shared" si="19"/>
        <v>0.5</v>
      </c>
      <c r="AE24" s="1518">
        <f t="shared" si="20"/>
        <v>0.6</v>
      </c>
      <c r="AG24" s="1547" t="s">
        <v>240</v>
      </c>
      <c r="AH24" s="1593" t="s">
        <v>237</v>
      </c>
      <c r="AI24" s="1964" t="s">
        <v>241</v>
      </c>
      <c r="AJ24" s="1518">
        <v>0.2</v>
      </c>
      <c r="AK24" s="1518">
        <v>0.2</v>
      </c>
      <c r="AL24" s="1518">
        <v>0.1</v>
      </c>
      <c r="AM24" s="1518">
        <v>0.1</v>
      </c>
      <c r="AN24" s="1518">
        <v>0.2</v>
      </c>
      <c r="AO24" s="1518">
        <v>0.2</v>
      </c>
      <c r="AP24" s="1518">
        <v>0.3</v>
      </c>
      <c r="AQ24" s="1531">
        <v>0.1</v>
      </c>
      <c r="AR24" s="1518">
        <v>0.2</v>
      </c>
      <c r="AS24" s="1523">
        <v>0.2</v>
      </c>
      <c r="AT24" s="1525">
        <v>0.5</v>
      </c>
      <c r="AU24" s="1523">
        <v>0.5</v>
      </c>
      <c r="AV24" s="1523">
        <v>0.6</v>
      </c>
      <c r="AX24" s="1547" t="s">
        <v>240</v>
      </c>
      <c r="AY24" s="1593" t="s">
        <v>237</v>
      </c>
      <c r="AZ24" s="1964" t="s">
        <v>241</v>
      </c>
      <c r="BA24" s="1523">
        <v>0.2</v>
      </c>
      <c r="BB24" s="1523">
        <v>0.2</v>
      </c>
      <c r="BC24" s="1523">
        <v>0.1</v>
      </c>
      <c r="BD24" s="1523">
        <v>0.1</v>
      </c>
      <c r="BE24" s="1523">
        <v>0.2</v>
      </c>
      <c r="BF24" s="1523">
        <v>0.2</v>
      </c>
      <c r="BG24" s="1523">
        <v>0.3</v>
      </c>
      <c r="BH24" s="1614">
        <v>0.1</v>
      </c>
      <c r="BI24" s="1523">
        <v>0.2</v>
      </c>
      <c r="BJ24" s="1523">
        <v>0.2</v>
      </c>
      <c r="BK24" s="1525">
        <v>0.3</v>
      </c>
      <c r="BL24" s="1523">
        <v>0.3</v>
      </c>
      <c r="BM24" s="1523">
        <v>0.3</v>
      </c>
      <c r="BO24" s="1547" t="s">
        <v>240</v>
      </c>
      <c r="BP24" s="1593" t="s">
        <v>237</v>
      </c>
      <c r="BQ24" s="1964" t="s">
        <v>241</v>
      </c>
      <c r="BR24" s="1523">
        <v>0.2</v>
      </c>
      <c r="BS24" s="1523">
        <v>0.2</v>
      </c>
      <c r="BT24" s="1523">
        <v>0.1</v>
      </c>
      <c r="BU24" s="1523">
        <v>0.1</v>
      </c>
      <c r="BV24" s="1523">
        <v>0.2</v>
      </c>
      <c r="BW24" s="1523">
        <v>0.2</v>
      </c>
      <c r="BX24" s="1523">
        <v>0.3</v>
      </c>
      <c r="BY24" s="1614">
        <v>0.1</v>
      </c>
      <c r="BZ24" s="1523">
        <v>0.2</v>
      </c>
      <c r="CA24" s="1523">
        <v>0.2</v>
      </c>
      <c r="CB24" s="1525">
        <v>0.3</v>
      </c>
      <c r="CC24" s="1523">
        <v>0.3</v>
      </c>
      <c r="CD24" s="1523">
        <v>0.3</v>
      </c>
    </row>
    <row r="25" spans="1:83">
      <c r="B25" s="1497" t="str">
        <f t="shared" si="0"/>
        <v>2.1.4</v>
      </c>
      <c r="C25" s="1514" t="str">
        <f t="shared" si="1"/>
        <v>ゾーン別制御性</v>
      </c>
      <c r="D25" s="1621">
        <f t="shared" si="23"/>
        <v>0.35789106145251398</v>
      </c>
      <c r="E25" s="1591">
        <f t="shared" si="23"/>
        <v>0</v>
      </c>
      <c r="G25" s="1591">
        <f t="shared" si="2"/>
        <v>0.26762402088772846</v>
      </c>
      <c r="H25" s="1591">
        <f t="shared" si="3"/>
        <v>0</v>
      </c>
      <c r="I25" s="1591"/>
      <c r="J25" s="1591"/>
      <c r="K25" s="1591">
        <f>IF(スコア表示!W25=0,0,1)</f>
        <v>1</v>
      </c>
      <c r="L25" s="1591">
        <f>IF(スコア表示!AA25=0,0,1)</f>
        <v>0</v>
      </c>
      <c r="M25" s="1591">
        <f t="shared" si="4"/>
        <v>0.26762402088772846</v>
      </c>
      <c r="N25" s="1591">
        <f t="shared" si="5"/>
        <v>0</v>
      </c>
      <c r="P25" s="1547" t="str">
        <f t="shared" si="6"/>
        <v>2.1.4</v>
      </c>
      <c r="Q25" s="1547" t="str">
        <f t="shared" si="7"/>
        <v xml:space="preserve"> Q1 2.1</v>
      </c>
      <c r="R25" s="1637" t="str">
        <f t="shared" si="8"/>
        <v>ゾーン別制御性</v>
      </c>
      <c r="S25" s="1518">
        <f t="shared" si="21"/>
        <v>0.3</v>
      </c>
      <c r="T25" s="1518">
        <f t="shared" si="9"/>
        <v>0</v>
      </c>
      <c r="U25" s="1518">
        <f t="shared" si="10"/>
        <v>0.2</v>
      </c>
      <c r="V25" s="1518">
        <f t="shared" si="11"/>
        <v>0.2</v>
      </c>
      <c r="W25" s="1518">
        <f t="shared" si="12"/>
        <v>0.3</v>
      </c>
      <c r="X25" s="1518">
        <f t="shared" si="13"/>
        <v>0.3</v>
      </c>
      <c r="Y25" s="1518">
        <f t="shared" si="14"/>
        <v>0</v>
      </c>
      <c r="Z25" s="1531">
        <f t="shared" si="15"/>
        <v>0.2</v>
      </c>
      <c r="AA25" s="1518">
        <f t="shared" si="16"/>
        <v>0.3</v>
      </c>
      <c r="AB25" s="1518">
        <f t="shared" si="17"/>
        <v>0</v>
      </c>
      <c r="AC25" s="1519">
        <f t="shared" si="18"/>
        <v>0</v>
      </c>
      <c r="AD25" s="1518">
        <f t="shared" si="19"/>
        <v>0</v>
      </c>
      <c r="AE25" s="1518">
        <f t="shared" si="20"/>
        <v>0</v>
      </c>
      <c r="AG25" s="1547" t="s">
        <v>242</v>
      </c>
      <c r="AH25" s="1593" t="s">
        <v>237</v>
      </c>
      <c r="AI25" s="1964" t="s">
        <v>243</v>
      </c>
      <c r="AJ25" s="1518">
        <v>0.3</v>
      </c>
      <c r="AK25" s="1518"/>
      <c r="AL25" s="1518">
        <v>0.2</v>
      </c>
      <c r="AM25" s="1518">
        <v>0.2</v>
      </c>
      <c r="AN25" s="1518">
        <v>0.3</v>
      </c>
      <c r="AO25" s="1518">
        <v>0.3</v>
      </c>
      <c r="AP25" s="1518"/>
      <c r="AQ25" s="1531">
        <v>0.2</v>
      </c>
      <c r="AR25" s="1518">
        <v>0.3</v>
      </c>
      <c r="AS25" s="1523">
        <v>0</v>
      </c>
      <c r="AT25" s="1525"/>
      <c r="AU25" s="1523"/>
      <c r="AV25" s="1523"/>
      <c r="AX25" s="1547" t="s">
        <v>242</v>
      </c>
      <c r="AY25" s="1593" t="s">
        <v>237</v>
      </c>
      <c r="AZ25" s="1964" t="s">
        <v>243</v>
      </c>
      <c r="BA25" s="1523">
        <v>0.3</v>
      </c>
      <c r="BB25" s="1523"/>
      <c r="BC25" s="1523">
        <v>0.2</v>
      </c>
      <c r="BD25" s="1523">
        <v>0.2</v>
      </c>
      <c r="BE25" s="1523">
        <v>0.3</v>
      </c>
      <c r="BF25" s="1523">
        <v>0.3</v>
      </c>
      <c r="BG25" s="1523"/>
      <c r="BH25" s="1614">
        <v>0.2</v>
      </c>
      <c r="BI25" s="1523">
        <v>0.3</v>
      </c>
      <c r="BJ25" s="1523"/>
      <c r="BK25" s="1525"/>
      <c r="BL25" s="1523"/>
      <c r="BM25" s="1523"/>
      <c r="BO25" s="1547" t="s">
        <v>242</v>
      </c>
      <c r="BP25" s="1593" t="s">
        <v>237</v>
      </c>
      <c r="BQ25" s="1964" t="s">
        <v>243</v>
      </c>
      <c r="BR25" s="1523">
        <v>0.3</v>
      </c>
      <c r="BS25" s="1523"/>
      <c r="BT25" s="1523">
        <v>0.2</v>
      </c>
      <c r="BU25" s="1523">
        <v>0.2</v>
      </c>
      <c r="BV25" s="1523">
        <v>0.3</v>
      </c>
      <c r="BW25" s="1523">
        <v>0.3</v>
      </c>
      <c r="BX25" s="1523"/>
      <c r="BY25" s="1614">
        <v>0.2</v>
      </c>
      <c r="BZ25" s="1523">
        <v>0.3</v>
      </c>
      <c r="CA25" s="1523"/>
      <c r="CB25" s="1525"/>
      <c r="CC25" s="1523"/>
      <c r="CD25" s="1523"/>
    </row>
    <row r="26" spans="1:83" hidden="1">
      <c r="B26" s="1497" t="str">
        <f t="shared" si="0"/>
        <v>2.1.5</v>
      </c>
      <c r="C26" s="1550" t="str">
        <f t="shared" si="1"/>
        <v>温度・湿度制御</v>
      </c>
      <c r="D26" s="1621">
        <f t="shared" si="23"/>
        <v>0</v>
      </c>
      <c r="E26" s="1591">
        <f t="shared" si="23"/>
        <v>0</v>
      </c>
      <c r="G26" s="1591">
        <f t="shared" si="2"/>
        <v>0</v>
      </c>
      <c r="H26" s="1591">
        <f t="shared" si="3"/>
        <v>0</v>
      </c>
      <c r="I26" s="1591"/>
      <c r="J26" s="1591"/>
      <c r="K26" s="1591">
        <f>IF(スコア表示!W26=0,0,1)</f>
        <v>0</v>
      </c>
      <c r="L26" s="1591">
        <f>IF(スコア表示!AA26=0,0,1)</f>
        <v>0</v>
      </c>
      <c r="M26" s="1591">
        <f t="shared" si="4"/>
        <v>0.10208877284595302</v>
      </c>
      <c r="N26" s="1591">
        <f t="shared" si="5"/>
        <v>0</v>
      </c>
      <c r="P26" s="1547" t="str">
        <f t="shared" si="6"/>
        <v>2.1.5</v>
      </c>
      <c r="Q26" s="1547" t="str">
        <f t="shared" si="7"/>
        <v xml:space="preserve"> Q1 2.1</v>
      </c>
      <c r="R26" s="1637" t="str">
        <f t="shared" si="8"/>
        <v>温度・湿度制御</v>
      </c>
      <c r="S26" s="1518">
        <f t="shared" si="21"/>
        <v>0.1</v>
      </c>
      <c r="T26" s="1518">
        <f t="shared" si="9"/>
        <v>0.1</v>
      </c>
      <c r="U26" s="1518">
        <f t="shared" si="10"/>
        <v>0.1</v>
      </c>
      <c r="V26" s="1518">
        <f t="shared" si="11"/>
        <v>0.1</v>
      </c>
      <c r="W26" s="1518">
        <f t="shared" si="12"/>
        <v>0.1</v>
      </c>
      <c r="X26" s="1518">
        <f t="shared" si="13"/>
        <v>0.1</v>
      </c>
      <c r="Y26" s="1518">
        <f t="shared" si="14"/>
        <v>0.2</v>
      </c>
      <c r="Z26" s="1531">
        <f t="shared" si="15"/>
        <v>0.1</v>
      </c>
      <c r="AA26" s="1518">
        <f t="shared" si="16"/>
        <v>0.1</v>
      </c>
      <c r="AB26" s="1518">
        <f t="shared" si="17"/>
        <v>0.1</v>
      </c>
      <c r="AC26" s="1519">
        <f t="shared" si="18"/>
        <v>0.3</v>
      </c>
      <c r="AD26" s="1518">
        <f t="shared" si="19"/>
        <v>0.3</v>
      </c>
      <c r="AE26" s="1518">
        <f t="shared" si="20"/>
        <v>0</v>
      </c>
      <c r="AG26" s="1547" t="s">
        <v>244</v>
      </c>
      <c r="AH26" s="1593" t="s">
        <v>237</v>
      </c>
      <c r="AI26" s="1964" t="s">
        <v>245</v>
      </c>
      <c r="AJ26" s="1554">
        <v>0.1</v>
      </c>
      <c r="AK26" s="1554">
        <v>0.1</v>
      </c>
      <c r="AL26" s="1554">
        <v>0.1</v>
      </c>
      <c r="AM26" s="1554">
        <v>0.1</v>
      </c>
      <c r="AN26" s="1554">
        <v>0.1</v>
      </c>
      <c r="AO26" s="1554">
        <v>0.1</v>
      </c>
      <c r="AP26" s="1554">
        <v>0.2</v>
      </c>
      <c r="AQ26" s="1971">
        <v>0.1</v>
      </c>
      <c r="AR26" s="1554">
        <v>0.1</v>
      </c>
      <c r="AS26" s="1523">
        <v>0.1</v>
      </c>
      <c r="AT26" s="1525">
        <v>0.3</v>
      </c>
      <c r="AU26" s="1523">
        <v>0.3</v>
      </c>
      <c r="AV26" s="1523"/>
      <c r="AX26" s="1547" t="s">
        <v>244</v>
      </c>
      <c r="AY26" s="1593" t="s">
        <v>237</v>
      </c>
      <c r="AZ26" s="1964" t="s">
        <v>245</v>
      </c>
      <c r="BA26" s="1523">
        <v>0.1</v>
      </c>
      <c r="BB26" s="1523">
        <v>0.1</v>
      </c>
      <c r="BC26" s="1523">
        <v>0.1</v>
      </c>
      <c r="BD26" s="1523">
        <v>0.1</v>
      </c>
      <c r="BE26" s="1523">
        <v>0.1</v>
      </c>
      <c r="BF26" s="1523">
        <v>0.1</v>
      </c>
      <c r="BG26" s="1523">
        <v>0.2</v>
      </c>
      <c r="BH26" s="1614">
        <v>0.1</v>
      </c>
      <c r="BI26" s="1523">
        <v>0.1</v>
      </c>
      <c r="BJ26" s="1523">
        <v>0.1</v>
      </c>
      <c r="BK26" s="1525">
        <v>0.2</v>
      </c>
      <c r="BL26" s="1523">
        <v>0.2</v>
      </c>
      <c r="BM26" s="1523"/>
      <c r="BO26" s="1547" t="s">
        <v>244</v>
      </c>
      <c r="BP26" s="1593" t="s">
        <v>237</v>
      </c>
      <c r="BQ26" s="1964" t="s">
        <v>245</v>
      </c>
      <c r="BR26" s="1523">
        <v>0.1</v>
      </c>
      <c r="BS26" s="1523">
        <v>0.1</v>
      </c>
      <c r="BT26" s="1523">
        <v>0.1</v>
      </c>
      <c r="BU26" s="1523">
        <v>0.1</v>
      </c>
      <c r="BV26" s="1523">
        <v>0.1</v>
      </c>
      <c r="BW26" s="1523">
        <v>0.1</v>
      </c>
      <c r="BX26" s="1523">
        <v>0.2</v>
      </c>
      <c r="BY26" s="1614">
        <v>0.1</v>
      </c>
      <c r="BZ26" s="1523">
        <v>0.1</v>
      </c>
      <c r="CA26" s="1523">
        <v>0.1</v>
      </c>
      <c r="CB26" s="1525">
        <v>0.2</v>
      </c>
      <c r="CC26" s="1523">
        <v>0.2</v>
      </c>
      <c r="CD26" s="1523"/>
    </row>
    <row r="27" spans="1:83" hidden="1">
      <c r="B27" s="1497" t="str">
        <f t="shared" si="0"/>
        <v>2.1.6</v>
      </c>
      <c r="C27" s="1550" t="str">
        <f t="shared" si="1"/>
        <v>個別制御</v>
      </c>
      <c r="D27" s="1621">
        <f t="shared" si="23"/>
        <v>0</v>
      </c>
      <c r="E27" s="1591">
        <f t="shared" si="23"/>
        <v>0</v>
      </c>
      <c r="G27" s="1591">
        <f t="shared" si="2"/>
        <v>0</v>
      </c>
      <c r="H27" s="1591">
        <f t="shared" si="3"/>
        <v>0</v>
      </c>
      <c r="I27" s="1591"/>
      <c r="J27" s="1591"/>
      <c r="K27" s="1591">
        <f>IF(スコア表示!W27=0,0,1)</f>
        <v>0</v>
      </c>
      <c r="L27" s="1591">
        <f>IF(スコア表示!AA27=0,0,1)</f>
        <v>0</v>
      </c>
      <c r="M27" s="1591">
        <f t="shared" si="4"/>
        <v>0</v>
      </c>
      <c r="N27" s="1591">
        <f t="shared" si="5"/>
        <v>8.3550913838120102E-3</v>
      </c>
      <c r="P27" s="1547" t="str">
        <f t="shared" si="6"/>
        <v>2.1.6</v>
      </c>
      <c r="Q27" s="1547" t="str">
        <f t="shared" si="7"/>
        <v xml:space="preserve"> Q1 2.1</v>
      </c>
      <c r="R27" s="1637" t="str">
        <f t="shared" si="8"/>
        <v>個別制御</v>
      </c>
      <c r="S27" s="1518">
        <f t="shared" si="21"/>
        <v>0</v>
      </c>
      <c r="T27" s="1518">
        <f t="shared" si="9"/>
        <v>0</v>
      </c>
      <c r="U27" s="1518">
        <f t="shared" si="10"/>
        <v>0</v>
      </c>
      <c r="V27" s="1518">
        <f t="shared" si="11"/>
        <v>0</v>
      </c>
      <c r="W27" s="1518">
        <f t="shared" si="12"/>
        <v>0</v>
      </c>
      <c r="X27" s="1518">
        <f t="shared" si="13"/>
        <v>0</v>
      </c>
      <c r="Y27" s="1518">
        <f t="shared" si="14"/>
        <v>0</v>
      </c>
      <c r="Z27" s="1531">
        <f t="shared" si="15"/>
        <v>0</v>
      </c>
      <c r="AA27" s="1518">
        <f t="shared" si="16"/>
        <v>0</v>
      </c>
      <c r="AB27" s="1518">
        <f t="shared" si="17"/>
        <v>0</v>
      </c>
      <c r="AC27" s="1519">
        <f t="shared" si="18"/>
        <v>0.2</v>
      </c>
      <c r="AD27" s="1518">
        <f t="shared" si="19"/>
        <v>0.2</v>
      </c>
      <c r="AE27" s="1518">
        <f t="shared" si="20"/>
        <v>0.4</v>
      </c>
      <c r="AG27" s="1547" t="s">
        <v>246</v>
      </c>
      <c r="AH27" s="1593" t="s">
        <v>237</v>
      </c>
      <c r="AI27" s="1964" t="s">
        <v>247</v>
      </c>
      <c r="AJ27" s="1554"/>
      <c r="AK27" s="1554"/>
      <c r="AL27" s="1554"/>
      <c r="AM27" s="1554"/>
      <c r="AN27" s="1554"/>
      <c r="AO27" s="1554"/>
      <c r="AP27" s="1554"/>
      <c r="AQ27" s="1971"/>
      <c r="AR27" s="1554"/>
      <c r="AS27" s="1523">
        <v>0</v>
      </c>
      <c r="AT27" s="1525">
        <v>0.2</v>
      </c>
      <c r="AU27" s="1523">
        <v>0.2</v>
      </c>
      <c r="AV27" s="1523">
        <v>0.4</v>
      </c>
      <c r="AX27" s="1547" t="s">
        <v>246</v>
      </c>
      <c r="AY27" s="1593" t="s">
        <v>237</v>
      </c>
      <c r="AZ27" s="1964" t="s">
        <v>247</v>
      </c>
      <c r="BA27" s="1523"/>
      <c r="BB27" s="1523"/>
      <c r="BC27" s="1523"/>
      <c r="BD27" s="1523"/>
      <c r="BE27" s="1523"/>
      <c r="BF27" s="1523"/>
      <c r="BG27" s="1523"/>
      <c r="BH27" s="1614"/>
      <c r="BI27" s="1523"/>
      <c r="BJ27" s="1523"/>
      <c r="BK27" s="1525">
        <v>0.1</v>
      </c>
      <c r="BL27" s="1523">
        <v>0.1</v>
      </c>
      <c r="BM27" s="1523">
        <v>0.2</v>
      </c>
      <c r="BO27" s="1547" t="s">
        <v>246</v>
      </c>
      <c r="BP27" s="1593" t="s">
        <v>237</v>
      </c>
      <c r="BQ27" s="1964" t="s">
        <v>247</v>
      </c>
      <c r="BR27" s="1523"/>
      <c r="BS27" s="1523"/>
      <c r="BT27" s="1523"/>
      <c r="BU27" s="1523"/>
      <c r="BV27" s="1523"/>
      <c r="BW27" s="1523"/>
      <c r="BX27" s="1523"/>
      <c r="BY27" s="1614"/>
      <c r="BZ27" s="1523"/>
      <c r="CA27" s="1523"/>
      <c r="CB27" s="1525">
        <v>0.1</v>
      </c>
      <c r="CC27" s="1523">
        <v>0.1</v>
      </c>
      <c r="CD27" s="1523">
        <v>0.2</v>
      </c>
    </row>
    <row r="28" spans="1:83" hidden="1">
      <c r="B28" s="1497" t="str">
        <f t="shared" si="0"/>
        <v>2.1.7</v>
      </c>
      <c r="C28" s="1550" t="str">
        <f t="shared" si="1"/>
        <v>時間外空調に対する配慮</v>
      </c>
      <c r="D28" s="1621">
        <f t="shared" si="23"/>
        <v>0</v>
      </c>
      <c r="E28" s="1591">
        <f t="shared" si="23"/>
        <v>0</v>
      </c>
      <c r="G28" s="1591">
        <f t="shared" si="2"/>
        <v>0</v>
      </c>
      <c r="H28" s="1591">
        <f t="shared" si="3"/>
        <v>0</v>
      </c>
      <c r="I28" s="1591"/>
      <c r="J28" s="1591"/>
      <c r="K28" s="1591">
        <f>IF(スコア表示!W28=0,0,1)</f>
        <v>0</v>
      </c>
      <c r="L28" s="1591">
        <f>IF(スコア表示!AA28=0,0,1)</f>
        <v>0</v>
      </c>
      <c r="M28" s="1591">
        <f t="shared" si="4"/>
        <v>7.1801566579634477E-2</v>
      </c>
      <c r="N28" s="1591">
        <f t="shared" si="5"/>
        <v>0</v>
      </c>
      <c r="P28" s="1547" t="str">
        <f t="shared" si="6"/>
        <v>2.1.7</v>
      </c>
      <c r="Q28" s="1547" t="str">
        <f t="shared" si="7"/>
        <v xml:space="preserve"> Q1 2.1</v>
      </c>
      <c r="R28" s="1637" t="str">
        <f t="shared" si="8"/>
        <v>時間外空調に対する配慮</v>
      </c>
      <c r="S28" s="1518">
        <f t="shared" si="21"/>
        <v>0.1</v>
      </c>
      <c r="T28" s="1518">
        <f t="shared" si="9"/>
        <v>0.2</v>
      </c>
      <c r="U28" s="1518">
        <f t="shared" si="10"/>
        <v>0</v>
      </c>
      <c r="V28" s="1518">
        <f t="shared" si="11"/>
        <v>0</v>
      </c>
      <c r="W28" s="1518">
        <f t="shared" si="12"/>
        <v>0.1</v>
      </c>
      <c r="X28" s="1518">
        <f t="shared" si="13"/>
        <v>0.1</v>
      </c>
      <c r="Y28" s="1518">
        <f t="shared" si="14"/>
        <v>0</v>
      </c>
      <c r="Z28" s="1531">
        <f t="shared" si="15"/>
        <v>0</v>
      </c>
      <c r="AA28" s="1518">
        <f t="shared" si="16"/>
        <v>0.1</v>
      </c>
      <c r="AB28" s="1518">
        <f t="shared" si="17"/>
        <v>0.2</v>
      </c>
      <c r="AC28" s="1519">
        <f t="shared" si="18"/>
        <v>0</v>
      </c>
      <c r="AD28" s="1518">
        <f t="shared" si="19"/>
        <v>0</v>
      </c>
      <c r="AE28" s="1518">
        <f t="shared" si="20"/>
        <v>0</v>
      </c>
      <c r="AG28" s="1547" t="s">
        <v>248</v>
      </c>
      <c r="AH28" s="1593" t="s">
        <v>237</v>
      </c>
      <c r="AI28" s="1964" t="s">
        <v>844</v>
      </c>
      <c r="AJ28" s="1554">
        <v>0.1</v>
      </c>
      <c r="AK28" s="1554">
        <v>0.2</v>
      </c>
      <c r="AL28" s="1554"/>
      <c r="AM28" s="1554"/>
      <c r="AN28" s="1554">
        <v>0.1</v>
      </c>
      <c r="AO28" s="1554">
        <v>0.1</v>
      </c>
      <c r="AP28" s="1554"/>
      <c r="AQ28" s="1971"/>
      <c r="AR28" s="1554">
        <v>0.1</v>
      </c>
      <c r="AS28" s="1523">
        <v>0.2</v>
      </c>
      <c r="AT28" s="1525"/>
      <c r="AU28" s="1523"/>
      <c r="AV28" s="1523"/>
      <c r="AX28" s="1547" t="s">
        <v>248</v>
      </c>
      <c r="AY28" s="1593" t="s">
        <v>237</v>
      </c>
      <c r="AZ28" s="1964" t="s">
        <v>844</v>
      </c>
      <c r="BA28" s="1523">
        <v>0.1</v>
      </c>
      <c r="BB28" s="1523">
        <v>0.2</v>
      </c>
      <c r="BC28" s="1523"/>
      <c r="BD28" s="1523"/>
      <c r="BE28" s="1523">
        <v>0.1</v>
      </c>
      <c r="BF28" s="1523">
        <v>0.1</v>
      </c>
      <c r="BG28" s="1523"/>
      <c r="BH28" s="1614"/>
      <c r="BI28" s="1523">
        <v>0.1</v>
      </c>
      <c r="BJ28" s="1523">
        <v>0.2</v>
      </c>
      <c r="BK28" s="1525"/>
      <c r="BL28" s="1523"/>
      <c r="BM28" s="1523"/>
      <c r="BO28" s="1547" t="s">
        <v>248</v>
      </c>
      <c r="BP28" s="1593" t="s">
        <v>237</v>
      </c>
      <c r="BQ28" s="1964" t="s">
        <v>844</v>
      </c>
      <c r="BR28" s="1523">
        <v>0.1</v>
      </c>
      <c r="BS28" s="1523">
        <v>0.2</v>
      </c>
      <c r="BT28" s="1523"/>
      <c r="BU28" s="1523"/>
      <c r="BV28" s="1523">
        <v>0.1</v>
      </c>
      <c r="BW28" s="1523">
        <v>0.1</v>
      </c>
      <c r="BX28" s="1523"/>
      <c r="BY28" s="1614"/>
      <c r="BZ28" s="1523">
        <v>0.1</v>
      </c>
      <c r="CA28" s="1523">
        <v>0.2</v>
      </c>
      <c r="CB28" s="1525"/>
      <c r="CC28" s="1523"/>
      <c r="CD28" s="1523"/>
    </row>
    <row r="29" spans="1:83" hidden="1">
      <c r="B29" s="1497" t="str">
        <f t="shared" si="0"/>
        <v>2.1.8</v>
      </c>
      <c r="C29" s="1550" t="str">
        <f t="shared" si="1"/>
        <v>監視システム</v>
      </c>
      <c r="D29" s="1621">
        <f t="shared" si="23"/>
        <v>0</v>
      </c>
      <c r="E29" s="1591">
        <f t="shared" si="23"/>
        <v>0</v>
      </c>
      <c r="G29" s="1591">
        <f t="shared" si="2"/>
        <v>0</v>
      </c>
      <c r="H29" s="1591">
        <f t="shared" si="3"/>
        <v>0</v>
      </c>
      <c r="I29" s="1591"/>
      <c r="J29" s="1591"/>
      <c r="K29" s="1591">
        <f>IF(スコア表示!W29=0,0,1)</f>
        <v>0</v>
      </c>
      <c r="L29" s="1591">
        <f>IF(スコア表示!AA29=0,0,1)</f>
        <v>0</v>
      </c>
      <c r="M29" s="1591">
        <f t="shared" si="4"/>
        <v>2.6109660574412538E-2</v>
      </c>
      <c r="N29" s="1591">
        <f t="shared" si="5"/>
        <v>0</v>
      </c>
      <c r="P29" s="1547" t="str">
        <f t="shared" si="6"/>
        <v>2.1.8</v>
      </c>
      <c r="Q29" s="1547" t="str">
        <f t="shared" si="7"/>
        <v xml:space="preserve"> Q1 2.1</v>
      </c>
      <c r="R29" s="1637" t="str">
        <f t="shared" si="8"/>
        <v>監視システム</v>
      </c>
      <c r="S29" s="1518">
        <f t="shared" si="21"/>
        <v>0</v>
      </c>
      <c r="T29" s="1518">
        <f t="shared" si="9"/>
        <v>0</v>
      </c>
      <c r="U29" s="1518">
        <f t="shared" si="10"/>
        <v>0.1</v>
      </c>
      <c r="V29" s="1518">
        <f t="shared" si="11"/>
        <v>0.1</v>
      </c>
      <c r="W29" s="1518">
        <f t="shared" si="12"/>
        <v>0</v>
      </c>
      <c r="X29" s="1518">
        <f t="shared" si="13"/>
        <v>0</v>
      </c>
      <c r="Y29" s="1518">
        <f t="shared" si="14"/>
        <v>0</v>
      </c>
      <c r="Z29" s="1531">
        <f t="shared" si="15"/>
        <v>0</v>
      </c>
      <c r="AA29" s="1518">
        <f t="shared" si="16"/>
        <v>0</v>
      </c>
      <c r="AB29" s="1518">
        <f t="shared" si="17"/>
        <v>0</v>
      </c>
      <c r="AC29" s="1519">
        <f t="shared" si="18"/>
        <v>0</v>
      </c>
      <c r="AD29" s="1518">
        <f t="shared" si="19"/>
        <v>0</v>
      </c>
      <c r="AE29" s="1518">
        <f t="shared" si="20"/>
        <v>0</v>
      </c>
      <c r="AG29" s="1547" t="s">
        <v>249</v>
      </c>
      <c r="AH29" s="1593" t="s">
        <v>237</v>
      </c>
      <c r="AI29" s="1964" t="s">
        <v>250</v>
      </c>
      <c r="AJ29" s="1554"/>
      <c r="AK29" s="1554"/>
      <c r="AL29" s="1554">
        <v>0.1</v>
      </c>
      <c r="AM29" s="1554">
        <v>0.1</v>
      </c>
      <c r="AN29" s="1554"/>
      <c r="AO29" s="1554"/>
      <c r="AP29" s="1554"/>
      <c r="AQ29" s="1971"/>
      <c r="AR29" s="1554"/>
      <c r="AS29" s="1523">
        <v>0</v>
      </c>
      <c r="AT29" s="1525"/>
      <c r="AU29" s="1523"/>
      <c r="AV29" s="1523"/>
      <c r="AX29" s="1547" t="s">
        <v>249</v>
      </c>
      <c r="AY29" s="1593" t="s">
        <v>237</v>
      </c>
      <c r="AZ29" s="1964" t="s">
        <v>250</v>
      </c>
      <c r="BA29" s="1523"/>
      <c r="BB29" s="1523"/>
      <c r="BC29" s="1523">
        <v>0.1</v>
      </c>
      <c r="BD29" s="1523">
        <v>0.1</v>
      </c>
      <c r="BE29" s="1523"/>
      <c r="BF29" s="1523"/>
      <c r="BG29" s="1523"/>
      <c r="BH29" s="1614"/>
      <c r="BI29" s="1523"/>
      <c r="BJ29" s="1523"/>
      <c r="BK29" s="1525"/>
      <c r="BL29" s="1523"/>
      <c r="BM29" s="1523"/>
      <c r="BO29" s="1547" t="s">
        <v>249</v>
      </c>
      <c r="BP29" s="1593" t="s">
        <v>237</v>
      </c>
      <c r="BQ29" s="1964" t="s">
        <v>250</v>
      </c>
      <c r="BR29" s="1523"/>
      <c r="BS29" s="1523"/>
      <c r="BT29" s="1523">
        <v>0.1</v>
      </c>
      <c r="BU29" s="1523">
        <v>0.1</v>
      </c>
      <c r="BV29" s="1523"/>
      <c r="BW29" s="1523"/>
      <c r="BX29" s="1523"/>
      <c r="BY29" s="1614"/>
      <c r="BZ29" s="1523"/>
      <c r="CA29" s="1523"/>
      <c r="CB29" s="1525"/>
      <c r="CC29" s="1523"/>
      <c r="CD29" s="1523"/>
    </row>
    <row r="30" spans="1:83">
      <c r="B30" s="1497">
        <f t="shared" si="0"/>
        <v>2.2000000000000002</v>
      </c>
      <c r="C30" s="1530" t="str">
        <f t="shared" si="1"/>
        <v>湿度制御</v>
      </c>
      <c r="D30" s="1616">
        <f>IF(I$20=0,0,G30/I$20)</f>
        <v>0.19999999999999998</v>
      </c>
      <c r="E30" s="1591">
        <f>IF(J$20=0,0,H30/J$20)</f>
        <v>0</v>
      </c>
      <c r="G30" s="1591">
        <f t="shared" si="2"/>
        <v>0.20000000000000004</v>
      </c>
      <c r="H30" s="1591">
        <f t="shared" si="3"/>
        <v>0</v>
      </c>
      <c r="I30" s="1591"/>
      <c r="J30" s="1591"/>
      <c r="K30" s="1591">
        <f>IF(スコア表示!W30=0,0,1)</f>
        <v>1</v>
      </c>
      <c r="L30" s="1591">
        <f>IF(スコア表示!AA30=0,0,1)</f>
        <v>0</v>
      </c>
      <c r="M30" s="1591">
        <f t="shared" si="4"/>
        <v>0.20000000000000004</v>
      </c>
      <c r="N30" s="1591">
        <f t="shared" si="5"/>
        <v>0</v>
      </c>
      <c r="P30" s="1547">
        <f t="shared" si="6"/>
        <v>2.2000000000000002</v>
      </c>
      <c r="Q30" s="1547" t="str">
        <f t="shared" si="7"/>
        <v xml:space="preserve"> Q1 2</v>
      </c>
      <c r="R30" s="1637" t="str">
        <f t="shared" si="8"/>
        <v>湿度制御</v>
      </c>
      <c r="S30" s="1518">
        <f t="shared" si="21"/>
        <v>0.2</v>
      </c>
      <c r="T30" s="1518">
        <f t="shared" si="9"/>
        <v>0.2</v>
      </c>
      <c r="U30" s="1518">
        <f t="shared" si="10"/>
        <v>0.2</v>
      </c>
      <c r="V30" s="1518">
        <f t="shared" si="11"/>
        <v>0.2</v>
      </c>
      <c r="W30" s="1518">
        <f t="shared" si="12"/>
        <v>0.2</v>
      </c>
      <c r="X30" s="1518">
        <f t="shared" si="13"/>
        <v>0.2</v>
      </c>
      <c r="Y30" s="1518">
        <f t="shared" si="14"/>
        <v>0.2</v>
      </c>
      <c r="Z30" s="1531">
        <f t="shared" si="15"/>
        <v>0.2</v>
      </c>
      <c r="AA30" s="1518">
        <f t="shared" si="16"/>
        <v>0.2</v>
      </c>
      <c r="AB30" s="1518">
        <f t="shared" si="17"/>
        <v>0.2</v>
      </c>
      <c r="AC30" s="1519">
        <f t="shared" si="18"/>
        <v>0</v>
      </c>
      <c r="AD30" s="1518">
        <f t="shared" si="19"/>
        <v>0</v>
      </c>
      <c r="AE30" s="1518">
        <f t="shared" si="20"/>
        <v>0</v>
      </c>
      <c r="AG30" s="1547">
        <v>2.2000000000000002</v>
      </c>
      <c r="AH30" s="1593" t="s">
        <v>236</v>
      </c>
      <c r="AI30" s="1637" t="s">
        <v>878</v>
      </c>
      <c r="AJ30" s="1518">
        <v>0.2</v>
      </c>
      <c r="AK30" s="1518">
        <v>0.2</v>
      </c>
      <c r="AL30" s="1518">
        <v>0.2</v>
      </c>
      <c r="AM30" s="1518">
        <v>0.2</v>
      </c>
      <c r="AN30" s="1518">
        <v>0.2</v>
      </c>
      <c r="AO30" s="1518">
        <v>0.2</v>
      </c>
      <c r="AP30" s="1518">
        <v>0.2</v>
      </c>
      <c r="AQ30" s="1531">
        <v>0.2</v>
      </c>
      <c r="AR30" s="1518">
        <v>0.2</v>
      </c>
      <c r="AS30" s="1523">
        <v>0.2</v>
      </c>
      <c r="AT30" s="1525"/>
      <c r="AU30" s="1523"/>
      <c r="AV30" s="1523"/>
      <c r="AX30" s="1547">
        <v>2.2000000000000002</v>
      </c>
      <c r="AY30" s="1593" t="s">
        <v>236</v>
      </c>
      <c r="AZ30" s="1637" t="s">
        <v>878</v>
      </c>
      <c r="BA30" s="1523">
        <v>0.2</v>
      </c>
      <c r="BB30" s="1523">
        <v>0.2</v>
      </c>
      <c r="BC30" s="1523">
        <v>0.2</v>
      </c>
      <c r="BD30" s="1523">
        <v>0.2</v>
      </c>
      <c r="BE30" s="1523">
        <v>0.2</v>
      </c>
      <c r="BF30" s="1523">
        <v>0.2</v>
      </c>
      <c r="BG30" s="1523">
        <v>0.2</v>
      </c>
      <c r="BH30" s="1614">
        <v>0.2</v>
      </c>
      <c r="BI30" s="1523">
        <v>0.2</v>
      </c>
      <c r="BJ30" s="1523">
        <v>0.2</v>
      </c>
      <c r="BK30" s="1525">
        <v>0.2</v>
      </c>
      <c r="BL30" s="1523">
        <v>0.2</v>
      </c>
      <c r="BM30" s="1523">
        <v>0.2</v>
      </c>
      <c r="BO30" s="1547">
        <v>2.2000000000000002</v>
      </c>
      <c r="BP30" s="1593" t="s">
        <v>236</v>
      </c>
      <c r="BQ30" s="1637" t="s">
        <v>878</v>
      </c>
      <c r="BR30" s="1523">
        <v>0.2</v>
      </c>
      <c r="BS30" s="1523">
        <v>0.2</v>
      </c>
      <c r="BT30" s="1523">
        <v>0.2</v>
      </c>
      <c r="BU30" s="1523">
        <v>0.2</v>
      </c>
      <c r="BV30" s="1523">
        <v>0.2</v>
      </c>
      <c r="BW30" s="1523">
        <v>0.2</v>
      </c>
      <c r="BX30" s="1523">
        <v>0.2</v>
      </c>
      <c r="BY30" s="1614">
        <v>0.2</v>
      </c>
      <c r="BZ30" s="1523">
        <v>0.2</v>
      </c>
      <c r="CA30" s="1523">
        <v>0.2</v>
      </c>
      <c r="CB30" s="1525">
        <v>0.2</v>
      </c>
      <c r="CC30" s="1523">
        <v>0.2</v>
      </c>
      <c r="CD30" s="1523">
        <v>0.2</v>
      </c>
    </row>
    <row r="31" spans="1:83">
      <c r="B31" s="1497">
        <f t="shared" si="0"/>
        <v>2.2999999999999998</v>
      </c>
      <c r="C31" s="1530" t="str">
        <f t="shared" si="1"/>
        <v>空調方式</v>
      </c>
      <c r="D31" s="1616">
        <f>IF(I$20=0,0,G31/I$20)</f>
        <v>0.29999999999999993</v>
      </c>
      <c r="E31" s="1591">
        <f>IF(J$20=0,0,H31/J$20)</f>
        <v>0</v>
      </c>
      <c r="G31" s="1591">
        <f t="shared" si="2"/>
        <v>0.3</v>
      </c>
      <c r="H31" s="1591">
        <f t="shared" si="3"/>
        <v>0</v>
      </c>
      <c r="I31" s="1591">
        <f>SUM(G32:G33)</f>
        <v>1.0000000000000002</v>
      </c>
      <c r="J31" s="1591">
        <f>SUM(H32:H33)</f>
        <v>0</v>
      </c>
      <c r="K31" s="1591">
        <f>IF(スコア表示!W31=0,0,1)</f>
        <v>1</v>
      </c>
      <c r="L31" s="1591">
        <f>IF(スコア表示!AA31=0,0,1)</f>
        <v>0</v>
      </c>
      <c r="M31" s="1591">
        <f t="shared" si="4"/>
        <v>0.3</v>
      </c>
      <c r="N31" s="1591">
        <f t="shared" si="5"/>
        <v>0</v>
      </c>
      <c r="P31" s="1547">
        <f t="shared" si="6"/>
        <v>2.2999999999999998</v>
      </c>
      <c r="Q31" s="1547" t="str">
        <f t="shared" si="7"/>
        <v xml:space="preserve"> Q1 2</v>
      </c>
      <c r="R31" s="1637" t="str">
        <f t="shared" si="8"/>
        <v>空調方式</v>
      </c>
      <c r="S31" s="1518">
        <f t="shared" si="21"/>
        <v>0.3</v>
      </c>
      <c r="T31" s="1518">
        <f t="shared" si="9"/>
        <v>0.3</v>
      </c>
      <c r="U31" s="1518">
        <f t="shared" si="10"/>
        <v>0.3</v>
      </c>
      <c r="V31" s="1518">
        <f t="shared" si="11"/>
        <v>0.3</v>
      </c>
      <c r="W31" s="1518">
        <f t="shared" si="12"/>
        <v>0.3</v>
      </c>
      <c r="X31" s="1518">
        <f t="shared" si="13"/>
        <v>0.3</v>
      </c>
      <c r="Y31" s="1518">
        <f t="shared" si="14"/>
        <v>0.3</v>
      </c>
      <c r="Z31" s="1531">
        <f t="shared" si="15"/>
        <v>0.3</v>
      </c>
      <c r="AA31" s="1518">
        <f t="shared" si="16"/>
        <v>0.3</v>
      </c>
      <c r="AB31" s="1518">
        <f t="shared" si="17"/>
        <v>0.3</v>
      </c>
      <c r="AC31" s="1519">
        <f t="shared" si="18"/>
        <v>0</v>
      </c>
      <c r="AD31" s="1518">
        <f t="shared" si="19"/>
        <v>0</v>
      </c>
      <c r="AE31" s="1518">
        <f t="shared" si="20"/>
        <v>0</v>
      </c>
      <c r="AG31" s="1547">
        <v>2.2999999999999998</v>
      </c>
      <c r="AH31" s="1593" t="s">
        <v>236</v>
      </c>
      <c r="AI31" s="1637" t="s">
        <v>564</v>
      </c>
      <c r="AJ31" s="1518">
        <v>0.3</v>
      </c>
      <c r="AK31" s="1518">
        <v>0.3</v>
      </c>
      <c r="AL31" s="1518">
        <v>0.3</v>
      </c>
      <c r="AM31" s="1518">
        <v>0.3</v>
      </c>
      <c r="AN31" s="1518">
        <v>0.3</v>
      </c>
      <c r="AO31" s="1518">
        <v>0.3</v>
      </c>
      <c r="AP31" s="1518">
        <v>0.3</v>
      </c>
      <c r="AQ31" s="1531">
        <v>0.3</v>
      </c>
      <c r="AR31" s="1518">
        <v>0.3</v>
      </c>
      <c r="AS31" s="2254">
        <v>0.3</v>
      </c>
      <c r="AT31" s="1525"/>
      <c r="AU31" s="1523"/>
      <c r="AV31" s="1523"/>
      <c r="AX31" s="1547">
        <v>2.2999999999999998</v>
      </c>
      <c r="AY31" s="1593" t="s">
        <v>236</v>
      </c>
      <c r="AZ31" s="1637" t="s">
        <v>564</v>
      </c>
      <c r="BA31" s="1523">
        <v>0.3</v>
      </c>
      <c r="BB31" s="1523">
        <v>0.3</v>
      </c>
      <c r="BC31" s="1523">
        <v>0.3</v>
      </c>
      <c r="BD31" s="1523">
        <v>0.3</v>
      </c>
      <c r="BE31" s="1523">
        <v>0.3</v>
      </c>
      <c r="BF31" s="1523">
        <v>0.3</v>
      </c>
      <c r="BG31" s="1523">
        <v>0.3</v>
      </c>
      <c r="BH31" s="1614">
        <v>0.3</v>
      </c>
      <c r="BI31" s="1523">
        <v>0.3</v>
      </c>
      <c r="BJ31" s="1523">
        <v>0.3</v>
      </c>
      <c r="BK31" s="1525">
        <v>0.3</v>
      </c>
      <c r="BL31" s="1523">
        <v>0.3</v>
      </c>
      <c r="BM31" s="1523">
        <v>0.3</v>
      </c>
      <c r="BO31" s="1547">
        <v>2.2999999999999998</v>
      </c>
      <c r="BP31" s="1593" t="s">
        <v>236</v>
      </c>
      <c r="BQ31" s="1637" t="s">
        <v>564</v>
      </c>
      <c r="BR31" s="1523">
        <v>0.3</v>
      </c>
      <c r="BS31" s="1523">
        <v>0.3</v>
      </c>
      <c r="BT31" s="1523">
        <v>0.3</v>
      </c>
      <c r="BU31" s="1523">
        <v>0.3</v>
      </c>
      <c r="BV31" s="1523">
        <v>0.3</v>
      </c>
      <c r="BW31" s="1523">
        <v>0.3</v>
      </c>
      <c r="BX31" s="1523">
        <v>0.3</v>
      </c>
      <c r="BY31" s="1614">
        <v>0.3</v>
      </c>
      <c r="BZ31" s="1523">
        <v>0.3</v>
      </c>
      <c r="CA31" s="1523">
        <v>0.3</v>
      </c>
      <c r="CB31" s="1525">
        <v>0.3</v>
      </c>
      <c r="CC31" s="1523">
        <v>0.3</v>
      </c>
      <c r="CD31" s="1523">
        <v>0.3</v>
      </c>
    </row>
    <row r="32" spans="1:83">
      <c r="B32" s="1497" t="str">
        <f t="shared" si="0"/>
        <v>2.3.1</v>
      </c>
      <c r="C32" s="1560" t="str">
        <f t="shared" si="1"/>
        <v>上下温度差</v>
      </c>
      <c r="D32" s="1621">
        <f>IF(I$31&gt;0,G32/I$31,0)</f>
        <v>0.5</v>
      </c>
      <c r="E32" s="1591">
        <f>IF(J$31&gt;0,H32/J$31,0)</f>
        <v>0</v>
      </c>
      <c r="G32" s="1591">
        <f t="shared" si="2"/>
        <v>0.50000000000000011</v>
      </c>
      <c r="H32" s="1591">
        <f t="shared" si="3"/>
        <v>0</v>
      </c>
      <c r="I32" s="1591"/>
      <c r="J32" s="1591"/>
      <c r="K32" s="1591">
        <f>IF(スコア表示!W32=0,0,1)</f>
        <v>1</v>
      </c>
      <c r="L32" s="1591">
        <f>IF(スコア表示!AA32=0,0,1)</f>
        <v>0</v>
      </c>
      <c r="M32" s="1591">
        <f t="shared" si="4"/>
        <v>0.50000000000000011</v>
      </c>
      <c r="N32" s="1591">
        <f t="shared" si="5"/>
        <v>0</v>
      </c>
      <c r="P32" s="1547" t="str">
        <f t="shared" si="6"/>
        <v>2.3.1</v>
      </c>
      <c r="Q32" s="1547" t="str">
        <f t="shared" si="7"/>
        <v xml:space="preserve"> Q1 2.3</v>
      </c>
      <c r="R32" s="1637" t="str">
        <f t="shared" si="8"/>
        <v>上下温度差</v>
      </c>
      <c r="S32" s="1518">
        <f t="shared" si="21"/>
        <v>0.5</v>
      </c>
      <c r="T32" s="1518">
        <f t="shared" si="9"/>
        <v>0.5</v>
      </c>
      <c r="U32" s="1518">
        <f t="shared" si="10"/>
        <v>0.5</v>
      </c>
      <c r="V32" s="1518">
        <f t="shared" si="11"/>
        <v>0.5</v>
      </c>
      <c r="W32" s="1518">
        <f t="shared" si="12"/>
        <v>0.5</v>
      </c>
      <c r="X32" s="1518">
        <f t="shared" si="13"/>
        <v>0.5</v>
      </c>
      <c r="Y32" s="1518">
        <f t="shared" si="14"/>
        <v>0.5</v>
      </c>
      <c r="Z32" s="1531">
        <f t="shared" si="15"/>
        <v>0.5</v>
      </c>
      <c r="AA32" s="1518">
        <f t="shared" si="16"/>
        <v>0.5</v>
      </c>
      <c r="AB32" s="1518">
        <f t="shared" si="17"/>
        <v>0.5</v>
      </c>
      <c r="AC32" s="1519">
        <f t="shared" si="18"/>
        <v>0</v>
      </c>
      <c r="AD32" s="1518">
        <f t="shared" si="19"/>
        <v>0</v>
      </c>
      <c r="AE32" s="1518">
        <f t="shared" si="20"/>
        <v>0</v>
      </c>
      <c r="AG32" s="1547" t="s">
        <v>1537</v>
      </c>
      <c r="AH32" s="1593" t="s">
        <v>251</v>
      </c>
      <c r="AI32" s="1637" t="s">
        <v>566</v>
      </c>
      <c r="AJ32" s="1518">
        <v>0.5</v>
      </c>
      <c r="AK32" s="1518">
        <v>0.5</v>
      </c>
      <c r="AL32" s="1518">
        <v>0.5</v>
      </c>
      <c r="AM32" s="1518">
        <v>0.5</v>
      </c>
      <c r="AN32" s="1518">
        <v>0.5</v>
      </c>
      <c r="AO32" s="1518">
        <v>0.5</v>
      </c>
      <c r="AP32" s="1518">
        <v>0.5</v>
      </c>
      <c r="AQ32" s="1531">
        <v>0.5</v>
      </c>
      <c r="AR32" s="1518">
        <v>0.5</v>
      </c>
      <c r="AS32" s="2254">
        <v>0.5</v>
      </c>
      <c r="AT32" s="1525"/>
      <c r="AU32" s="1525"/>
      <c r="AV32" s="1525"/>
      <c r="AX32" s="1967" t="s">
        <v>1328</v>
      </c>
      <c r="AY32" s="1969" t="s">
        <v>251</v>
      </c>
      <c r="AZ32" s="1970" t="s">
        <v>566</v>
      </c>
      <c r="BA32" s="1974"/>
      <c r="BB32" s="1974"/>
      <c r="BC32" s="1974"/>
      <c r="BD32" s="1974"/>
      <c r="BE32" s="1974"/>
      <c r="BF32" s="1974"/>
      <c r="BG32" s="1974"/>
      <c r="BH32" s="1975"/>
      <c r="BI32" s="1974"/>
      <c r="BJ32" s="1974"/>
      <c r="BK32" s="1976"/>
      <c r="BL32" s="1974"/>
      <c r="BM32" s="1974"/>
      <c r="BO32" s="1967" t="s">
        <v>1485</v>
      </c>
      <c r="BP32" s="1969" t="s">
        <v>251</v>
      </c>
      <c r="BQ32" s="1970" t="s">
        <v>566</v>
      </c>
      <c r="BR32" s="1974"/>
      <c r="BS32" s="1974"/>
      <c r="BT32" s="1974"/>
      <c r="BU32" s="1974"/>
      <c r="BV32" s="1974"/>
      <c r="BW32" s="1974"/>
      <c r="BX32" s="1974"/>
      <c r="BY32" s="1975"/>
      <c r="BZ32" s="1974"/>
      <c r="CA32" s="1974"/>
      <c r="CB32" s="1976"/>
      <c r="CC32" s="1974"/>
      <c r="CD32" s="1974"/>
    </row>
    <row r="33" spans="1:83">
      <c r="B33" s="1497" t="str">
        <f t="shared" si="0"/>
        <v>2.3.2</v>
      </c>
      <c r="C33" s="1560" t="str">
        <f t="shared" si="1"/>
        <v>平均気流速度</v>
      </c>
      <c r="D33" s="1621">
        <f>IF(I$31&gt;0,G33/I$31,0)</f>
        <v>0.5</v>
      </c>
      <c r="E33" s="1591">
        <f>IF(J$31&gt;0,H33/J$31,0)</f>
        <v>0</v>
      </c>
      <c r="G33" s="1591">
        <f t="shared" si="2"/>
        <v>0.50000000000000011</v>
      </c>
      <c r="H33" s="1591">
        <f t="shared" si="3"/>
        <v>0</v>
      </c>
      <c r="I33" s="1591"/>
      <c r="J33" s="1591"/>
      <c r="K33" s="1591">
        <f>IF(スコア表示!W33=0,0,1)</f>
        <v>1</v>
      </c>
      <c r="L33" s="1591">
        <f>IF(スコア表示!AA33=0,0,1)</f>
        <v>0</v>
      </c>
      <c r="M33" s="1591">
        <f t="shared" si="4"/>
        <v>0.50000000000000011</v>
      </c>
      <c r="N33" s="1591">
        <f t="shared" si="5"/>
        <v>0</v>
      </c>
      <c r="P33" s="1547" t="str">
        <f t="shared" si="6"/>
        <v>2.3.2</v>
      </c>
      <c r="Q33" s="1547" t="str">
        <f t="shared" si="7"/>
        <v xml:space="preserve"> Q1 2.3</v>
      </c>
      <c r="R33" s="1637" t="str">
        <f t="shared" si="8"/>
        <v>平均気流速度</v>
      </c>
      <c r="S33" s="1518">
        <f t="shared" si="21"/>
        <v>0.5</v>
      </c>
      <c r="T33" s="1518">
        <f t="shared" si="9"/>
        <v>0.5</v>
      </c>
      <c r="U33" s="1518">
        <f t="shared" si="10"/>
        <v>0.5</v>
      </c>
      <c r="V33" s="1518">
        <f t="shared" si="11"/>
        <v>0.5</v>
      </c>
      <c r="W33" s="1518">
        <f t="shared" si="12"/>
        <v>0.5</v>
      </c>
      <c r="X33" s="1518">
        <f t="shared" si="13"/>
        <v>0.5</v>
      </c>
      <c r="Y33" s="1518">
        <f t="shared" si="14"/>
        <v>0.5</v>
      </c>
      <c r="Z33" s="1531">
        <f t="shared" si="15"/>
        <v>0.5</v>
      </c>
      <c r="AA33" s="1518">
        <f t="shared" si="16"/>
        <v>0.5</v>
      </c>
      <c r="AB33" s="1518">
        <f t="shared" si="17"/>
        <v>0.5</v>
      </c>
      <c r="AC33" s="1519">
        <f t="shared" si="18"/>
        <v>0</v>
      </c>
      <c r="AD33" s="1518">
        <f t="shared" si="19"/>
        <v>0</v>
      </c>
      <c r="AE33" s="1518">
        <f t="shared" si="20"/>
        <v>0</v>
      </c>
      <c r="AG33" s="1547" t="s">
        <v>1538</v>
      </c>
      <c r="AH33" s="1593" t="s">
        <v>251</v>
      </c>
      <c r="AI33" s="1637" t="s">
        <v>569</v>
      </c>
      <c r="AJ33" s="1518">
        <v>0.5</v>
      </c>
      <c r="AK33" s="1518">
        <v>0.5</v>
      </c>
      <c r="AL33" s="1518">
        <v>0.5</v>
      </c>
      <c r="AM33" s="1518">
        <v>0.5</v>
      </c>
      <c r="AN33" s="1518">
        <v>0.5</v>
      </c>
      <c r="AO33" s="1518">
        <v>0.5</v>
      </c>
      <c r="AP33" s="1518">
        <v>0.5</v>
      </c>
      <c r="AQ33" s="1518">
        <v>0.5</v>
      </c>
      <c r="AR33" s="1518">
        <v>0.5</v>
      </c>
      <c r="AS33" s="2254">
        <v>0.5</v>
      </c>
      <c r="AT33" s="1525"/>
      <c r="AU33" s="1525"/>
      <c r="AV33" s="1525"/>
      <c r="AX33" s="1967" t="s">
        <v>1330</v>
      </c>
      <c r="AY33" s="1969" t="s">
        <v>251</v>
      </c>
      <c r="AZ33" s="1970" t="s">
        <v>569</v>
      </c>
      <c r="BA33" s="1974"/>
      <c r="BB33" s="1974"/>
      <c r="BC33" s="1974"/>
      <c r="BD33" s="1974"/>
      <c r="BE33" s="1974"/>
      <c r="BF33" s="1974"/>
      <c r="BG33" s="1974"/>
      <c r="BH33" s="1975"/>
      <c r="BI33" s="1974"/>
      <c r="BJ33" s="1974"/>
      <c r="BK33" s="1976"/>
      <c r="BL33" s="1974"/>
      <c r="BM33" s="1974"/>
      <c r="BO33" s="1967" t="s">
        <v>1486</v>
      </c>
      <c r="BP33" s="1969" t="s">
        <v>251</v>
      </c>
      <c r="BQ33" s="1970" t="s">
        <v>569</v>
      </c>
      <c r="BR33" s="1974"/>
      <c r="BS33" s="1974"/>
      <c r="BT33" s="1974"/>
      <c r="BU33" s="1974"/>
      <c r="BV33" s="1974"/>
      <c r="BW33" s="1974"/>
      <c r="BX33" s="1974"/>
      <c r="BY33" s="1975"/>
      <c r="BZ33" s="1974"/>
      <c r="CA33" s="1974"/>
      <c r="CB33" s="1976"/>
      <c r="CC33" s="1974"/>
      <c r="CD33" s="1974"/>
    </row>
    <row r="34" spans="1:83" s="1505" customFormat="1">
      <c r="A34"/>
      <c r="B34" s="1497">
        <f t="shared" si="0"/>
        <v>3</v>
      </c>
      <c r="C34" s="1507" t="str">
        <f t="shared" si="1"/>
        <v>光・視環境</v>
      </c>
      <c r="D34" s="1962">
        <f>IF(I$9=0,0,G34/I$9)</f>
        <v>0.25000000000000006</v>
      </c>
      <c r="E34" s="1643">
        <f>IF(J$9=0,0,H34/J$9)</f>
        <v>0.25</v>
      </c>
      <c r="F34"/>
      <c r="G34" s="1643">
        <f t="shared" si="2"/>
        <v>0.25000000000000006</v>
      </c>
      <c r="H34" s="1643">
        <f t="shared" si="3"/>
        <v>1</v>
      </c>
      <c r="I34" s="1643">
        <f>G35+G39+G43+G46</f>
        <v>1</v>
      </c>
      <c r="J34" s="1643">
        <f>H35+H39+H43+H46</f>
        <v>2.0887728459530026E-2</v>
      </c>
      <c r="K34" s="1643">
        <f>IF(スコア表示!W34=0,0,1)</f>
        <v>1</v>
      </c>
      <c r="L34" s="1643">
        <f>IF(スコア表示!AA34=0,0,1)</f>
        <v>1</v>
      </c>
      <c r="M34" s="1643">
        <f t="shared" si="4"/>
        <v>0.25000000000000006</v>
      </c>
      <c r="N34" s="1643">
        <v>1</v>
      </c>
      <c r="O34"/>
      <c r="P34" s="1541">
        <f t="shared" si="6"/>
        <v>3</v>
      </c>
      <c r="Q34" s="1541" t="str">
        <f t="shared" si="7"/>
        <v xml:space="preserve"> Q1</v>
      </c>
      <c r="R34" s="1680" t="str">
        <f t="shared" si="8"/>
        <v>光・視環境</v>
      </c>
      <c r="S34" s="1510">
        <f t="shared" si="21"/>
        <v>0.25</v>
      </c>
      <c r="T34" s="1510">
        <f t="shared" si="9"/>
        <v>0.25</v>
      </c>
      <c r="U34" s="1510">
        <f t="shared" si="10"/>
        <v>0.25</v>
      </c>
      <c r="V34" s="1510">
        <f t="shared" si="11"/>
        <v>0.25</v>
      </c>
      <c r="W34" s="1510">
        <f t="shared" si="12"/>
        <v>0.25</v>
      </c>
      <c r="X34" s="1510">
        <f t="shared" si="13"/>
        <v>0.25</v>
      </c>
      <c r="Y34" s="1510">
        <f t="shared" si="14"/>
        <v>0.25</v>
      </c>
      <c r="Z34" s="1529">
        <f t="shared" si="15"/>
        <v>0</v>
      </c>
      <c r="AA34" s="1510">
        <f t="shared" si="16"/>
        <v>0.25</v>
      </c>
      <c r="AB34" s="1510">
        <f t="shared" si="17"/>
        <v>0.25</v>
      </c>
      <c r="AC34" s="1559">
        <f t="shared" si="18"/>
        <v>0</v>
      </c>
      <c r="AD34" s="1510">
        <f t="shared" si="19"/>
        <v>0</v>
      </c>
      <c r="AE34" s="1510">
        <f t="shared" si="20"/>
        <v>0</v>
      </c>
      <c r="AF34"/>
      <c r="AG34" s="1541">
        <v>3</v>
      </c>
      <c r="AH34" s="1644" t="s">
        <v>230</v>
      </c>
      <c r="AI34" s="1680" t="s">
        <v>1047</v>
      </c>
      <c r="AJ34" s="1510">
        <v>0.25</v>
      </c>
      <c r="AK34" s="1510">
        <v>0.25</v>
      </c>
      <c r="AL34" s="1510">
        <v>0.25</v>
      </c>
      <c r="AM34" s="1510">
        <v>0.25</v>
      </c>
      <c r="AN34" s="1510">
        <v>0.25</v>
      </c>
      <c r="AO34" s="1510">
        <v>0.25</v>
      </c>
      <c r="AP34" s="1510">
        <v>0.25</v>
      </c>
      <c r="AQ34" s="1529">
        <v>0</v>
      </c>
      <c r="AR34" s="1510">
        <v>0.25</v>
      </c>
      <c r="AS34" s="1611">
        <v>0.25</v>
      </c>
      <c r="AT34" s="1963"/>
      <c r="AU34" s="1611"/>
      <c r="AV34" s="1611"/>
      <c r="AW34"/>
      <c r="AX34" s="1541">
        <v>3</v>
      </c>
      <c r="AY34" s="1644" t="s">
        <v>230</v>
      </c>
      <c r="AZ34" s="1680" t="s">
        <v>1047</v>
      </c>
      <c r="BA34" s="1611">
        <v>0.25</v>
      </c>
      <c r="BB34" s="1611">
        <v>0.25</v>
      </c>
      <c r="BC34" s="1611">
        <v>0.25</v>
      </c>
      <c r="BD34" s="1611">
        <v>0.25</v>
      </c>
      <c r="BE34" s="1611">
        <v>0.25</v>
      </c>
      <c r="BF34" s="1611">
        <v>0.25</v>
      </c>
      <c r="BG34" s="1611">
        <v>0.25</v>
      </c>
      <c r="BH34" s="1535">
        <v>0</v>
      </c>
      <c r="BI34" s="1611">
        <v>0.25</v>
      </c>
      <c r="BJ34" s="1611">
        <v>0.25</v>
      </c>
      <c r="BK34" s="1963"/>
      <c r="BL34" s="1611"/>
      <c r="BM34" s="1611"/>
      <c r="BN34"/>
      <c r="BO34" s="1541">
        <v>3</v>
      </c>
      <c r="BP34" s="1644" t="s">
        <v>230</v>
      </c>
      <c r="BQ34" s="1680" t="s">
        <v>1047</v>
      </c>
      <c r="BR34" s="1611">
        <v>0.25</v>
      </c>
      <c r="BS34" s="1611">
        <v>0.25</v>
      </c>
      <c r="BT34" s="1611">
        <v>0.25</v>
      </c>
      <c r="BU34" s="1611">
        <v>0.25</v>
      </c>
      <c r="BV34" s="1611">
        <v>0.25</v>
      </c>
      <c r="BW34" s="1611">
        <v>0.25</v>
      </c>
      <c r="BX34" s="1611">
        <v>0.25</v>
      </c>
      <c r="BY34" s="1535">
        <v>0</v>
      </c>
      <c r="BZ34" s="1611">
        <v>0.25</v>
      </c>
      <c r="CA34" s="1611">
        <v>0.25</v>
      </c>
      <c r="CB34" s="1963"/>
      <c r="CC34" s="1611"/>
      <c r="CD34" s="1611"/>
      <c r="CE34"/>
    </row>
    <row r="35" spans="1:83">
      <c r="B35" s="1497">
        <f t="shared" si="0"/>
        <v>3.1</v>
      </c>
      <c r="C35" s="1530" t="str">
        <f t="shared" si="1"/>
        <v>昼光利用</v>
      </c>
      <c r="D35" s="1616">
        <f>IF(I$34=0,0,G35/I$34)</f>
        <v>0.48276762402088774</v>
      </c>
      <c r="E35" s="1591">
        <f>IF(J$34=0,0,H35/J$34)</f>
        <v>0.3</v>
      </c>
      <c r="G35" s="1591">
        <f t="shared" si="2"/>
        <v>0.48276762402088774</v>
      </c>
      <c r="H35" s="1591">
        <f t="shared" si="3"/>
        <v>6.2663185378590081E-3</v>
      </c>
      <c r="I35" s="1591">
        <f>SUM(G36:G38)</f>
        <v>1</v>
      </c>
      <c r="J35" s="1591">
        <f>SUM(H36:H38)</f>
        <v>2.0887728459530026E-2</v>
      </c>
      <c r="K35" s="1591">
        <f>IF(スコア表示!W35=0,0,1)</f>
        <v>1</v>
      </c>
      <c r="L35" s="1591">
        <f>IF(スコア表示!AA35=0,0,1)</f>
        <v>1</v>
      </c>
      <c r="M35" s="1591">
        <f t="shared" si="4"/>
        <v>0.48276762402088774</v>
      </c>
      <c r="N35" s="1591">
        <f t="shared" si="5"/>
        <v>6.2663185378590081E-3</v>
      </c>
      <c r="P35" s="1547">
        <f t="shared" si="6"/>
        <v>3.1</v>
      </c>
      <c r="Q35" s="1547" t="str">
        <f t="shared" si="7"/>
        <v xml:space="preserve"> Q1 3</v>
      </c>
      <c r="R35" s="1637" t="str">
        <f t="shared" si="8"/>
        <v>昼光利用</v>
      </c>
      <c r="S35" s="1518">
        <f t="shared" si="21"/>
        <v>0.3</v>
      </c>
      <c r="T35" s="1518">
        <f t="shared" si="9"/>
        <v>0.3</v>
      </c>
      <c r="U35" s="1518">
        <f t="shared" si="10"/>
        <v>0.5</v>
      </c>
      <c r="V35" s="1518">
        <f t="shared" si="11"/>
        <v>1</v>
      </c>
      <c r="W35" s="1518">
        <f t="shared" si="12"/>
        <v>0.3</v>
      </c>
      <c r="X35" s="1518">
        <f t="shared" si="13"/>
        <v>0.3</v>
      </c>
      <c r="Y35" s="1518">
        <f t="shared" si="14"/>
        <v>0.3</v>
      </c>
      <c r="Z35" s="1531">
        <f t="shared" si="15"/>
        <v>0</v>
      </c>
      <c r="AA35" s="1518">
        <f t="shared" si="16"/>
        <v>0.3</v>
      </c>
      <c r="AB35" s="1518">
        <f t="shared" si="17"/>
        <v>0.3</v>
      </c>
      <c r="AC35" s="1519">
        <f t="shared" si="18"/>
        <v>0.3</v>
      </c>
      <c r="AD35" s="1518">
        <f t="shared" si="19"/>
        <v>0.3</v>
      </c>
      <c r="AE35" s="1518">
        <f t="shared" si="20"/>
        <v>0.3</v>
      </c>
      <c r="AG35" s="1547">
        <v>3.1</v>
      </c>
      <c r="AH35" s="1593" t="s">
        <v>252</v>
      </c>
      <c r="AI35" s="1637" t="s">
        <v>573</v>
      </c>
      <c r="AJ35" s="1518">
        <v>0.3</v>
      </c>
      <c r="AK35" s="1518">
        <v>0.3</v>
      </c>
      <c r="AL35" s="1518">
        <v>0.5</v>
      </c>
      <c r="AM35" s="1518">
        <v>1</v>
      </c>
      <c r="AN35" s="1518">
        <v>0.3</v>
      </c>
      <c r="AO35" s="1518">
        <v>0.3</v>
      </c>
      <c r="AP35" s="1518">
        <v>0.3</v>
      </c>
      <c r="AQ35" s="1531"/>
      <c r="AR35" s="1518">
        <v>0.3</v>
      </c>
      <c r="AS35" s="1523">
        <v>0.3</v>
      </c>
      <c r="AT35" s="1525">
        <v>0.3</v>
      </c>
      <c r="AU35" s="1523">
        <v>0.3</v>
      </c>
      <c r="AV35" s="1523">
        <v>0.3</v>
      </c>
      <c r="AX35" s="1547">
        <v>3.1</v>
      </c>
      <c r="AY35" s="1593" t="s">
        <v>252</v>
      </c>
      <c r="AZ35" s="1637" t="s">
        <v>573</v>
      </c>
      <c r="BA35" s="1523">
        <v>0.3</v>
      </c>
      <c r="BB35" s="1523">
        <v>0.3</v>
      </c>
      <c r="BC35" s="1523">
        <v>0.5</v>
      </c>
      <c r="BD35" s="1523">
        <v>1</v>
      </c>
      <c r="BE35" s="1523">
        <v>0.3</v>
      </c>
      <c r="BF35" s="1523">
        <v>0.3</v>
      </c>
      <c r="BG35" s="1523">
        <v>0.3</v>
      </c>
      <c r="BH35" s="1614"/>
      <c r="BI35" s="1523">
        <v>0.3</v>
      </c>
      <c r="BJ35" s="1523">
        <v>0.3</v>
      </c>
      <c r="BK35" s="1525">
        <v>0.3</v>
      </c>
      <c r="BL35" s="1523">
        <v>0.3</v>
      </c>
      <c r="BM35" s="1523">
        <v>0.3</v>
      </c>
      <c r="BO35" s="1547">
        <v>3.1</v>
      </c>
      <c r="BP35" s="1593" t="s">
        <v>252</v>
      </c>
      <c r="BQ35" s="1637" t="s">
        <v>573</v>
      </c>
      <c r="BR35" s="1523">
        <v>0.3</v>
      </c>
      <c r="BS35" s="1523">
        <v>0.3</v>
      </c>
      <c r="BT35" s="1523">
        <v>0.5</v>
      </c>
      <c r="BU35" s="1523">
        <v>1</v>
      </c>
      <c r="BV35" s="1523">
        <v>0.3</v>
      </c>
      <c r="BW35" s="1523">
        <v>0.3</v>
      </c>
      <c r="BX35" s="1523">
        <v>0.3</v>
      </c>
      <c r="BY35" s="1614"/>
      <c r="BZ35" s="1523">
        <v>0.3</v>
      </c>
      <c r="CA35" s="1523">
        <v>0.3</v>
      </c>
      <c r="CB35" s="1525">
        <v>0.3</v>
      </c>
      <c r="CC35" s="1523">
        <v>0.3</v>
      </c>
      <c r="CD35" s="1523">
        <v>0.3</v>
      </c>
    </row>
    <row r="36" spans="1:83">
      <c r="B36" s="1497" t="str">
        <f t="shared" si="0"/>
        <v>3.1.1</v>
      </c>
      <c r="C36" s="1514" t="str">
        <f t="shared" si="1"/>
        <v>昼光率</v>
      </c>
      <c r="D36" s="1621">
        <f t="shared" ref="D36:E38" si="24">IF(I$35&gt;0,G36/I$35,0)</f>
        <v>0.44334203655352478</v>
      </c>
      <c r="E36" s="1591">
        <f t="shared" si="24"/>
        <v>0.5</v>
      </c>
      <c r="G36" s="1591">
        <f t="shared" si="2"/>
        <v>0.44334203655352478</v>
      </c>
      <c r="H36" s="1591">
        <f t="shared" si="3"/>
        <v>1.0443864229765013E-2</v>
      </c>
      <c r="I36" s="1591"/>
      <c r="J36" s="1591"/>
      <c r="K36" s="1591">
        <f>IF(スコア表示!W36=0,0,1)</f>
        <v>1</v>
      </c>
      <c r="L36" s="1591">
        <f>IF(スコア表示!AA36=0,0,1)</f>
        <v>1</v>
      </c>
      <c r="M36" s="1591">
        <f t="shared" si="4"/>
        <v>0.44334203655352478</v>
      </c>
      <c r="N36" s="1591">
        <f t="shared" si="5"/>
        <v>1.0443864229765013E-2</v>
      </c>
      <c r="P36" s="1547" t="str">
        <f t="shared" si="6"/>
        <v>3.1.1</v>
      </c>
      <c r="Q36" s="1547" t="str">
        <f t="shared" si="7"/>
        <v xml:space="preserve"> Q1 3.1</v>
      </c>
      <c r="R36" s="1637" t="str">
        <f t="shared" si="8"/>
        <v>昼光率</v>
      </c>
      <c r="S36" s="1518">
        <f t="shared" si="21"/>
        <v>0.6</v>
      </c>
      <c r="T36" s="1518">
        <f t="shared" si="9"/>
        <v>0.6</v>
      </c>
      <c r="U36" s="1518">
        <f t="shared" si="10"/>
        <v>0</v>
      </c>
      <c r="V36" s="1518">
        <f t="shared" si="11"/>
        <v>0</v>
      </c>
      <c r="W36" s="1518">
        <f t="shared" si="12"/>
        <v>0.6</v>
      </c>
      <c r="X36" s="1518">
        <f t="shared" si="13"/>
        <v>0.6</v>
      </c>
      <c r="Y36" s="1518">
        <f t="shared" si="14"/>
        <v>0.6</v>
      </c>
      <c r="Z36" s="1531">
        <f t="shared" si="15"/>
        <v>0</v>
      </c>
      <c r="AA36" s="1518">
        <f t="shared" si="16"/>
        <v>0.6</v>
      </c>
      <c r="AB36" s="1518">
        <f t="shared" si="17"/>
        <v>0.6</v>
      </c>
      <c r="AC36" s="1519">
        <f t="shared" si="18"/>
        <v>0.6</v>
      </c>
      <c r="AD36" s="1518">
        <f t="shared" si="19"/>
        <v>0.6</v>
      </c>
      <c r="AE36" s="1518">
        <f t="shared" si="20"/>
        <v>0.5</v>
      </c>
      <c r="AG36" s="1547" t="s">
        <v>1539</v>
      </c>
      <c r="AH36" s="1593" t="s">
        <v>253</v>
      </c>
      <c r="AI36" s="1964" t="s">
        <v>254</v>
      </c>
      <c r="AJ36" s="1518">
        <v>0.6</v>
      </c>
      <c r="AK36" s="1518">
        <v>0.6</v>
      </c>
      <c r="AL36" s="1518"/>
      <c r="AM36" s="1518"/>
      <c r="AN36" s="1518">
        <v>0.6</v>
      </c>
      <c r="AO36" s="1518">
        <v>0.6</v>
      </c>
      <c r="AP36" s="1518">
        <v>0.6</v>
      </c>
      <c r="AQ36" s="1531"/>
      <c r="AR36" s="1518">
        <v>0.6</v>
      </c>
      <c r="AS36" s="1523">
        <v>0.6</v>
      </c>
      <c r="AT36" s="1525">
        <v>0.6</v>
      </c>
      <c r="AU36" s="1523">
        <v>0.6</v>
      </c>
      <c r="AV36" s="1523">
        <v>0.5</v>
      </c>
      <c r="AX36" s="1547" t="s">
        <v>1331</v>
      </c>
      <c r="AY36" s="1593" t="s">
        <v>253</v>
      </c>
      <c r="AZ36" s="1964" t="s">
        <v>254</v>
      </c>
      <c r="BA36" s="1523">
        <v>0.6</v>
      </c>
      <c r="BB36" s="1523">
        <v>0.6</v>
      </c>
      <c r="BC36" s="1523"/>
      <c r="BD36" s="1523"/>
      <c r="BE36" s="1523">
        <v>0.6</v>
      </c>
      <c r="BF36" s="1523">
        <v>0.6</v>
      </c>
      <c r="BG36" s="1523">
        <v>0.6</v>
      </c>
      <c r="BH36" s="1614"/>
      <c r="BI36" s="1523">
        <v>0.6</v>
      </c>
      <c r="BJ36" s="1523">
        <v>0.6</v>
      </c>
      <c r="BK36" s="1525">
        <v>0.6</v>
      </c>
      <c r="BL36" s="1523">
        <v>0.6</v>
      </c>
      <c r="BM36" s="1523">
        <v>0.5</v>
      </c>
      <c r="BO36" s="1547" t="s">
        <v>1487</v>
      </c>
      <c r="BP36" s="1593" t="s">
        <v>253</v>
      </c>
      <c r="BQ36" s="1964" t="s">
        <v>254</v>
      </c>
      <c r="BR36" s="1523">
        <v>0.6</v>
      </c>
      <c r="BS36" s="1523">
        <v>0.6</v>
      </c>
      <c r="BT36" s="1523"/>
      <c r="BU36" s="1523"/>
      <c r="BV36" s="1523">
        <v>0.6</v>
      </c>
      <c r="BW36" s="1523">
        <v>0.6</v>
      </c>
      <c r="BX36" s="1523">
        <v>0.6</v>
      </c>
      <c r="BY36" s="1614"/>
      <c r="BZ36" s="1523">
        <v>0.6</v>
      </c>
      <c r="CA36" s="1523">
        <v>0.6</v>
      </c>
      <c r="CB36" s="1525">
        <v>0.6</v>
      </c>
      <c r="CC36" s="1523">
        <v>0.6</v>
      </c>
      <c r="CD36" s="1523">
        <v>0.5</v>
      </c>
    </row>
    <row r="37" spans="1:83">
      <c r="B37" s="1497" t="str">
        <f t="shared" si="0"/>
        <v>3.1.2</v>
      </c>
      <c r="C37" s="1514" t="str">
        <f t="shared" si="1"/>
        <v>方位別開口</v>
      </c>
      <c r="D37" s="1621">
        <f t="shared" si="24"/>
        <v>0</v>
      </c>
      <c r="E37" s="1591">
        <f t="shared" si="24"/>
        <v>0.3</v>
      </c>
      <c r="G37" s="1591">
        <f t="shared" si="2"/>
        <v>0</v>
      </c>
      <c r="H37" s="1591">
        <f t="shared" si="3"/>
        <v>6.2663185378590081E-3</v>
      </c>
      <c r="I37" s="1591"/>
      <c r="J37" s="1591"/>
      <c r="K37" s="1591">
        <f>IF(スコア表示!W37=0,0,1)</f>
        <v>1</v>
      </c>
      <c r="L37" s="1591">
        <f>IF(スコア表示!AA37=0,0,1)</f>
        <v>1</v>
      </c>
      <c r="M37" s="1591">
        <f t="shared" si="4"/>
        <v>0</v>
      </c>
      <c r="N37" s="1591">
        <f t="shared" si="5"/>
        <v>6.2663185378590081E-3</v>
      </c>
      <c r="P37" s="1547" t="str">
        <f t="shared" si="6"/>
        <v>3.1.2</v>
      </c>
      <c r="Q37" s="1547" t="str">
        <f t="shared" si="7"/>
        <v xml:space="preserve"> Q1 3.1</v>
      </c>
      <c r="R37" s="1637" t="str">
        <f t="shared" si="8"/>
        <v>方位別開口</v>
      </c>
      <c r="S37" s="1518">
        <f t="shared" si="21"/>
        <v>0</v>
      </c>
      <c r="T37" s="1518">
        <f t="shared" si="9"/>
        <v>0</v>
      </c>
      <c r="U37" s="1518">
        <f t="shared" si="10"/>
        <v>0</v>
      </c>
      <c r="V37" s="1518">
        <f t="shared" si="11"/>
        <v>0</v>
      </c>
      <c r="W37" s="1518">
        <f t="shared" si="12"/>
        <v>0</v>
      </c>
      <c r="X37" s="1518">
        <f t="shared" si="13"/>
        <v>0</v>
      </c>
      <c r="Y37" s="1518">
        <f t="shared" si="14"/>
        <v>0</v>
      </c>
      <c r="Z37" s="1531">
        <f t="shared" si="15"/>
        <v>0</v>
      </c>
      <c r="AA37" s="1518">
        <f t="shared" si="16"/>
        <v>0</v>
      </c>
      <c r="AB37" s="1518">
        <f t="shared" si="17"/>
        <v>0</v>
      </c>
      <c r="AC37" s="1519">
        <f t="shared" si="18"/>
        <v>0</v>
      </c>
      <c r="AD37" s="1518">
        <f t="shared" si="19"/>
        <v>0</v>
      </c>
      <c r="AE37" s="1518">
        <f t="shared" si="20"/>
        <v>0.3</v>
      </c>
      <c r="AG37" s="1547" t="s">
        <v>1540</v>
      </c>
      <c r="AH37" s="1593" t="s">
        <v>253</v>
      </c>
      <c r="AI37" s="1964" t="s">
        <v>255</v>
      </c>
      <c r="AJ37" s="1518"/>
      <c r="AK37" s="1518"/>
      <c r="AL37" s="1518"/>
      <c r="AM37" s="1518"/>
      <c r="AN37" s="1518"/>
      <c r="AO37" s="1518"/>
      <c r="AP37" s="1518"/>
      <c r="AQ37" s="1531"/>
      <c r="AR37" s="1518"/>
      <c r="AS37" s="1523"/>
      <c r="AT37" s="1525"/>
      <c r="AU37" s="1523"/>
      <c r="AV37" s="1523">
        <v>0.3</v>
      </c>
      <c r="AX37" s="1547" t="s">
        <v>1333</v>
      </c>
      <c r="AY37" s="1593" t="s">
        <v>253</v>
      </c>
      <c r="AZ37" s="1964" t="s">
        <v>255</v>
      </c>
      <c r="BA37" s="1523"/>
      <c r="BB37" s="1523"/>
      <c r="BC37" s="1523"/>
      <c r="BD37" s="1523"/>
      <c r="BE37" s="1523"/>
      <c r="BF37" s="1523"/>
      <c r="BG37" s="1523"/>
      <c r="BH37" s="1614"/>
      <c r="BI37" s="1523"/>
      <c r="BJ37" s="1523"/>
      <c r="BK37" s="1525"/>
      <c r="BL37" s="1523"/>
      <c r="BM37" s="1523">
        <v>0.3</v>
      </c>
      <c r="BO37" s="1547" t="s">
        <v>1488</v>
      </c>
      <c r="BP37" s="1593" t="s">
        <v>253</v>
      </c>
      <c r="BQ37" s="1964" t="s">
        <v>255</v>
      </c>
      <c r="BR37" s="1523"/>
      <c r="BS37" s="1523"/>
      <c r="BT37" s="1523"/>
      <c r="BU37" s="1523"/>
      <c r="BV37" s="1523"/>
      <c r="BW37" s="1523"/>
      <c r="BX37" s="1523"/>
      <c r="BY37" s="1614"/>
      <c r="BZ37" s="1523"/>
      <c r="CA37" s="1523"/>
      <c r="CB37" s="1525"/>
      <c r="CC37" s="1523"/>
      <c r="CD37" s="1523">
        <v>0.3</v>
      </c>
    </row>
    <row r="38" spans="1:83">
      <c r="B38" s="1497" t="str">
        <f t="shared" si="0"/>
        <v>3.1.3</v>
      </c>
      <c r="C38" s="1514" t="str">
        <f t="shared" si="1"/>
        <v>昼光利用設備</v>
      </c>
      <c r="D38" s="1621">
        <f t="shared" si="24"/>
        <v>0.55665796344647522</v>
      </c>
      <c r="E38" s="1591">
        <f t="shared" si="24"/>
        <v>0.19999999999999998</v>
      </c>
      <c r="G38" s="1591">
        <f t="shared" si="2"/>
        <v>0.55665796344647522</v>
      </c>
      <c r="H38" s="1591">
        <f t="shared" si="3"/>
        <v>4.1775456919060051E-3</v>
      </c>
      <c r="I38" s="1591"/>
      <c r="J38" s="1591"/>
      <c r="K38" s="1591">
        <f>IF(スコア表示!W38=0,0,1)</f>
        <v>1</v>
      </c>
      <c r="L38" s="1591">
        <f>IF(スコア表示!AA38=0,0,1)</f>
        <v>1</v>
      </c>
      <c r="M38" s="1591">
        <f t="shared" si="4"/>
        <v>0.55665796344647522</v>
      </c>
      <c r="N38" s="1591">
        <f t="shared" si="5"/>
        <v>4.1775456919060051E-3</v>
      </c>
      <c r="P38" s="1547" t="str">
        <f t="shared" si="6"/>
        <v>3.1.3</v>
      </c>
      <c r="Q38" s="1547" t="str">
        <f t="shared" si="7"/>
        <v xml:space="preserve"> Q1 3.1</v>
      </c>
      <c r="R38" s="1637" t="str">
        <f t="shared" si="8"/>
        <v>昼光利用設備</v>
      </c>
      <c r="S38" s="1518">
        <f t="shared" si="21"/>
        <v>0.4</v>
      </c>
      <c r="T38" s="1518">
        <f t="shared" si="9"/>
        <v>0.4</v>
      </c>
      <c r="U38" s="1518">
        <f t="shared" si="10"/>
        <v>1</v>
      </c>
      <c r="V38" s="1518">
        <f t="shared" si="11"/>
        <v>1</v>
      </c>
      <c r="W38" s="1518">
        <f t="shared" si="12"/>
        <v>0.4</v>
      </c>
      <c r="X38" s="1518">
        <f t="shared" si="13"/>
        <v>0.4</v>
      </c>
      <c r="Y38" s="1518">
        <f t="shared" si="14"/>
        <v>0.4</v>
      </c>
      <c r="Z38" s="1531">
        <f t="shared" si="15"/>
        <v>0</v>
      </c>
      <c r="AA38" s="1518">
        <f t="shared" si="16"/>
        <v>0.4</v>
      </c>
      <c r="AB38" s="1518">
        <f t="shared" si="17"/>
        <v>0.4</v>
      </c>
      <c r="AC38" s="1519">
        <f t="shared" si="18"/>
        <v>0.4</v>
      </c>
      <c r="AD38" s="1518">
        <f t="shared" si="19"/>
        <v>0.4</v>
      </c>
      <c r="AE38" s="1518">
        <f t="shared" si="20"/>
        <v>0.2</v>
      </c>
      <c r="AG38" s="1547" t="s">
        <v>1541</v>
      </c>
      <c r="AH38" s="1593" t="s">
        <v>253</v>
      </c>
      <c r="AI38" s="1964" t="s">
        <v>256</v>
      </c>
      <c r="AJ38" s="1518">
        <v>0.4</v>
      </c>
      <c r="AK38" s="1518">
        <v>0.4</v>
      </c>
      <c r="AL38" s="1518">
        <v>1</v>
      </c>
      <c r="AM38" s="1518">
        <v>1</v>
      </c>
      <c r="AN38" s="1518">
        <v>0.4</v>
      </c>
      <c r="AO38" s="1518">
        <v>0.4</v>
      </c>
      <c r="AP38" s="1518">
        <v>0.4</v>
      </c>
      <c r="AQ38" s="1531"/>
      <c r="AR38" s="1518">
        <v>0.4</v>
      </c>
      <c r="AS38" s="1523">
        <v>0.4</v>
      </c>
      <c r="AT38" s="1525">
        <v>0.4</v>
      </c>
      <c r="AU38" s="1523">
        <v>0.4</v>
      </c>
      <c r="AV38" s="1523">
        <v>0.2</v>
      </c>
      <c r="AX38" s="1547" t="s">
        <v>1334</v>
      </c>
      <c r="AY38" s="1593" t="s">
        <v>253</v>
      </c>
      <c r="AZ38" s="1964" t="s">
        <v>256</v>
      </c>
      <c r="BA38" s="1523">
        <v>0.4</v>
      </c>
      <c r="BB38" s="1523">
        <v>0.4</v>
      </c>
      <c r="BC38" s="1523">
        <v>1</v>
      </c>
      <c r="BD38" s="1523">
        <v>1</v>
      </c>
      <c r="BE38" s="1523">
        <v>0.4</v>
      </c>
      <c r="BF38" s="1523">
        <v>0.4</v>
      </c>
      <c r="BG38" s="1523">
        <v>0.4</v>
      </c>
      <c r="BH38" s="1614"/>
      <c r="BI38" s="1523">
        <v>0.4</v>
      </c>
      <c r="BJ38" s="1523">
        <v>0.4</v>
      </c>
      <c r="BK38" s="1525">
        <v>0.4</v>
      </c>
      <c r="BL38" s="1523">
        <v>0.4</v>
      </c>
      <c r="BM38" s="1523">
        <v>0.2</v>
      </c>
      <c r="BO38" s="1547" t="s">
        <v>1489</v>
      </c>
      <c r="BP38" s="1593" t="s">
        <v>253</v>
      </c>
      <c r="BQ38" s="1964" t="s">
        <v>256</v>
      </c>
      <c r="BR38" s="1523">
        <v>0.4</v>
      </c>
      <c r="BS38" s="1523">
        <v>0.4</v>
      </c>
      <c r="BT38" s="1523">
        <v>1</v>
      </c>
      <c r="BU38" s="1523">
        <v>1</v>
      </c>
      <c r="BV38" s="1523">
        <v>0.4</v>
      </c>
      <c r="BW38" s="1523">
        <v>0.4</v>
      </c>
      <c r="BX38" s="1523">
        <v>0.4</v>
      </c>
      <c r="BY38" s="1614"/>
      <c r="BZ38" s="1523">
        <v>0.4</v>
      </c>
      <c r="CA38" s="1523">
        <v>0.4</v>
      </c>
      <c r="CB38" s="1525">
        <v>0.4</v>
      </c>
      <c r="CC38" s="1523">
        <v>0.4</v>
      </c>
      <c r="CD38" s="1523">
        <v>0.2</v>
      </c>
    </row>
    <row r="39" spans="1:83">
      <c r="B39" s="1497">
        <f t="shared" si="0"/>
        <v>3.2</v>
      </c>
      <c r="C39" s="1514" t="str">
        <f t="shared" si="1"/>
        <v>グレア対策</v>
      </c>
      <c r="D39" s="1616">
        <f>IF(I$34=0,0,G39/I$34)</f>
        <v>0.22167101827676239</v>
      </c>
      <c r="E39" s="1591">
        <f>IF(J$34=0,0,H39/J$34)</f>
        <v>0.3</v>
      </c>
      <c r="G39" s="1591">
        <f t="shared" si="2"/>
        <v>0.22167101827676239</v>
      </c>
      <c r="H39" s="1591">
        <f t="shared" si="3"/>
        <v>6.2663185378590081E-3</v>
      </c>
      <c r="I39" s="1591">
        <f>SUM(G40:G42)</f>
        <v>0.44334203655352478</v>
      </c>
      <c r="J39" s="1591">
        <f>SUM(H40:H42)</f>
        <v>1.2532637075718016E-2</v>
      </c>
      <c r="K39" s="1591">
        <f>IF(スコア表示!W39=0,0,1)</f>
        <v>1</v>
      </c>
      <c r="L39" s="1591">
        <f>IF(スコア表示!AA39=0,0,1)</f>
        <v>1</v>
      </c>
      <c r="M39" s="1591">
        <f t="shared" si="4"/>
        <v>0.22167101827676239</v>
      </c>
      <c r="N39" s="1591">
        <f t="shared" si="5"/>
        <v>6.2663185378590081E-3</v>
      </c>
      <c r="P39" s="1547">
        <f t="shared" si="6"/>
        <v>3.2</v>
      </c>
      <c r="Q39" s="1547" t="str">
        <f t="shared" si="7"/>
        <v xml:space="preserve"> Q1 3</v>
      </c>
      <c r="R39" s="1637" t="str">
        <f t="shared" si="8"/>
        <v>グレア対策</v>
      </c>
      <c r="S39" s="1518">
        <f t="shared" si="21"/>
        <v>0.3</v>
      </c>
      <c r="T39" s="1518">
        <f t="shared" si="9"/>
        <v>0.3</v>
      </c>
      <c r="U39" s="1518">
        <f t="shared" si="10"/>
        <v>0</v>
      </c>
      <c r="V39" s="1518">
        <f t="shared" si="11"/>
        <v>0</v>
      </c>
      <c r="W39" s="1518">
        <f t="shared" si="12"/>
        <v>0.3</v>
      </c>
      <c r="X39" s="1518">
        <f t="shared" si="13"/>
        <v>0.3</v>
      </c>
      <c r="Y39" s="1518">
        <f t="shared" si="14"/>
        <v>0.3</v>
      </c>
      <c r="Z39" s="1531">
        <f t="shared" si="15"/>
        <v>0</v>
      </c>
      <c r="AA39" s="1518">
        <f t="shared" si="16"/>
        <v>0.3</v>
      </c>
      <c r="AB39" s="1518">
        <f t="shared" si="17"/>
        <v>0.3</v>
      </c>
      <c r="AC39" s="1519">
        <f t="shared" si="18"/>
        <v>0.3</v>
      </c>
      <c r="AD39" s="1518">
        <f t="shared" si="19"/>
        <v>0.3</v>
      </c>
      <c r="AE39" s="1518">
        <f t="shared" si="20"/>
        <v>0.3</v>
      </c>
      <c r="AG39" s="1547">
        <v>3.2</v>
      </c>
      <c r="AH39" s="1593" t="s">
        <v>252</v>
      </c>
      <c r="AI39" s="1964" t="s">
        <v>584</v>
      </c>
      <c r="AJ39" s="1518">
        <v>0.3</v>
      </c>
      <c r="AK39" s="1518">
        <v>0.3</v>
      </c>
      <c r="AL39" s="1518"/>
      <c r="AM39" s="1518"/>
      <c r="AN39" s="1518">
        <v>0.3</v>
      </c>
      <c r="AO39" s="1518">
        <v>0.3</v>
      </c>
      <c r="AP39" s="1518">
        <v>0.3</v>
      </c>
      <c r="AQ39" s="1531"/>
      <c r="AR39" s="1518">
        <v>0.3</v>
      </c>
      <c r="AS39" s="1523">
        <v>0.3</v>
      </c>
      <c r="AT39" s="1525">
        <v>0.3</v>
      </c>
      <c r="AU39" s="1523">
        <v>0.3</v>
      </c>
      <c r="AV39" s="1523">
        <v>0.3</v>
      </c>
      <c r="AX39" s="1547">
        <v>3.2</v>
      </c>
      <c r="AY39" s="1593" t="s">
        <v>252</v>
      </c>
      <c r="AZ39" s="1964" t="s">
        <v>584</v>
      </c>
      <c r="BA39" s="1523">
        <v>0.3</v>
      </c>
      <c r="BB39" s="1523">
        <v>0.3</v>
      </c>
      <c r="BC39" s="1523"/>
      <c r="BD39" s="1523"/>
      <c r="BE39" s="1523">
        <v>0.3</v>
      </c>
      <c r="BF39" s="1523">
        <v>0.3</v>
      </c>
      <c r="BG39" s="1523">
        <v>0.3</v>
      </c>
      <c r="BH39" s="1614"/>
      <c r="BI39" s="1523">
        <v>0.3</v>
      </c>
      <c r="BJ39" s="1523">
        <v>0.3</v>
      </c>
      <c r="BK39" s="1525">
        <v>0.3</v>
      </c>
      <c r="BL39" s="1523">
        <v>0.3</v>
      </c>
      <c r="BM39" s="1523">
        <v>0.3</v>
      </c>
      <c r="BO39" s="1547">
        <v>3.2</v>
      </c>
      <c r="BP39" s="1593" t="s">
        <v>252</v>
      </c>
      <c r="BQ39" s="1964" t="s">
        <v>584</v>
      </c>
      <c r="BR39" s="1523">
        <v>0.3</v>
      </c>
      <c r="BS39" s="1523">
        <v>0.3</v>
      </c>
      <c r="BT39" s="1523"/>
      <c r="BU39" s="1523"/>
      <c r="BV39" s="1523">
        <v>0.3</v>
      </c>
      <c r="BW39" s="1523">
        <v>0.3</v>
      </c>
      <c r="BX39" s="1523">
        <v>0.3</v>
      </c>
      <c r="BY39" s="1614"/>
      <c r="BZ39" s="1523">
        <v>0.3</v>
      </c>
      <c r="CA39" s="1523">
        <v>0.3</v>
      </c>
      <c r="CB39" s="1525">
        <v>0.3</v>
      </c>
      <c r="CC39" s="1523">
        <v>0.3</v>
      </c>
      <c r="CD39" s="1523">
        <v>0.3</v>
      </c>
    </row>
    <row r="40" spans="1:83">
      <c r="B40" s="1497" t="str">
        <f t="shared" si="0"/>
        <v>3.2.1</v>
      </c>
      <c r="C40" s="1514" t="str">
        <f t="shared" si="1"/>
        <v>照明器具のグレア</v>
      </c>
      <c r="D40" s="1621">
        <f t="shared" ref="D40:E42" si="25">IF(I$39&gt;0,G40/I$39,0)</f>
        <v>0</v>
      </c>
      <c r="E40" s="1591">
        <f t="shared" si="25"/>
        <v>0</v>
      </c>
      <c r="G40" s="1591">
        <f t="shared" si="2"/>
        <v>0</v>
      </c>
      <c r="H40" s="1591">
        <f t="shared" si="3"/>
        <v>0</v>
      </c>
      <c r="I40" s="1591"/>
      <c r="J40" s="1591"/>
      <c r="K40" s="1591">
        <f>IF(スコア表示!W40=0,0,1)</f>
        <v>0</v>
      </c>
      <c r="L40" s="1591">
        <f>IF(スコア表示!AA40=0,0,1)</f>
        <v>0</v>
      </c>
      <c r="M40" s="1591">
        <f t="shared" si="4"/>
        <v>0.29556135770234992</v>
      </c>
      <c r="N40" s="1591">
        <f t="shared" si="5"/>
        <v>8.3550913838120102E-3</v>
      </c>
      <c r="P40" s="1547" t="str">
        <f t="shared" si="6"/>
        <v>3.2.1</v>
      </c>
      <c r="Q40" s="1547" t="str">
        <f t="shared" si="7"/>
        <v xml:space="preserve"> Q1 3.2</v>
      </c>
      <c r="R40" s="1637" t="str">
        <f t="shared" si="8"/>
        <v>照明器具のグレア</v>
      </c>
      <c r="S40" s="1518">
        <f t="shared" si="21"/>
        <v>0.4</v>
      </c>
      <c r="T40" s="1518">
        <f t="shared" si="9"/>
        <v>0.4</v>
      </c>
      <c r="U40" s="1518">
        <f t="shared" si="10"/>
        <v>0</v>
      </c>
      <c r="V40" s="1518">
        <f t="shared" si="11"/>
        <v>0</v>
      </c>
      <c r="W40" s="1518">
        <f t="shared" si="12"/>
        <v>0.4</v>
      </c>
      <c r="X40" s="1518">
        <f t="shared" si="13"/>
        <v>0.4</v>
      </c>
      <c r="Y40" s="1518">
        <f t="shared" si="14"/>
        <v>0.4</v>
      </c>
      <c r="Z40" s="1531">
        <f t="shared" si="15"/>
        <v>0</v>
      </c>
      <c r="AA40" s="1518">
        <f t="shared" si="16"/>
        <v>0.4</v>
      </c>
      <c r="AB40" s="1518">
        <f t="shared" si="17"/>
        <v>0.3</v>
      </c>
      <c r="AC40" s="1519">
        <f t="shared" si="18"/>
        <v>0.4</v>
      </c>
      <c r="AD40" s="1518">
        <f t="shared" si="19"/>
        <v>0.4</v>
      </c>
      <c r="AE40" s="1518">
        <f t="shared" si="20"/>
        <v>0.4</v>
      </c>
      <c r="AG40" s="1547" t="s">
        <v>1542</v>
      </c>
      <c r="AH40" s="1593" t="s">
        <v>257</v>
      </c>
      <c r="AI40" s="1964" t="s">
        <v>258</v>
      </c>
      <c r="AJ40" s="1554">
        <v>0.4</v>
      </c>
      <c r="AK40" s="1554">
        <v>0.4</v>
      </c>
      <c r="AL40" s="1554"/>
      <c r="AM40" s="1554"/>
      <c r="AN40" s="1554">
        <v>0.4</v>
      </c>
      <c r="AO40" s="1554">
        <v>0.4</v>
      </c>
      <c r="AP40" s="1554">
        <v>0.4</v>
      </c>
      <c r="AQ40" s="1971"/>
      <c r="AR40" s="1554">
        <v>0.4</v>
      </c>
      <c r="AS40" s="2254">
        <v>0.3</v>
      </c>
      <c r="AT40" s="1525">
        <v>0.4</v>
      </c>
      <c r="AU40" s="1523">
        <v>0.4</v>
      </c>
      <c r="AV40" s="1523">
        <v>0.4</v>
      </c>
      <c r="AX40" s="1547" t="s">
        <v>1336</v>
      </c>
      <c r="AY40" s="1593" t="s">
        <v>257</v>
      </c>
      <c r="AZ40" s="1964" t="s">
        <v>258</v>
      </c>
      <c r="BA40" s="1523">
        <v>0.4</v>
      </c>
      <c r="BB40" s="1523">
        <v>0.4</v>
      </c>
      <c r="BC40" s="1523"/>
      <c r="BD40" s="1523"/>
      <c r="BE40" s="1523">
        <v>0.4</v>
      </c>
      <c r="BF40" s="1523">
        <v>0.4</v>
      </c>
      <c r="BG40" s="1523">
        <v>0.4</v>
      </c>
      <c r="BH40" s="1614"/>
      <c r="BI40" s="1523">
        <v>0.4</v>
      </c>
      <c r="BJ40" s="1523">
        <v>0.4</v>
      </c>
      <c r="BK40" s="1525">
        <v>0.4</v>
      </c>
      <c r="BL40" s="1523">
        <v>0.4</v>
      </c>
      <c r="BM40" s="1523">
        <v>0.4</v>
      </c>
      <c r="BO40" s="1547" t="s">
        <v>1490</v>
      </c>
      <c r="BP40" s="1593" t="s">
        <v>257</v>
      </c>
      <c r="BQ40" s="1964" t="s">
        <v>258</v>
      </c>
      <c r="BR40" s="1523">
        <v>0.4</v>
      </c>
      <c r="BS40" s="1523">
        <v>0.4</v>
      </c>
      <c r="BT40" s="1523"/>
      <c r="BU40" s="1523"/>
      <c r="BV40" s="1523">
        <v>0.4</v>
      </c>
      <c r="BW40" s="1523">
        <v>0.4</v>
      </c>
      <c r="BX40" s="1523">
        <v>0.4</v>
      </c>
      <c r="BY40" s="1614"/>
      <c r="BZ40" s="1523">
        <v>0.4</v>
      </c>
      <c r="CA40" s="1523">
        <v>0.4</v>
      </c>
      <c r="CB40" s="1525">
        <v>0.4</v>
      </c>
      <c r="CC40" s="1523">
        <v>0.4</v>
      </c>
      <c r="CD40" s="1523">
        <v>0.4</v>
      </c>
    </row>
    <row r="41" spans="1:83">
      <c r="B41" s="1497" t="str">
        <f t="shared" si="0"/>
        <v>3.2.2</v>
      </c>
      <c r="C41" s="1514" t="str">
        <f t="shared" ref="C41:C72" si="26">R41</f>
        <v>昼光制御</v>
      </c>
      <c r="D41" s="1621">
        <f t="shared" si="25"/>
        <v>1</v>
      </c>
      <c r="E41" s="1591">
        <f t="shared" si="25"/>
        <v>1</v>
      </c>
      <c r="G41" s="1591">
        <f t="shared" ref="G41:G72" si="27">K41*M41</f>
        <v>0.44334203655352478</v>
      </c>
      <c r="H41" s="1591">
        <f t="shared" ref="H41:H72" si="28">L41*N41</f>
        <v>1.2532637075718016E-2</v>
      </c>
      <c r="I41" s="1591"/>
      <c r="J41" s="1591"/>
      <c r="K41" s="1591">
        <f>IF(スコア表示!W41=0,0,1)</f>
        <v>1</v>
      </c>
      <c r="L41" s="1591">
        <f>IF(スコア表示!AA41=0,0,1)</f>
        <v>1</v>
      </c>
      <c r="M41" s="1591">
        <f t="shared" ref="M41:M72" si="29">SUMPRODUCT($S$7:$AB$7,S41:AB41)</f>
        <v>0.44334203655352478</v>
      </c>
      <c r="N41" s="1591">
        <f t="shared" ref="N41:N72" si="30">(AC$7*AC41)+(AD$7*AD41)+(AE$7*AE41)</f>
        <v>1.2532637075718016E-2</v>
      </c>
      <c r="P41" s="1547" t="str">
        <f t="shared" ref="P41:P72" si="31">IF($P$3=1,AX41,BO41)</f>
        <v>3.2.2</v>
      </c>
      <c r="Q41" s="1547" t="str">
        <f t="shared" ref="Q41:Q72" si="32">IF($P$3=1,AY41,BP41)</f>
        <v xml:space="preserve"> Q1 3.2</v>
      </c>
      <c r="R41" s="1637" t="str">
        <f t="shared" ref="R41:R72" si="33">AI41</f>
        <v>昼光制御</v>
      </c>
      <c r="S41" s="1518">
        <f t="shared" ref="S41:S72" si="34">IF($P$3=1,BA41,IF($P$3=2,BR41,AJ41))</f>
        <v>0.6</v>
      </c>
      <c r="T41" s="1518">
        <f t="shared" ref="T41:T72" si="35">IF($P$3=1,BB41,IF($P$3=2,BS41,AK41))</f>
        <v>0.6</v>
      </c>
      <c r="U41" s="1518">
        <f t="shared" ref="U41:U72" si="36">IF($P$3=1,BC41,IF($P$3=2,BT41,AL41))</f>
        <v>0</v>
      </c>
      <c r="V41" s="1518">
        <f t="shared" ref="V41:V72" si="37">IF($P$3=1,BD41,IF($P$3=2,BU41,AM41))</f>
        <v>0</v>
      </c>
      <c r="W41" s="1518">
        <f t="shared" ref="W41:W72" si="38">IF($P$3=1,BE41,IF($P$3=2,BV41,AN41))</f>
        <v>0.6</v>
      </c>
      <c r="X41" s="1518">
        <f t="shared" ref="X41:X72" si="39">IF($P$3=1,BF41,IF($P$3=2,BW41,AO41))</f>
        <v>0.6</v>
      </c>
      <c r="Y41" s="1518">
        <f t="shared" ref="Y41:Y72" si="40">IF($P$3=1,BG41,IF($P$3=2,BX41,AP41))</f>
        <v>0.6</v>
      </c>
      <c r="Z41" s="1531">
        <f t="shared" ref="Z41:Z72" si="41">IF($P$3=1,BH41,IF($P$3=2,BY41,AQ41))</f>
        <v>0</v>
      </c>
      <c r="AA41" s="1518">
        <f t="shared" ref="AA41:AA72" si="42">IF($P$3=1,BI41,IF($P$3=2,BZ41,AR41))</f>
        <v>0.6</v>
      </c>
      <c r="AB41" s="1518">
        <f t="shared" ref="AB41:AB72" si="43">IF($P$3=1,BJ41,IF($P$3=2,CA41,AS41))</f>
        <v>0.4</v>
      </c>
      <c r="AC41" s="1519">
        <f t="shared" ref="AC41:AC72" si="44">IF($P$3=1,BK41,IF($P$3=2,CB41,AT41))</f>
        <v>0.6</v>
      </c>
      <c r="AD41" s="1518">
        <f t="shared" ref="AD41:AD72" si="45">IF($P$3=1,BL41,IF($P$3=2,CC41,AU41))</f>
        <v>0.6</v>
      </c>
      <c r="AE41" s="1518">
        <f t="shared" ref="AE41:AE72" si="46">IF($P$3=1,BM41,IF($P$3=2,CD41,AV41))</f>
        <v>0.6</v>
      </c>
      <c r="AG41" s="1547" t="s">
        <v>1543</v>
      </c>
      <c r="AH41" s="1593" t="s">
        <v>257</v>
      </c>
      <c r="AI41" s="1964" t="s">
        <v>259</v>
      </c>
      <c r="AJ41" s="1518">
        <v>0.6</v>
      </c>
      <c r="AK41" s="1518">
        <v>0.6</v>
      </c>
      <c r="AL41" s="1518"/>
      <c r="AM41" s="1518"/>
      <c r="AN41" s="1518">
        <v>0.6</v>
      </c>
      <c r="AO41" s="1518">
        <v>0.6</v>
      </c>
      <c r="AP41" s="1518">
        <v>0.6</v>
      </c>
      <c r="AQ41" s="1531"/>
      <c r="AR41" s="1518">
        <v>0.6</v>
      </c>
      <c r="AS41" s="2254">
        <v>0.4</v>
      </c>
      <c r="AT41" s="1525">
        <v>0.6</v>
      </c>
      <c r="AU41" s="1523">
        <v>0.6</v>
      </c>
      <c r="AV41" s="1523">
        <v>0.6</v>
      </c>
      <c r="AX41" s="1547" t="s">
        <v>1338</v>
      </c>
      <c r="AY41" s="1593" t="s">
        <v>257</v>
      </c>
      <c r="AZ41" s="1964" t="s">
        <v>259</v>
      </c>
      <c r="BA41" s="1523">
        <v>0.6</v>
      </c>
      <c r="BB41" s="1523">
        <v>0.6</v>
      </c>
      <c r="BC41" s="1523"/>
      <c r="BD41" s="1523"/>
      <c r="BE41" s="1523">
        <v>0.6</v>
      </c>
      <c r="BF41" s="1523">
        <v>0.6</v>
      </c>
      <c r="BG41" s="1523">
        <v>0.6</v>
      </c>
      <c r="BH41" s="1614"/>
      <c r="BI41" s="1523">
        <v>0.6</v>
      </c>
      <c r="BJ41" s="1523">
        <v>0.6</v>
      </c>
      <c r="BK41" s="1525">
        <v>0.6</v>
      </c>
      <c r="BL41" s="1523">
        <v>0.6</v>
      </c>
      <c r="BM41" s="1523">
        <v>0.6</v>
      </c>
      <c r="BO41" s="1547" t="s">
        <v>1491</v>
      </c>
      <c r="BP41" s="1593" t="s">
        <v>257</v>
      </c>
      <c r="BQ41" s="1964" t="s">
        <v>259</v>
      </c>
      <c r="BR41" s="1523">
        <v>0.6</v>
      </c>
      <c r="BS41" s="1523">
        <v>0.6</v>
      </c>
      <c r="BT41" s="1523"/>
      <c r="BU41" s="1523"/>
      <c r="BV41" s="1523">
        <v>0.6</v>
      </c>
      <c r="BW41" s="1523">
        <v>0.6</v>
      </c>
      <c r="BX41" s="1523">
        <v>0.6</v>
      </c>
      <c r="BY41" s="1614"/>
      <c r="BZ41" s="1523">
        <v>0.6</v>
      </c>
      <c r="CA41" s="1523">
        <v>0.6</v>
      </c>
      <c r="CB41" s="1525">
        <v>0.6</v>
      </c>
      <c r="CC41" s="1523">
        <v>0.6</v>
      </c>
      <c r="CD41" s="1523">
        <v>0.6</v>
      </c>
    </row>
    <row r="42" spans="1:83">
      <c r="B42" s="1497" t="s">
        <v>1002</v>
      </c>
      <c r="C42" s="1514" t="str">
        <f t="shared" si="26"/>
        <v>映り込み対策</v>
      </c>
      <c r="D42" s="1621">
        <f>IF(I$39&gt;0,G42/I$39,0)</f>
        <v>0</v>
      </c>
      <c r="E42" s="1591">
        <f t="shared" si="25"/>
        <v>0</v>
      </c>
      <c r="G42" s="1591">
        <f t="shared" si="27"/>
        <v>0</v>
      </c>
      <c r="H42" s="1591">
        <f t="shared" si="28"/>
        <v>0</v>
      </c>
      <c r="I42" s="1591"/>
      <c r="J42" s="1591"/>
      <c r="K42" s="1591">
        <f>IF(スコア表示!W42=0,0,1)</f>
        <v>1</v>
      </c>
      <c r="L42" s="1591">
        <f>IF(スコア表示!AA42=0,0,1)</f>
        <v>1</v>
      </c>
      <c r="M42" s="1591">
        <f t="shared" si="29"/>
        <v>0</v>
      </c>
      <c r="N42" s="1591">
        <f t="shared" si="30"/>
        <v>0</v>
      </c>
      <c r="P42" s="1547" t="str">
        <f t="shared" si="31"/>
        <v>3.2.3</v>
      </c>
      <c r="Q42" s="1547" t="str">
        <f t="shared" si="32"/>
        <v xml:space="preserve"> Q1 3.3</v>
      </c>
      <c r="R42" s="1637" t="str">
        <f t="shared" si="33"/>
        <v>映り込み対策</v>
      </c>
      <c r="S42" s="1518">
        <f t="shared" si="34"/>
        <v>0</v>
      </c>
      <c r="T42" s="1518">
        <f t="shared" si="35"/>
        <v>0</v>
      </c>
      <c r="U42" s="1518">
        <f t="shared" si="36"/>
        <v>0</v>
      </c>
      <c r="V42" s="1518">
        <f t="shared" si="37"/>
        <v>0</v>
      </c>
      <c r="W42" s="1518">
        <f t="shared" si="38"/>
        <v>0</v>
      </c>
      <c r="X42" s="1518">
        <f t="shared" si="39"/>
        <v>0</v>
      </c>
      <c r="Y42" s="1518">
        <f t="shared" si="40"/>
        <v>0</v>
      </c>
      <c r="Z42" s="1531">
        <f t="shared" si="41"/>
        <v>0</v>
      </c>
      <c r="AA42" s="1518">
        <f t="shared" si="42"/>
        <v>0</v>
      </c>
      <c r="AB42" s="1518">
        <f t="shared" si="43"/>
        <v>0.3</v>
      </c>
      <c r="AC42" s="1519">
        <f t="shared" si="44"/>
        <v>0</v>
      </c>
      <c r="AD42" s="1518">
        <f t="shared" si="45"/>
        <v>0</v>
      </c>
      <c r="AE42" s="1518">
        <f t="shared" si="46"/>
        <v>0</v>
      </c>
      <c r="AG42" s="1547" t="s">
        <v>332</v>
      </c>
      <c r="AH42" s="1593" t="s">
        <v>260</v>
      </c>
      <c r="AI42" s="1964" t="s">
        <v>787</v>
      </c>
      <c r="AJ42" s="1518"/>
      <c r="AK42" s="1518"/>
      <c r="AL42" s="1518"/>
      <c r="AM42" s="1518"/>
      <c r="AN42" s="1518"/>
      <c r="AO42" s="1518"/>
      <c r="AP42" s="1518"/>
      <c r="AQ42" s="1531"/>
      <c r="AR42" s="1518"/>
      <c r="AS42" s="2254">
        <v>0.3</v>
      </c>
      <c r="AT42" s="1525"/>
      <c r="AU42" s="1523"/>
      <c r="AV42" s="1523"/>
      <c r="AX42" s="1967" t="s">
        <v>1339</v>
      </c>
      <c r="AY42" s="1969" t="s">
        <v>260</v>
      </c>
      <c r="AZ42" s="1970" t="s">
        <v>787</v>
      </c>
      <c r="BA42" s="1974"/>
      <c r="BB42" s="1974"/>
      <c r="BC42" s="1974"/>
      <c r="BD42" s="1974"/>
      <c r="BE42" s="1974"/>
      <c r="BF42" s="1974"/>
      <c r="BG42" s="1974"/>
      <c r="BH42" s="1975"/>
      <c r="BI42" s="1974"/>
      <c r="BJ42" s="1974"/>
      <c r="BK42" s="1976"/>
      <c r="BL42" s="1974"/>
      <c r="BM42" s="1974"/>
      <c r="BO42" s="1967" t="s">
        <v>1492</v>
      </c>
      <c r="BP42" s="1969" t="s">
        <v>260</v>
      </c>
      <c r="BQ42" s="1970" t="s">
        <v>787</v>
      </c>
      <c r="BR42" s="1974"/>
      <c r="BS42" s="1974"/>
      <c r="BT42" s="1974"/>
      <c r="BU42" s="1974"/>
      <c r="BV42" s="1974"/>
      <c r="BW42" s="1974"/>
      <c r="BX42" s="1974"/>
      <c r="BY42" s="1975"/>
      <c r="BZ42" s="1974"/>
      <c r="CA42" s="1974"/>
      <c r="CB42" s="1976"/>
      <c r="CC42" s="1974"/>
      <c r="CD42" s="1974"/>
    </row>
    <row r="43" spans="1:83">
      <c r="B43" s="1497">
        <f t="shared" ref="B43:B74" si="47">P43</f>
        <v>3.3</v>
      </c>
      <c r="C43" s="1530" t="str">
        <f t="shared" si="26"/>
        <v>照度</v>
      </c>
      <c r="D43" s="1616">
        <f>IF(I$34=0,0,G43/I$34)</f>
        <v>0.11083550913838119</v>
      </c>
      <c r="E43" s="1591">
        <f>IF(J$34=0,0,H43/J$34)</f>
        <v>0.15</v>
      </c>
      <c r="G43" s="1591">
        <f t="shared" si="27"/>
        <v>0.11083550913838119</v>
      </c>
      <c r="H43" s="1591">
        <f t="shared" si="28"/>
        <v>3.133159268929504E-3</v>
      </c>
      <c r="I43" s="1591">
        <f>SUM(G44:G45)</f>
        <v>0</v>
      </c>
      <c r="J43" s="1591">
        <f>SUM(H44:H45)</f>
        <v>0</v>
      </c>
      <c r="K43" s="1591">
        <f>IF(スコア表示!W43=0,0,1)</f>
        <v>1</v>
      </c>
      <c r="L43" s="1591">
        <f>IF(スコア表示!AA43=0,0,1)</f>
        <v>1</v>
      </c>
      <c r="M43" s="1591">
        <f t="shared" si="29"/>
        <v>0.11083550913838119</v>
      </c>
      <c r="N43" s="1591">
        <f t="shared" si="30"/>
        <v>3.133159268929504E-3</v>
      </c>
      <c r="P43" s="1547">
        <f t="shared" si="31"/>
        <v>3.3</v>
      </c>
      <c r="Q43" s="1547" t="str">
        <f t="shared" si="32"/>
        <v xml:space="preserve"> Q1 3</v>
      </c>
      <c r="R43" s="1637" t="str">
        <f t="shared" si="33"/>
        <v>照度</v>
      </c>
      <c r="S43" s="1518">
        <f t="shared" si="34"/>
        <v>0.15</v>
      </c>
      <c r="T43" s="1518">
        <f t="shared" si="35"/>
        <v>0.15</v>
      </c>
      <c r="U43" s="1518">
        <f t="shared" si="36"/>
        <v>0</v>
      </c>
      <c r="V43" s="1518">
        <f t="shared" si="37"/>
        <v>0</v>
      </c>
      <c r="W43" s="1518">
        <f t="shared" si="38"/>
        <v>0.15</v>
      </c>
      <c r="X43" s="1518">
        <f t="shared" si="39"/>
        <v>0.15</v>
      </c>
      <c r="Y43" s="1518">
        <f t="shared" si="40"/>
        <v>0.15</v>
      </c>
      <c r="Z43" s="1531">
        <f t="shared" si="41"/>
        <v>0</v>
      </c>
      <c r="AA43" s="1518">
        <f t="shared" si="42"/>
        <v>0.15</v>
      </c>
      <c r="AB43" s="1518">
        <f t="shared" si="43"/>
        <v>0.15</v>
      </c>
      <c r="AC43" s="1519">
        <f t="shared" si="44"/>
        <v>0.15</v>
      </c>
      <c r="AD43" s="1518">
        <f t="shared" si="45"/>
        <v>0.15</v>
      </c>
      <c r="AE43" s="1518">
        <f t="shared" si="46"/>
        <v>0.15</v>
      </c>
      <c r="AG43" s="1547">
        <v>3.3</v>
      </c>
      <c r="AH43" s="1593" t="s">
        <v>252</v>
      </c>
      <c r="AI43" s="1637" t="s">
        <v>590</v>
      </c>
      <c r="AJ43" s="1518">
        <v>0.15</v>
      </c>
      <c r="AK43" s="1518">
        <v>0.15</v>
      </c>
      <c r="AL43" s="1518"/>
      <c r="AM43" s="1518"/>
      <c r="AN43" s="1518">
        <v>0.15</v>
      </c>
      <c r="AO43" s="1518">
        <v>0.15</v>
      </c>
      <c r="AP43" s="1518">
        <v>0.15</v>
      </c>
      <c r="AQ43" s="1531"/>
      <c r="AR43" s="1518">
        <v>0.15</v>
      </c>
      <c r="AS43" s="1523">
        <v>0.15</v>
      </c>
      <c r="AT43" s="1525">
        <v>0.15</v>
      </c>
      <c r="AU43" s="1523">
        <v>0.15</v>
      </c>
      <c r="AV43" s="1523">
        <v>0.15</v>
      </c>
      <c r="AX43" s="1547">
        <v>3.3</v>
      </c>
      <c r="AY43" s="1593" t="s">
        <v>252</v>
      </c>
      <c r="AZ43" s="1637" t="s">
        <v>590</v>
      </c>
      <c r="BA43" s="1523">
        <v>0.15</v>
      </c>
      <c r="BB43" s="1523">
        <v>0.15</v>
      </c>
      <c r="BC43" s="1523"/>
      <c r="BD43" s="1523"/>
      <c r="BE43" s="1523">
        <v>0.15</v>
      </c>
      <c r="BF43" s="1523">
        <v>0.15</v>
      </c>
      <c r="BG43" s="1523">
        <v>0.15</v>
      </c>
      <c r="BH43" s="1614"/>
      <c r="BI43" s="1523">
        <v>0.15</v>
      </c>
      <c r="BJ43" s="1523">
        <v>0.15</v>
      </c>
      <c r="BK43" s="1525">
        <v>0.15</v>
      </c>
      <c r="BL43" s="1523">
        <v>0.15</v>
      </c>
      <c r="BM43" s="1523">
        <v>0.15</v>
      </c>
      <c r="BO43" s="1547">
        <v>3.3</v>
      </c>
      <c r="BP43" s="1593" t="s">
        <v>252</v>
      </c>
      <c r="BQ43" s="1637" t="s">
        <v>590</v>
      </c>
      <c r="BR43" s="1523">
        <v>0.15</v>
      </c>
      <c r="BS43" s="1523">
        <v>0.15</v>
      </c>
      <c r="BT43" s="1523"/>
      <c r="BU43" s="1523"/>
      <c r="BV43" s="1523">
        <v>0.15</v>
      </c>
      <c r="BW43" s="1523">
        <v>0.15</v>
      </c>
      <c r="BX43" s="1523">
        <v>0.15</v>
      </c>
      <c r="BY43" s="1614"/>
      <c r="BZ43" s="1523">
        <v>0.15</v>
      </c>
      <c r="CA43" s="1523">
        <v>0.15</v>
      </c>
      <c r="CB43" s="1525">
        <v>0.15</v>
      </c>
      <c r="CC43" s="1523">
        <v>0.15</v>
      </c>
      <c r="CD43" s="1523">
        <v>0.15</v>
      </c>
    </row>
    <row r="44" spans="1:83" hidden="1">
      <c r="B44" s="1497" t="str">
        <f t="shared" si="47"/>
        <v>3.3.1</v>
      </c>
      <c r="C44" s="1550" t="str">
        <f t="shared" si="26"/>
        <v>照度</v>
      </c>
      <c r="D44" s="1965">
        <f>IF(I$43&gt;0,G44/I$43,0)</f>
        <v>0</v>
      </c>
      <c r="E44" s="1966">
        <f>IF(J$43&gt;0,H44/J$43,0)</f>
        <v>0</v>
      </c>
      <c r="G44" s="1966">
        <f t="shared" si="27"/>
        <v>0</v>
      </c>
      <c r="H44" s="1966">
        <f t="shared" si="28"/>
        <v>0</v>
      </c>
      <c r="I44" s="1966"/>
      <c r="J44" s="1966"/>
      <c r="K44" s="1966">
        <f>IF(スコア表示!W44=0,0,1)</f>
        <v>0</v>
      </c>
      <c r="L44" s="1966">
        <f>IF(スコア表示!AA44=0,0,1)</f>
        <v>0</v>
      </c>
      <c r="M44" s="1966">
        <f t="shared" si="29"/>
        <v>0</v>
      </c>
      <c r="N44" s="1966">
        <f t="shared" si="30"/>
        <v>0</v>
      </c>
      <c r="P44" s="1967" t="str">
        <f t="shared" si="31"/>
        <v>3.3.1</v>
      </c>
      <c r="Q44" s="1967" t="str">
        <f t="shared" si="32"/>
        <v xml:space="preserve"> Q1 3.3</v>
      </c>
      <c r="R44" s="1968" t="str">
        <f t="shared" si="33"/>
        <v>照度</v>
      </c>
      <c r="S44" s="1554">
        <f t="shared" si="34"/>
        <v>0</v>
      </c>
      <c r="T44" s="1554">
        <f t="shared" si="35"/>
        <v>0</v>
      </c>
      <c r="U44" s="1554">
        <f t="shared" si="36"/>
        <v>0</v>
      </c>
      <c r="V44" s="1554">
        <f t="shared" si="37"/>
        <v>0</v>
      </c>
      <c r="W44" s="1554">
        <f t="shared" si="38"/>
        <v>0</v>
      </c>
      <c r="X44" s="1554">
        <f t="shared" si="39"/>
        <v>0</v>
      </c>
      <c r="Y44" s="1554">
        <f t="shared" si="40"/>
        <v>0</v>
      </c>
      <c r="Z44" s="1555">
        <f t="shared" si="41"/>
        <v>0</v>
      </c>
      <c r="AA44" s="1554">
        <f t="shared" si="42"/>
        <v>0</v>
      </c>
      <c r="AB44" s="1554">
        <f t="shared" si="43"/>
        <v>0</v>
      </c>
      <c r="AC44" s="1556">
        <f t="shared" si="44"/>
        <v>0</v>
      </c>
      <c r="AD44" s="1554">
        <f t="shared" si="45"/>
        <v>0</v>
      </c>
      <c r="AE44" s="1554">
        <f t="shared" si="46"/>
        <v>0</v>
      </c>
      <c r="AG44" s="1967" t="s">
        <v>1544</v>
      </c>
      <c r="AH44" s="1969" t="s">
        <v>260</v>
      </c>
      <c r="AI44" s="1970" t="s">
        <v>1545</v>
      </c>
      <c r="AJ44" s="1518"/>
      <c r="AK44" s="1518"/>
      <c r="AL44" s="1518"/>
      <c r="AM44" s="1518"/>
      <c r="AN44" s="1518"/>
      <c r="AO44" s="1518"/>
      <c r="AP44" s="1518"/>
      <c r="AQ44" s="1531"/>
      <c r="AR44" s="1518"/>
      <c r="AS44" s="1972"/>
      <c r="AT44" s="1973"/>
      <c r="AU44" s="1972"/>
      <c r="AV44" s="1972"/>
      <c r="AX44" s="1967" t="s">
        <v>1341</v>
      </c>
      <c r="AY44" s="1969" t="s">
        <v>260</v>
      </c>
      <c r="AZ44" s="1970" t="s">
        <v>1343</v>
      </c>
      <c r="BA44" s="1974"/>
      <c r="BB44" s="1974"/>
      <c r="BC44" s="1974"/>
      <c r="BD44" s="1974"/>
      <c r="BE44" s="1974"/>
      <c r="BF44" s="1974"/>
      <c r="BG44" s="1974"/>
      <c r="BH44" s="1975"/>
      <c r="BI44" s="1974"/>
      <c r="BJ44" s="1974"/>
      <c r="BK44" s="1976"/>
      <c r="BL44" s="1974"/>
      <c r="BM44" s="1974"/>
      <c r="BO44" s="1967" t="s">
        <v>1493</v>
      </c>
      <c r="BP44" s="1969" t="s">
        <v>260</v>
      </c>
      <c r="BQ44" s="1970" t="s">
        <v>1494</v>
      </c>
      <c r="BR44" s="1974"/>
      <c r="BS44" s="1974"/>
      <c r="BT44" s="1974"/>
      <c r="BU44" s="1974"/>
      <c r="BV44" s="1974"/>
      <c r="BW44" s="1974"/>
      <c r="BX44" s="1974"/>
      <c r="BY44" s="1975"/>
      <c r="BZ44" s="1974"/>
      <c r="CA44" s="1974"/>
      <c r="CB44" s="1976"/>
      <c r="CC44" s="1974"/>
      <c r="CD44" s="1974"/>
    </row>
    <row r="45" spans="1:83" hidden="1">
      <c r="B45" s="1497" t="str">
        <f t="shared" si="47"/>
        <v>3.3.2</v>
      </c>
      <c r="C45" s="1550" t="str">
        <f t="shared" si="26"/>
        <v>照度均斉度</v>
      </c>
      <c r="D45" s="1965">
        <f>IF(I$43&gt;0,G45/I$43,0)</f>
        <v>0</v>
      </c>
      <c r="E45" s="1966">
        <f>IF(J$43&gt;0,H45/J$43,0)</f>
        <v>0</v>
      </c>
      <c r="G45" s="1966">
        <f t="shared" si="27"/>
        <v>0</v>
      </c>
      <c r="H45" s="1966">
        <f t="shared" si="28"/>
        <v>0</v>
      </c>
      <c r="I45" s="1966"/>
      <c r="J45" s="1966"/>
      <c r="K45" s="1966">
        <f>IF(スコア表示!W45=0,0,1)</f>
        <v>0</v>
      </c>
      <c r="L45" s="1966">
        <f>IF(スコア表示!AA45=0,0,1)</f>
        <v>0</v>
      </c>
      <c r="M45" s="1966">
        <f t="shared" si="29"/>
        <v>0</v>
      </c>
      <c r="N45" s="1966">
        <f t="shared" si="30"/>
        <v>0</v>
      </c>
      <c r="P45" s="1967" t="str">
        <f t="shared" si="31"/>
        <v>3.3.2</v>
      </c>
      <c r="Q45" s="1967" t="str">
        <f t="shared" si="32"/>
        <v xml:space="preserve"> Q1 3.3</v>
      </c>
      <c r="R45" s="1968" t="str">
        <f t="shared" si="33"/>
        <v>照度均斉度</v>
      </c>
      <c r="S45" s="1554">
        <f t="shared" si="34"/>
        <v>0</v>
      </c>
      <c r="T45" s="1554">
        <f t="shared" si="35"/>
        <v>0</v>
      </c>
      <c r="U45" s="1554">
        <f t="shared" si="36"/>
        <v>0</v>
      </c>
      <c r="V45" s="1554">
        <f t="shared" si="37"/>
        <v>0</v>
      </c>
      <c r="W45" s="1554">
        <f t="shared" si="38"/>
        <v>0</v>
      </c>
      <c r="X45" s="1554">
        <f t="shared" si="39"/>
        <v>0</v>
      </c>
      <c r="Y45" s="1554">
        <f t="shared" si="40"/>
        <v>0</v>
      </c>
      <c r="Z45" s="1555">
        <f t="shared" si="41"/>
        <v>0</v>
      </c>
      <c r="AA45" s="1554">
        <f t="shared" si="42"/>
        <v>0</v>
      </c>
      <c r="AB45" s="1554">
        <f t="shared" si="43"/>
        <v>0</v>
      </c>
      <c r="AC45" s="1556">
        <f t="shared" si="44"/>
        <v>0</v>
      </c>
      <c r="AD45" s="1554">
        <f t="shared" si="45"/>
        <v>0</v>
      </c>
      <c r="AE45" s="1554">
        <f t="shared" si="46"/>
        <v>0</v>
      </c>
      <c r="AG45" s="1967" t="s">
        <v>1546</v>
      </c>
      <c r="AH45" s="1969" t="s">
        <v>260</v>
      </c>
      <c r="AI45" s="1970" t="s">
        <v>1547</v>
      </c>
      <c r="AJ45" s="1554"/>
      <c r="AK45" s="1554"/>
      <c r="AL45" s="1554"/>
      <c r="AM45" s="1554"/>
      <c r="AN45" s="1554"/>
      <c r="AO45" s="1554"/>
      <c r="AP45" s="1554"/>
      <c r="AQ45" s="1971"/>
      <c r="AR45" s="1554"/>
      <c r="AS45" s="1972"/>
      <c r="AT45" s="1973"/>
      <c r="AU45" s="1972"/>
      <c r="AV45" s="1972"/>
      <c r="AX45" s="1967" t="s">
        <v>1344</v>
      </c>
      <c r="AY45" s="1969" t="s">
        <v>260</v>
      </c>
      <c r="AZ45" s="1970" t="s">
        <v>1345</v>
      </c>
      <c r="BA45" s="1974"/>
      <c r="BB45" s="1974"/>
      <c r="BC45" s="1974"/>
      <c r="BD45" s="1974"/>
      <c r="BE45" s="1974"/>
      <c r="BF45" s="1974"/>
      <c r="BG45" s="1974"/>
      <c r="BH45" s="1975"/>
      <c r="BI45" s="1974"/>
      <c r="BJ45" s="1974"/>
      <c r="BK45" s="1976"/>
      <c r="BL45" s="1974"/>
      <c r="BM45" s="1974"/>
      <c r="BO45" s="1967" t="s">
        <v>1495</v>
      </c>
      <c r="BP45" s="1969" t="s">
        <v>260</v>
      </c>
      <c r="BQ45" s="1970" t="s">
        <v>1496</v>
      </c>
      <c r="BR45" s="1974"/>
      <c r="BS45" s="1974"/>
      <c r="BT45" s="1974"/>
      <c r="BU45" s="1974"/>
      <c r="BV45" s="1974"/>
      <c r="BW45" s="1974"/>
      <c r="BX45" s="1974"/>
      <c r="BY45" s="1975"/>
      <c r="BZ45" s="1974"/>
      <c r="CA45" s="1974"/>
      <c r="CB45" s="1976"/>
      <c r="CC45" s="1974"/>
      <c r="CD45" s="1974"/>
    </row>
    <row r="46" spans="1:83">
      <c r="B46" s="1497">
        <f t="shared" si="47"/>
        <v>3.4</v>
      </c>
      <c r="C46" s="1530" t="str">
        <f t="shared" si="26"/>
        <v>照明制御</v>
      </c>
      <c r="D46" s="1616">
        <f>IF(I$34=0,0,G46/I$34)</f>
        <v>0.18472584856396868</v>
      </c>
      <c r="E46" s="1591">
        <f>IF(J$34=0,0,H46/J$34)</f>
        <v>0.25</v>
      </c>
      <c r="G46" s="1591">
        <f t="shared" si="27"/>
        <v>0.18472584856396868</v>
      </c>
      <c r="H46" s="1591">
        <f t="shared" si="28"/>
        <v>5.2219321148825066E-3</v>
      </c>
      <c r="I46" s="1591"/>
      <c r="J46" s="1591"/>
      <c r="K46" s="1591">
        <f>IF(スコア表示!W46=0,0,1)</f>
        <v>1</v>
      </c>
      <c r="L46" s="1591">
        <f>IF(スコア表示!AA46=0,0,1)</f>
        <v>1</v>
      </c>
      <c r="M46" s="1591">
        <f t="shared" si="29"/>
        <v>0.18472584856396868</v>
      </c>
      <c r="N46" s="1591">
        <f t="shared" si="30"/>
        <v>5.2219321148825066E-3</v>
      </c>
      <c r="P46" s="1547">
        <f t="shared" si="31"/>
        <v>3.4</v>
      </c>
      <c r="Q46" s="1547" t="str">
        <f t="shared" si="32"/>
        <v xml:space="preserve"> Q1 3</v>
      </c>
      <c r="R46" s="1637" t="str">
        <f t="shared" si="33"/>
        <v>照明制御</v>
      </c>
      <c r="S46" s="1518">
        <f t="shared" si="34"/>
        <v>0.25</v>
      </c>
      <c r="T46" s="1518">
        <f t="shared" si="35"/>
        <v>0.25</v>
      </c>
      <c r="U46" s="1518">
        <f t="shared" si="36"/>
        <v>0.5</v>
      </c>
      <c r="V46" s="1518">
        <f t="shared" si="37"/>
        <v>0</v>
      </c>
      <c r="W46" s="1518">
        <f t="shared" si="38"/>
        <v>0.25</v>
      </c>
      <c r="X46" s="1518">
        <f t="shared" si="39"/>
        <v>0.25</v>
      </c>
      <c r="Y46" s="1518">
        <f t="shared" si="40"/>
        <v>0.25</v>
      </c>
      <c r="Z46" s="1531">
        <f t="shared" si="41"/>
        <v>0</v>
      </c>
      <c r="AA46" s="1518">
        <f t="shared" si="42"/>
        <v>0.25</v>
      </c>
      <c r="AB46" s="1518">
        <f t="shared" si="43"/>
        <v>0.25</v>
      </c>
      <c r="AC46" s="1519">
        <f t="shared" si="44"/>
        <v>0.25</v>
      </c>
      <c r="AD46" s="1518">
        <f t="shared" si="45"/>
        <v>0.25</v>
      </c>
      <c r="AE46" s="1518">
        <f t="shared" si="46"/>
        <v>0.25</v>
      </c>
      <c r="AG46" s="1547">
        <v>3.4</v>
      </c>
      <c r="AH46" s="1593" t="s">
        <v>252</v>
      </c>
      <c r="AI46" s="1637" t="s">
        <v>591</v>
      </c>
      <c r="AJ46" s="1518">
        <v>0.25</v>
      </c>
      <c r="AK46" s="1518">
        <v>0.25</v>
      </c>
      <c r="AL46" s="1518">
        <v>0.5</v>
      </c>
      <c r="AM46" s="1518"/>
      <c r="AN46" s="1518">
        <v>0.25</v>
      </c>
      <c r="AO46" s="1518">
        <v>0.25</v>
      </c>
      <c r="AP46" s="1518">
        <v>0.25</v>
      </c>
      <c r="AQ46" s="1531"/>
      <c r="AR46" s="1518">
        <v>0.25</v>
      </c>
      <c r="AS46" s="1523">
        <v>0.25</v>
      </c>
      <c r="AT46" s="1525">
        <v>0.25</v>
      </c>
      <c r="AU46" s="1523">
        <v>0.25</v>
      </c>
      <c r="AV46" s="1523">
        <v>0.25</v>
      </c>
      <c r="AX46" s="1547">
        <v>3.4</v>
      </c>
      <c r="AY46" s="1593" t="s">
        <v>252</v>
      </c>
      <c r="AZ46" s="1637" t="s">
        <v>591</v>
      </c>
      <c r="BA46" s="1523">
        <v>0.25</v>
      </c>
      <c r="BB46" s="1523">
        <v>0.25</v>
      </c>
      <c r="BC46" s="1523">
        <v>0.5</v>
      </c>
      <c r="BD46" s="1523"/>
      <c r="BE46" s="1523">
        <v>0.25</v>
      </c>
      <c r="BF46" s="1523">
        <v>0.25</v>
      </c>
      <c r="BG46" s="1523">
        <v>0.25</v>
      </c>
      <c r="BH46" s="1614"/>
      <c r="BI46" s="1523">
        <v>0.25</v>
      </c>
      <c r="BJ46" s="1523">
        <v>0.25</v>
      </c>
      <c r="BK46" s="1525">
        <v>0.25</v>
      </c>
      <c r="BL46" s="1523">
        <v>0.25</v>
      </c>
      <c r="BM46" s="1523">
        <v>0.25</v>
      </c>
      <c r="BO46" s="1547">
        <v>3.4</v>
      </c>
      <c r="BP46" s="1593" t="s">
        <v>252</v>
      </c>
      <c r="BQ46" s="1637" t="s">
        <v>591</v>
      </c>
      <c r="BR46" s="1523">
        <v>0.25</v>
      </c>
      <c r="BS46" s="1523">
        <v>0.25</v>
      </c>
      <c r="BT46" s="1523">
        <v>0.5</v>
      </c>
      <c r="BU46" s="1523"/>
      <c r="BV46" s="1523">
        <v>0.25</v>
      </c>
      <c r="BW46" s="1523">
        <v>0.25</v>
      </c>
      <c r="BX46" s="1523">
        <v>0.25</v>
      </c>
      <c r="BY46" s="1614"/>
      <c r="BZ46" s="1523">
        <v>0.25</v>
      </c>
      <c r="CA46" s="1523">
        <v>0.25</v>
      </c>
      <c r="CB46" s="1525">
        <v>0.25</v>
      </c>
      <c r="CC46" s="1523">
        <v>0.25</v>
      </c>
      <c r="CD46" s="1523">
        <v>0.25</v>
      </c>
    </row>
    <row r="47" spans="1:83" s="1505" customFormat="1">
      <c r="A47"/>
      <c r="B47" s="1497">
        <f t="shared" si="47"/>
        <v>4</v>
      </c>
      <c r="C47" s="1528" t="str">
        <f t="shared" si="26"/>
        <v>空気質環境</v>
      </c>
      <c r="D47" s="1962">
        <f>IF(I$9=0,0,G47/I$9)</f>
        <v>0.25000000000000006</v>
      </c>
      <c r="E47" s="1643">
        <f>IF(J$9=0,0,H47/J$9)</f>
        <v>0.25</v>
      </c>
      <c r="F47"/>
      <c r="G47" s="1643">
        <f t="shared" si="27"/>
        <v>0.25000000000000006</v>
      </c>
      <c r="H47" s="1643">
        <f t="shared" si="28"/>
        <v>1</v>
      </c>
      <c r="I47" s="1643">
        <f>G48+G53+G58</f>
        <v>1</v>
      </c>
      <c r="J47" s="1643">
        <f>H48+H53+H58</f>
        <v>2.0887728459530026E-2</v>
      </c>
      <c r="K47" s="1643">
        <f>IF(スコア表示!W47=0,0,1)</f>
        <v>1</v>
      </c>
      <c r="L47" s="1643">
        <f>IF(スコア表示!AA47=0,0,1)</f>
        <v>1</v>
      </c>
      <c r="M47" s="1643">
        <f t="shared" si="29"/>
        <v>0.25000000000000006</v>
      </c>
      <c r="N47" s="1643">
        <v>1</v>
      </c>
      <c r="O47"/>
      <c r="P47" s="1541">
        <f t="shared" si="31"/>
        <v>4</v>
      </c>
      <c r="Q47" s="1541" t="str">
        <f t="shared" si="32"/>
        <v xml:space="preserve"> Q1</v>
      </c>
      <c r="R47" s="1680" t="str">
        <f t="shared" si="33"/>
        <v>空気質環境</v>
      </c>
      <c r="S47" s="1510">
        <f t="shared" si="34"/>
        <v>0.25</v>
      </c>
      <c r="T47" s="1510">
        <f t="shared" si="35"/>
        <v>0.25</v>
      </c>
      <c r="U47" s="1510">
        <f t="shared" si="36"/>
        <v>0.25</v>
      </c>
      <c r="V47" s="1510">
        <f t="shared" si="37"/>
        <v>0.25</v>
      </c>
      <c r="W47" s="1510">
        <f t="shared" si="38"/>
        <v>0.25</v>
      </c>
      <c r="X47" s="1510">
        <f t="shared" si="39"/>
        <v>0.25</v>
      </c>
      <c r="Y47" s="1510">
        <f t="shared" si="40"/>
        <v>0.25</v>
      </c>
      <c r="Z47" s="1529">
        <f t="shared" si="41"/>
        <v>0.33</v>
      </c>
      <c r="AA47" s="1510">
        <f t="shared" si="42"/>
        <v>0.25</v>
      </c>
      <c r="AB47" s="1510">
        <f t="shared" si="43"/>
        <v>0.25</v>
      </c>
      <c r="AC47" s="1559">
        <f t="shared" si="44"/>
        <v>0</v>
      </c>
      <c r="AD47" s="1510">
        <f t="shared" si="45"/>
        <v>0</v>
      </c>
      <c r="AE47" s="1510">
        <f t="shared" si="46"/>
        <v>0</v>
      </c>
      <c r="AF47"/>
      <c r="AG47" s="1541">
        <v>4</v>
      </c>
      <c r="AH47" s="1644" t="s">
        <v>230</v>
      </c>
      <c r="AI47" s="1687" t="s">
        <v>1050</v>
      </c>
      <c r="AJ47" s="1534">
        <v>0.25</v>
      </c>
      <c r="AK47" s="1534">
        <v>0.25</v>
      </c>
      <c r="AL47" s="1534">
        <v>0.25</v>
      </c>
      <c r="AM47" s="1534">
        <v>0.25</v>
      </c>
      <c r="AN47" s="1534">
        <v>0.25</v>
      </c>
      <c r="AO47" s="1534">
        <v>0.25</v>
      </c>
      <c r="AP47" s="1534">
        <v>0.25</v>
      </c>
      <c r="AQ47" s="1535">
        <v>0.33</v>
      </c>
      <c r="AR47" s="1534">
        <v>0.25</v>
      </c>
      <c r="AS47" s="1611">
        <v>0.25</v>
      </c>
      <c r="AT47" s="1963"/>
      <c r="AU47" s="1611"/>
      <c r="AV47" s="1611"/>
      <c r="AW47"/>
      <c r="AX47" s="1541">
        <v>4</v>
      </c>
      <c r="AY47" s="1644" t="s">
        <v>230</v>
      </c>
      <c r="AZ47" s="1687" t="s">
        <v>1050</v>
      </c>
      <c r="BA47" s="1534">
        <v>0.25</v>
      </c>
      <c r="BB47" s="1534">
        <v>0.25</v>
      </c>
      <c r="BC47" s="1534">
        <v>0.25</v>
      </c>
      <c r="BD47" s="1534">
        <v>0.25</v>
      </c>
      <c r="BE47" s="1534">
        <v>0.25</v>
      </c>
      <c r="BF47" s="1534">
        <v>0.25</v>
      </c>
      <c r="BG47" s="1534">
        <v>0.25</v>
      </c>
      <c r="BH47" s="1535">
        <v>0.33</v>
      </c>
      <c r="BI47" s="1534">
        <v>0.25</v>
      </c>
      <c r="BJ47" s="1534">
        <v>0.25</v>
      </c>
      <c r="BK47" s="1977"/>
      <c r="BL47" s="1534"/>
      <c r="BM47" s="1534"/>
      <c r="BN47"/>
      <c r="BO47" s="1541">
        <v>4</v>
      </c>
      <c r="BP47" s="1644" t="s">
        <v>230</v>
      </c>
      <c r="BQ47" s="1687" t="s">
        <v>1050</v>
      </c>
      <c r="BR47" s="1534">
        <v>0.25</v>
      </c>
      <c r="BS47" s="1534">
        <v>0.25</v>
      </c>
      <c r="BT47" s="1534">
        <v>0.25</v>
      </c>
      <c r="BU47" s="1534">
        <v>0.25</v>
      </c>
      <c r="BV47" s="1534">
        <v>0.25</v>
      </c>
      <c r="BW47" s="1534">
        <v>0.25</v>
      </c>
      <c r="BX47" s="1534">
        <v>0.25</v>
      </c>
      <c r="BY47" s="1535">
        <v>0.33</v>
      </c>
      <c r="BZ47" s="1534">
        <v>0.25</v>
      </c>
      <c r="CA47" s="1534">
        <v>0.25</v>
      </c>
      <c r="CB47" s="1977"/>
      <c r="CC47" s="1534"/>
      <c r="CD47" s="1534"/>
      <c r="CE47"/>
    </row>
    <row r="48" spans="1:83">
      <c r="B48" s="1497">
        <f t="shared" si="47"/>
        <v>4.0999999999999996</v>
      </c>
      <c r="C48" s="1530" t="str">
        <f t="shared" si="26"/>
        <v>発生源対策</v>
      </c>
      <c r="D48" s="1616">
        <f>IF(I$47=0,0,G48/I$47)</f>
        <v>0.5020887728459531</v>
      </c>
      <c r="E48" s="1591">
        <f>IF(J$47=0,0,H48/J$47)</f>
        <v>0.625</v>
      </c>
      <c r="G48" s="1591">
        <f t="shared" si="27"/>
        <v>0.5020887728459531</v>
      </c>
      <c r="H48" s="1591">
        <f t="shared" si="28"/>
        <v>1.3054830287206266E-2</v>
      </c>
      <c r="I48" s="1591">
        <f>SUM(G49:G52)</f>
        <v>0.50334203655352483</v>
      </c>
      <c r="J48" s="1591">
        <f>SUM(H49:H52)</f>
        <v>1.5665796344647522E-2</v>
      </c>
      <c r="K48" s="1591">
        <f>IF(スコア表示!W48=0,0,1)</f>
        <v>1</v>
      </c>
      <c r="L48" s="1591">
        <f>IF(スコア表示!AA48=0,0,1)</f>
        <v>1</v>
      </c>
      <c r="M48" s="1591">
        <f t="shared" si="29"/>
        <v>0.5020887728459531</v>
      </c>
      <c r="N48" s="1591">
        <f t="shared" si="30"/>
        <v>1.3054830287206266E-2</v>
      </c>
      <c r="P48" s="1547">
        <f t="shared" si="31"/>
        <v>4.0999999999999996</v>
      </c>
      <c r="Q48" s="1547" t="str">
        <f t="shared" si="32"/>
        <v xml:space="preserve"> Q1 4</v>
      </c>
      <c r="R48" s="1637" t="str">
        <f t="shared" si="33"/>
        <v>発生源対策</v>
      </c>
      <c r="S48" s="1518">
        <f t="shared" si="34"/>
        <v>0.5</v>
      </c>
      <c r="T48" s="1518">
        <f t="shared" si="35"/>
        <v>0.5</v>
      </c>
      <c r="U48" s="1518">
        <f t="shared" si="36"/>
        <v>0.5</v>
      </c>
      <c r="V48" s="1518">
        <f t="shared" si="37"/>
        <v>0.5</v>
      </c>
      <c r="W48" s="1518">
        <f t="shared" si="38"/>
        <v>0.5</v>
      </c>
      <c r="X48" s="1518">
        <f t="shared" si="39"/>
        <v>0.5</v>
      </c>
      <c r="Y48" s="1518">
        <f t="shared" si="40"/>
        <v>0.6</v>
      </c>
      <c r="Z48" s="1526">
        <f t="shared" si="41"/>
        <v>0.5</v>
      </c>
      <c r="AA48" s="1518">
        <f t="shared" si="42"/>
        <v>0.5</v>
      </c>
      <c r="AB48" s="1518">
        <f t="shared" si="43"/>
        <v>0.5</v>
      </c>
      <c r="AC48" s="1519">
        <f t="shared" si="44"/>
        <v>0.625</v>
      </c>
      <c r="AD48" s="1518">
        <f t="shared" si="45"/>
        <v>0.625</v>
      </c>
      <c r="AE48" s="1518">
        <f t="shared" si="46"/>
        <v>0.625</v>
      </c>
      <c r="AG48" s="1547">
        <v>4.0999999999999996</v>
      </c>
      <c r="AH48" s="1593" t="s">
        <v>261</v>
      </c>
      <c r="AI48" s="1637" t="s">
        <v>593</v>
      </c>
      <c r="AJ48" s="1536">
        <v>0.5</v>
      </c>
      <c r="AK48" s="1536">
        <v>0.5</v>
      </c>
      <c r="AL48" s="1536">
        <v>0.5</v>
      </c>
      <c r="AM48" s="1536">
        <v>0.5</v>
      </c>
      <c r="AN48" s="1536">
        <v>0.5</v>
      </c>
      <c r="AO48" s="1536">
        <v>0.5</v>
      </c>
      <c r="AP48" s="1536">
        <v>0.6</v>
      </c>
      <c r="AQ48" s="1537">
        <v>0.5</v>
      </c>
      <c r="AR48" s="1536">
        <v>0.5</v>
      </c>
      <c r="AS48" s="1523">
        <v>0.5</v>
      </c>
      <c r="AT48" s="1525">
        <v>0.625</v>
      </c>
      <c r="AU48" s="1523">
        <v>0.625</v>
      </c>
      <c r="AV48" s="1523">
        <v>0.625</v>
      </c>
      <c r="AX48" s="1547">
        <v>4.0999999999999996</v>
      </c>
      <c r="AY48" s="1593" t="s">
        <v>261</v>
      </c>
      <c r="AZ48" s="1637" t="s">
        <v>593</v>
      </c>
      <c r="BA48" s="1536">
        <v>0.5</v>
      </c>
      <c r="BB48" s="1536">
        <v>0.5</v>
      </c>
      <c r="BC48" s="1536">
        <v>0.5</v>
      </c>
      <c r="BD48" s="1536">
        <v>0.5</v>
      </c>
      <c r="BE48" s="1536">
        <v>0.5</v>
      </c>
      <c r="BF48" s="1536">
        <v>0.5</v>
      </c>
      <c r="BG48" s="1536">
        <v>0.6</v>
      </c>
      <c r="BH48" s="1537">
        <v>0.5</v>
      </c>
      <c r="BI48" s="1536">
        <v>0.5</v>
      </c>
      <c r="BJ48" s="1536">
        <v>0.5</v>
      </c>
      <c r="BK48" s="1538">
        <v>0.625</v>
      </c>
      <c r="BL48" s="1536">
        <v>0.625</v>
      </c>
      <c r="BM48" s="1536">
        <v>0.625</v>
      </c>
      <c r="BO48" s="1547">
        <v>4.0999999999999996</v>
      </c>
      <c r="BP48" s="1593" t="s">
        <v>261</v>
      </c>
      <c r="BQ48" s="1637" t="s">
        <v>593</v>
      </c>
      <c r="BR48" s="1536">
        <v>0.5</v>
      </c>
      <c r="BS48" s="1536">
        <v>0.5</v>
      </c>
      <c r="BT48" s="1536">
        <v>0.5</v>
      </c>
      <c r="BU48" s="1536">
        <v>0.5</v>
      </c>
      <c r="BV48" s="1536">
        <v>0.5</v>
      </c>
      <c r="BW48" s="1536">
        <v>0.5</v>
      </c>
      <c r="BX48" s="1536">
        <v>0.6</v>
      </c>
      <c r="BY48" s="1537">
        <v>0.5</v>
      </c>
      <c r="BZ48" s="1536">
        <v>0.5</v>
      </c>
      <c r="CA48" s="1536">
        <v>0.5</v>
      </c>
      <c r="CB48" s="1538">
        <v>0.625</v>
      </c>
      <c r="CC48" s="1536">
        <v>0.625</v>
      </c>
      <c r="CD48" s="1536">
        <v>0.625</v>
      </c>
    </row>
    <row r="49" spans="1:83">
      <c r="B49" s="1497" t="str">
        <f t="shared" si="47"/>
        <v>4.1.1</v>
      </c>
      <c r="C49" s="1514" t="str">
        <f t="shared" si="26"/>
        <v xml:space="preserve"> 化学汚染物質</v>
      </c>
      <c r="D49" s="1621">
        <f t="shared" ref="D49:E52" si="48">IF(I$48&gt;0,G49/I$48,0)</f>
        <v>0.5</v>
      </c>
      <c r="E49" s="1591">
        <f t="shared" si="48"/>
        <v>0.33333333333333331</v>
      </c>
      <c r="G49" s="1591">
        <f t="shared" si="27"/>
        <v>0.25167101827676241</v>
      </c>
      <c r="H49" s="1591">
        <f t="shared" si="28"/>
        <v>5.2219321148825066E-3</v>
      </c>
      <c r="I49" s="1591"/>
      <c r="J49" s="1591"/>
      <c r="K49" s="1591">
        <f>IF(スコア表示!W49=0,0,1)</f>
        <v>1</v>
      </c>
      <c r="L49" s="1591">
        <f>IF(スコア表示!AA49=0,0,1)</f>
        <v>1</v>
      </c>
      <c r="M49" s="1591">
        <f t="shared" si="29"/>
        <v>0.25167101827676241</v>
      </c>
      <c r="N49" s="1591">
        <f t="shared" si="30"/>
        <v>5.2219321148825066E-3</v>
      </c>
      <c r="P49" s="1547" t="str">
        <f t="shared" si="31"/>
        <v>4.1.1</v>
      </c>
      <c r="Q49" s="1547" t="str">
        <f t="shared" si="32"/>
        <v xml:space="preserve"> Q1 4.1</v>
      </c>
      <c r="R49" s="1637" t="str">
        <f t="shared" si="33"/>
        <v xml:space="preserve"> 化学汚染物質</v>
      </c>
      <c r="S49" s="1518">
        <f t="shared" si="34"/>
        <v>0.25</v>
      </c>
      <c r="T49" s="1518">
        <f t="shared" si="35"/>
        <v>0.25</v>
      </c>
      <c r="U49" s="1518">
        <f t="shared" si="36"/>
        <v>0.25</v>
      </c>
      <c r="V49" s="1518">
        <f t="shared" si="37"/>
        <v>0.25</v>
      </c>
      <c r="W49" s="1518">
        <f t="shared" si="38"/>
        <v>0.25</v>
      </c>
      <c r="X49" s="1518">
        <f t="shared" si="39"/>
        <v>0.33</v>
      </c>
      <c r="Y49" s="1518">
        <f t="shared" si="40"/>
        <v>0.33</v>
      </c>
      <c r="Z49" s="1526">
        <f t="shared" si="41"/>
        <v>0.25</v>
      </c>
      <c r="AA49" s="1518">
        <f t="shared" si="42"/>
        <v>0.25</v>
      </c>
      <c r="AB49" s="1518">
        <f t="shared" si="43"/>
        <v>0.25</v>
      </c>
      <c r="AC49" s="1519">
        <f t="shared" si="44"/>
        <v>0.25</v>
      </c>
      <c r="AD49" s="1518">
        <f t="shared" si="45"/>
        <v>0.25</v>
      </c>
      <c r="AE49" s="1518">
        <f t="shared" si="46"/>
        <v>0.25</v>
      </c>
      <c r="AG49" s="1547" t="s">
        <v>1548</v>
      </c>
      <c r="AH49" s="1593" t="s">
        <v>262</v>
      </c>
      <c r="AI49" s="1964" t="s">
        <v>263</v>
      </c>
      <c r="AJ49" s="1536">
        <v>0.25</v>
      </c>
      <c r="AK49" s="1536">
        <v>0.25</v>
      </c>
      <c r="AL49" s="1536">
        <v>0.25</v>
      </c>
      <c r="AM49" s="1536">
        <v>0.25</v>
      </c>
      <c r="AN49" s="1539">
        <v>0.25</v>
      </c>
      <c r="AO49" s="1539">
        <v>0.33</v>
      </c>
      <c r="AP49" s="1539">
        <v>0.33</v>
      </c>
      <c r="AQ49" s="1537">
        <v>0.25</v>
      </c>
      <c r="AR49" s="1536">
        <v>0.25</v>
      </c>
      <c r="AS49" s="1523">
        <v>0.25</v>
      </c>
      <c r="AT49" s="1525">
        <v>0.25</v>
      </c>
      <c r="AU49" s="1523">
        <v>0.25</v>
      </c>
      <c r="AV49" s="1523">
        <v>0.25</v>
      </c>
      <c r="AX49" s="1547" t="s">
        <v>1346</v>
      </c>
      <c r="AY49" s="1593" t="s">
        <v>262</v>
      </c>
      <c r="AZ49" s="1964" t="s">
        <v>263</v>
      </c>
      <c r="BA49" s="1536">
        <v>0.33333333333333331</v>
      </c>
      <c r="BB49" s="1536">
        <v>0.33333333333333331</v>
      </c>
      <c r="BC49" s="1536">
        <v>0.33333333333333331</v>
      </c>
      <c r="BD49" s="1536">
        <v>0.33333333333333331</v>
      </c>
      <c r="BE49" s="1536">
        <v>0.33333333333333331</v>
      </c>
      <c r="BF49" s="1536">
        <v>0.5</v>
      </c>
      <c r="BG49" s="1536">
        <v>0.5</v>
      </c>
      <c r="BH49" s="1536">
        <v>0.33333333333333331</v>
      </c>
      <c r="BI49" s="1536">
        <v>0.33333333333333331</v>
      </c>
      <c r="BJ49" s="1536">
        <v>0.33333333333333331</v>
      </c>
      <c r="BK49" s="1536">
        <v>0.33333333333333331</v>
      </c>
      <c r="BL49" s="1536">
        <v>0.33333333333333331</v>
      </c>
      <c r="BM49" s="1536">
        <v>0.33333333333333331</v>
      </c>
      <c r="BO49" s="1547" t="s">
        <v>1497</v>
      </c>
      <c r="BP49" s="1593" t="s">
        <v>262</v>
      </c>
      <c r="BQ49" s="1964" t="s">
        <v>263</v>
      </c>
      <c r="BR49" s="1536">
        <v>0.33333333333333331</v>
      </c>
      <c r="BS49" s="1536">
        <v>0.33333333333333331</v>
      </c>
      <c r="BT49" s="1536">
        <v>0.33333333333333331</v>
      </c>
      <c r="BU49" s="1536">
        <v>0.33333333333333331</v>
      </c>
      <c r="BV49" s="1536">
        <v>0.33333333333333331</v>
      </c>
      <c r="BW49" s="1536">
        <v>0.5</v>
      </c>
      <c r="BX49" s="1536">
        <v>0.5</v>
      </c>
      <c r="BY49" s="1536">
        <v>0.33333333333333331</v>
      </c>
      <c r="BZ49" s="1536">
        <v>0.33333333333333331</v>
      </c>
      <c r="CA49" s="1536">
        <v>0.33333333333333331</v>
      </c>
      <c r="CB49" s="1536">
        <v>0.33333333333333331</v>
      </c>
      <c r="CC49" s="1536">
        <v>0.33333333333333331</v>
      </c>
      <c r="CD49" s="1536">
        <v>0.33333333333333331</v>
      </c>
    </row>
    <row r="50" spans="1:83">
      <c r="B50" s="1497" t="str">
        <f t="shared" si="47"/>
        <v>4.1.2</v>
      </c>
      <c r="C50" s="1514" t="str">
        <f t="shared" si="26"/>
        <v xml:space="preserve"> アスベスト対策</v>
      </c>
      <c r="D50" s="1621">
        <f t="shared" si="48"/>
        <v>0.5</v>
      </c>
      <c r="E50" s="1591">
        <f t="shared" si="48"/>
        <v>0.33333333333333331</v>
      </c>
      <c r="G50" s="1591">
        <f t="shared" si="27"/>
        <v>0.25167101827676241</v>
      </c>
      <c r="H50" s="1591">
        <f t="shared" si="28"/>
        <v>5.2219321148825066E-3</v>
      </c>
      <c r="I50" s="1591"/>
      <c r="J50" s="1591"/>
      <c r="K50" s="1591">
        <f>IF(スコア表示!W50=0,0,1)</f>
        <v>1</v>
      </c>
      <c r="L50" s="1591">
        <f>IF(スコア表示!AA50=0,0,1)</f>
        <v>1</v>
      </c>
      <c r="M50" s="1591">
        <f t="shared" si="29"/>
        <v>0.25167101827676241</v>
      </c>
      <c r="N50" s="1591">
        <f t="shared" si="30"/>
        <v>5.2219321148825066E-3</v>
      </c>
      <c r="P50" s="1547" t="str">
        <f t="shared" si="31"/>
        <v>4.1.2</v>
      </c>
      <c r="Q50" s="1547" t="str">
        <f t="shared" si="32"/>
        <v xml:space="preserve"> Q1 4.1</v>
      </c>
      <c r="R50" s="1637" t="str">
        <f t="shared" si="33"/>
        <v xml:space="preserve"> アスベスト対策</v>
      </c>
      <c r="S50" s="1518">
        <f t="shared" si="34"/>
        <v>0.25</v>
      </c>
      <c r="T50" s="1518">
        <f t="shared" si="35"/>
        <v>0.25</v>
      </c>
      <c r="U50" s="1518">
        <f t="shared" si="36"/>
        <v>0.25</v>
      </c>
      <c r="V50" s="1518">
        <f t="shared" si="37"/>
        <v>0.25</v>
      </c>
      <c r="W50" s="1518">
        <f t="shared" si="38"/>
        <v>0.25</v>
      </c>
      <c r="X50" s="1518">
        <f t="shared" si="39"/>
        <v>0.33</v>
      </c>
      <c r="Y50" s="1518">
        <f t="shared" si="40"/>
        <v>0.33</v>
      </c>
      <c r="Z50" s="1531">
        <f t="shared" si="41"/>
        <v>0.25</v>
      </c>
      <c r="AA50" s="1518">
        <f t="shared" si="42"/>
        <v>0.25</v>
      </c>
      <c r="AB50" s="1518">
        <f t="shared" si="43"/>
        <v>0.25</v>
      </c>
      <c r="AC50" s="1519">
        <f t="shared" si="44"/>
        <v>0.25</v>
      </c>
      <c r="AD50" s="1518">
        <f t="shared" si="45"/>
        <v>0.25</v>
      </c>
      <c r="AE50" s="1518">
        <f t="shared" si="46"/>
        <v>0.25</v>
      </c>
      <c r="AG50" s="1547" t="s">
        <v>1549</v>
      </c>
      <c r="AH50" s="1593" t="s">
        <v>262</v>
      </c>
      <c r="AI50" s="1964" t="s">
        <v>1550</v>
      </c>
      <c r="AJ50" s="1536">
        <v>0.25</v>
      </c>
      <c r="AK50" s="1536">
        <v>0.25</v>
      </c>
      <c r="AL50" s="1536">
        <v>0.25</v>
      </c>
      <c r="AM50" s="1536">
        <v>0.25</v>
      </c>
      <c r="AN50" s="1539">
        <v>0.25</v>
      </c>
      <c r="AO50" s="1539">
        <v>0.33</v>
      </c>
      <c r="AP50" s="1539">
        <v>0.33</v>
      </c>
      <c r="AQ50" s="1537">
        <v>0.25</v>
      </c>
      <c r="AR50" s="1536">
        <v>0.25</v>
      </c>
      <c r="AS50" s="1523">
        <v>0.25</v>
      </c>
      <c r="AT50" s="1525">
        <v>0.25</v>
      </c>
      <c r="AU50" s="1523">
        <v>0.25</v>
      </c>
      <c r="AV50" s="1523">
        <v>0.25</v>
      </c>
      <c r="AX50" s="1967" t="s">
        <v>1347</v>
      </c>
      <c r="AY50" s="1969" t="s">
        <v>262</v>
      </c>
      <c r="AZ50" s="1970" t="s">
        <v>1348</v>
      </c>
      <c r="BA50" s="1974"/>
      <c r="BB50" s="1974"/>
      <c r="BC50" s="1974"/>
      <c r="BD50" s="1974"/>
      <c r="BE50" s="1974"/>
      <c r="BF50" s="1974"/>
      <c r="BG50" s="1974"/>
      <c r="BH50" s="1975"/>
      <c r="BI50" s="1974"/>
      <c r="BJ50" s="1974"/>
      <c r="BK50" s="1976"/>
      <c r="BL50" s="1974"/>
      <c r="BM50" s="1974"/>
      <c r="BO50" s="1967" t="s">
        <v>1498</v>
      </c>
      <c r="BP50" s="1969" t="s">
        <v>262</v>
      </c>
      <c r="BQ50" s="1970" t="s">
        <v>1499</v>
      </c>
      <c r="BR50" s="1974"/>
      <c r="BS50" s="1974"/>
      <c r="BT50" s="1974"/>
      <c r="BU50" s="1974"/>
      <c r="BV50" s="1974"/>
      <c r="BW50" s="1974"/>
      <c r="BX50" s="1974"/>
      <c r="BY50" s="1975"/>
      <c r="BZ50" s="1974"/>
      <c r="CA50" s="1974"/>
      <c r="CB50" s="1976"/>
      <c r="CC50" s="1974"/>
      <c r="CD50" s="1974"/>
    </row>
    <row r="51" spans="1:83" hidden="1">
      <c r="B51" s="1497" t="str">
        <f t="shared" si="47"/>
        <v>4.1.3</v>
      </c>
      <c r="C51" s="1550" t="str">
        <f t="shared" si="26"/>
        <v xml:space="preserve"> ダニ・カビ等</v>
      </c>
      <c r="D51" s="1621">
        <f t="shared" si="48"/>
        <v>0</v>
      </c>
      <c r="E51" s="1591">
        <f t="shared" si="48"/>
        <v>0</v>
      </c>
      <c r="G51" s="1591">
        <f t="shared" si="27"/>
        <v>0</v>
      </c>
      <c r="H51" s="1591">
        <f t="shared" si="28"/>
        <v>0</v>
      </c>
      <c r="I51" s="1591"/>
      <c r="J51" s="1591"/>
      <c r="K51" s="1591">
        <f>IF(スコア表示!W51=0,0,1)</f>
        <v>0</v>
      </c>
      <c r="L51" s="1591">
        <f>IF(スコア表示!AA51=0,0,1)</f>
        <v>0</v>
      </c>
      <c r="M51" s="1591">
        <f t="shared" si="29"/>
        <v>0.25167101827676241</v>
      </c>
      <c r="N51" s="1591">
        <f t="shared" si="30"/>
        <v>5.2219321148825066E-3</v>
      </c>
      <c r="P51" s="1547" t="str">
        <f t="shared" si="31"/>
        <v>4.1.3</v>
      </c>
      <c r="Q51" s="1547" t="str">
        <f t="shared" si="32"/>
        <v xml:space="preserve"> Q1 4.1</v>
      </c>
      <c r="R51" s="1637" t="str">
        <f t="shared" si="33"/>
        <v xml:space="preserve"> ダニ・カビ等</v>
      </c>
      <c r="S51" s="1518">
        <f t="shared" si="34"/>
        <v>0.25</v>
      </c>
      <c r="T51" s="1518">
        <f t="shared" si="35"/>
        <v>0.25</v>
      </c>
      <c r="U51" s="1518">
        <f t="shared" si="36"/>
        <v>0.25</v>
      </c>
      <c r="V51" s="1518">
        <f t="shared" si="37"/>
        <v>0.25</v>
      </c>
      <c r="W51" s="1518">
        <f t="shared" si="38"/>
        <v>0.25</v>
      </c>
      <c r="X51" s="1518">
        <f t="shared" si="39"/>
        <v>0.33</v>
      </c>
      <c r="Y51" s="1518">
        <f t="shared" si="40"/>
        <v>0.33</v>
      </c>
      <c r="Z51" s="1526">
        <f t="shared" si="41"/>
        <v>0.25</v>
      </c>
      <c r="AA51" s="1518">
        <f t="shared" si="42"/>
        <v>0.25</v>
      </c>
      <c r="AB51" s="1518">
        <f t="shared" si="43"/>
        <v>0.25</v>
      </c>
      <c r="AC51" s="1519">
        <f t="shared" si="44"/>
        <v>0.25</v>
      </c>
      <c r="AD51" s="1518">
        <f t="shared" si="45"/>
        <v>0.25</v>
      </c>
      <c r="AE51" s="1518">
        <f t="shared" si="46"/>
        <v>0.25</v>
      </c>
      <c r="AG51" s="1547" t="s">
        <v>1551</v>
      </c>
      <c r="AH51" s="1593" t="s">
        <v>262</v>
      </c>
      <c r="AI51" s="1964" t="s">
        <v>845</v>
      </c>
      <c r="AJ51" s="1974">
        <v>0.25</v>
      </c>
      <c r="AK51" s="1974">
        <v>0.25</v>
      </c>
      <c r="AL51" s="1974">
        <v>0.25</v>
      </c>
      <c r="AM51" s="1974">
        <v>0.25</v>
      </c>
      <c r="AN51" s="1978">
        <v>0.25</v>
      </c>
      <c r="AO51" s="1978">
        <v>0.33</v>
      </c>
      <c r="AP51" s="1978">
        <v>0.33</v>
      </c>
      <c r="AQ51" s="1975">
        <v>0.25</v>
      </c>
      <c r="AR51" s="1974">
        <v>0.25</v>
      </c>
      <c r="AS51" s="1523">
        <v>0.25</v>
      </c>
      <c r="AT51" s="1525">
        <v>0.25</v>
      </c>
      <c r="AU51" s="1523">
        <v>0.25</v>
      </c>
      <c r="AV51" s="1523">
        <v>0.25</v>
      </c>
      <c r="AX51" s="1547" t="s">
        <v>1349</v>
      </c>
      <c r="AY51" s="1593" t="s">
        <v>262</v>
      </c>
      <c r="AZ51" s="1964" t="s">
        <v>845</v>
      </c>
      <c r="BA51" s="1536">
        <v>0.33333333333333331</v>
      </c>
      <c r="BB51" s="1536">
        <v>0.33333333333333331</v>
      </c>
      <c r="BC51" s="1536">
        <v>0.33333333333333331</v>
      </c>
      <c r="BD51" s="1536">
        <v>0.33333333333333331</v>
      </c>
      <c r="BE51" s="1536">
        <v>0.33333333333333331</v>
      </c>
      <c r="BF51" s="1536">
        <v>0.5</v>
      </c>
      <c r="BG51" s="1536">
        <v>0.5</v>
      </c>
      <c r="BH51" s="1536">
        <v>0.33333333333333331</v>
      </c>
      <c r="BI51" s="1536">
        <v>0.33333333333333331</v>
      </c>
      <c r="BJ51" s="1536">
        <v>0.33333333333333331</v>
      </c>
      <c r="BK51" s="1536">
        <v>0.33333333333333331</v>
      </c>
      <c r="BL51" s="1536">
        <v>0.33333333333333331</v>
      </c>
      <c r="BM51" s="1536">
        <v>0.33333333333333331</v>
      </c>
      <c r="BO51" s="1547" t="s">
        <v>1500</v>
      </c>
      <c r="BP51" s="1593" t="s">
        <v>262</v>
      </c>
      <c r="BQ51" s="1964" t="s">
        <v>845</v>
      </c>
      <c r="BR51" s="1536">
        <v>0.33333333333333331</v>
      </c>
      <c r="BS51" s="1536">
        <v>0.33333333333333331</v>
      </c>
      <c r="BT51" s="1536">
        <v>0.33333333333333331</v>
      </c>
      <c r="BU51" s="1536">
        <v>0.33333333333333331</v>
      </c>
      <c r="BV51" s="1536">
        <v>0.33333333333333331</v>
      </c>
      <c r="BW51" s="1536">
        <v>0.5</v>
      </c>
      <c r="BX51" s="1536">
        <v>0.5</v>
      </c>
      <c r="BY51" s="1536">
        <v>0.33333333333333331</v>
      </c>
      <c r="BZ51" s="1536">
        <v>0.33333333333333331</v>
      </c>
      <c r="CA51" s="1536">
        <v>0.33333333333333331</v>
      </c>
      <c r="CB51" s="1536">
        <v>0.33333333333333331</v>
      </c>
      <c r="CC51" s="1536">
        <v>0.33333333333333331</v>
      </c>
      <c r="CD51" s="1536">
        <v>0.33333333333333331</v>
      </c>
    </row>
    <row r="52" spans="1:83" hidden="1">
      <c r="B52" s="1497" t="str">
        <f t="shared" si="47"/>
        <v>4.1.4</v>
      </c>
      <c r="C52" s="1550" t="str">
        <f t="shared" si="26"/>
        <v xml:space="preserve"> レジオネラ対策</v>
      </c>
      <c r="D52" s="1621">
        <f t="shared" si="48"/>
        <v>0</v>
      </c>
      <c r="E52" s="1591">
        <f t="shared" si="48"/>
        <v>0.33333333333333331</v>
      </c>
      <c r="G52" s="1591">
        <f t="shared" si="27"/>
        <v>0</v>
      </c>
      <c r="H52" s="1591">
        <f t="shared" si="28"/>
        <v>5.2219321148825066E-3</v>
      </c>
      <c r="I52" s="1591"/>
      <c r="J52" s="1591"/>
      <c r="K52" s="1591">
        <f>IF(スコア表示!W52=0,0,1)</f>
        <v>0</v>
      </c>
      <c r="L52" s="1591">
        <f>IF(スコア表示!AA52=0,0,1)</f>
        <v>1</v>
      </c>
      <c r="M52" s="1591">
        <f t="shared" si="29"/>
        <v>0.24477806788511752</v>
      </c>
      <c r="N52" s="1591">
        <f t="shared" si="30"/>
        <v>5.2219321148825066E-3</v>
      </c>
      <c r="P52" s="1547" t="str">
        <f t="shared" si="31"/>
        <v>4.1.4</v>
      </c>
      <c r="Q52" s="1547" t="str">
        <f t="shared" si="32"/>
        <v xml:space="preserve"> Q1 4.1</v>
      </c>
      <c r="R52" s="1637" t="str">
        <f t="shared" si="33"/>
        <v xml:space="preserve"> レジオネラ対策</v>
      </c>
      <c r="S52" s="1518">
        <f t="shared" si="34"/>
        <v>0.25</v>
      </c>
      <c r="T52" s="1518">
        <f t="shared" si="35"/>
        <v>0.25</v>
      </c>
      <c r="U52" s="1518">
        <f t="shared" si="36"/>
        <v>0.25</v>
      </c>
      <c r="V52" s="1518">
        <f t="shared" si="37"/>
        <v>0.25</v>
      </c>
      <c r="W52" s="1518">
        <f t="shared" si="38"/>
        <v>0.25</v>
      </c>
      <c r="X52" s="1518">
        <f t="shared" si="39"/>
        <v>0</v>
      </c>
      <c r="Y52" s="1518">
        <f t="shared" si="40"/>
        <v>0</v>
      </c>
      <c r="Z52" s="1526">
        <f t="shared" si="41"/>
        <v>0.25</v>
      </c>
      <c r="AA52" s="1518">
        <f t="shared" si="42"/>
        <v>0.25</v>
      </c>
      <c r="AB52" s="1518">
        <f t="shared" si="43"/>
        <v>0.25</v>
      </c>
      <c r="AC52" s="1519">
        <f t="shared" si="44"/>
        <v>0.25</v>
      </c>
      <c r="AD52" s="1518">
        <f t="shared" si="45"/>
        <v>0.25</v>
      </c>
      <c r="AE52" s="1518">
        <f t="shared" si="46"/>
        <v>0.25</v>
      </c>
      <c r="AG52" s="1547" t="s">
        <v>1552</v>
      </c>
      <c r="AH52" s="1593" t="s">
        <v>262</v>
      </c>
      <c r="AI52" s="1964" t="s">
        <v>265</v>
      </c>
      <c r="AJ52" s="1536">
        <v>0.25</v>
      </c>
      <c r="AK52" s="1536">
        <v>0.25</v>
      </c>
      <c r="AL52" s="1536">
        <v>0.25</v>
      </c>
      <c r="AM52" s="1536">
        <v>0.25</v>
      </c>
      <c r="AN52" s="1536">
        <v>0.25</v>
      </c>
      <c r="AO52" s="1536"/>
      <c r="AP52" s="1536"/>
      <c r="AQ52" s="1537">
        <v>0.25</v>
      </c>
      <c r="AR52" s="1536">
        <v>0.25</v>
      </c>
      <c r="AS52" s="1523">
        <v>0.25</v>
      </c>
      <c r="AT52" s="1525">
        <v>0.25</v>
      </c>
      <c r="AU52" s="1523">
        <v>0.25</v>
      </c>
      <c r="AV52" s="1523">
        <v>0.25</v>
      </c>
      <c r="AX52" s="1547" t="s">
        <v>1350</v>
      </c>
      <c r="AY52" s="1593" t="s">
        <v>262</v>
      </c>
      <c r="AZ52" s="1964" t="s">
        <v>265</v>
      </c>
      <c r="BA52" s="1536">
        <v>0.33333333333333331</v>
      </c>
      <c r="BB52" s="1536">
        <v>0.33333333333333331</v>
      </c>
      <c r="BC52" s="1536">
        <v>0.33333333333333331</v>
      </c>
      <c r="BD52" s="1536">
        <v>0.33333333333333331</v>
      </c>
      <c r="BE52" s="1536">
        <v>0.33333333333333331</v>
      </c>
      <c r="BF52" s="1536"/>
      <c r="BG52" s="1536"/>
      <c r="BH52" s="1536">
        <v>0.33333333333333331</v>
      </c>
      <c r="BI52" s="1536">
        <v>0.33333333333333331</v>
      </c>
      <c r="BJ52" s="1536">
        <v>0.33333333333333331</v>
      </c>
      <c r="BK52" s="1536">
        <v>0.33333333333333331</v>
      </c>
      <c r="BL52" s="1536">
        <v>0.33333333333333331</v>
      </c>
      <c r="BM52" s="1536">
        <v>0.33333333333333331</v>
      </c>
      <c r="BO52" s="1547" t="s">
        <v>1501</v>
      </c>
      <c r="BP52" s="1593" t="s">
        <v>262</v>
      </c>
      <c r="BQ52" s="1964" t="s">
        <v>265</v>
      </c>
      <c r="BR52" s="1536">
        <v>0.33333333333333331</v>
      </c>
      <c r="BS52" s="1536">
        <v>0.33333333333333331</v>
      </c>
      <c r="BT52" s="1536">
        <v>0.33333333333333331</v>
      </c>
      <c r="BU52" s="1536">
        <v>0.33333333333333331</v>
      </c>
      <c r="BV52" s="1536">
        <v>0.33333333333333331</v>
      </c>
      <c r="BW52" s="1536"/>
      <c r="BX52" s="1536"/>
      <c r="BY52" s="1536">
        <v>0.33333333333333331</v>
      </c>
      <c r="BZ52" s="1536">
        <v>0.33333333333333331</v>
      </c>
      <c r="CA52" s="1536">
        <v>0.33333333333333331</v>
      </c>
      <c r="CB52" s="1536">
        <v>0.33333333333333331</v>
      </c>
      <c r="CC52" s="1536">
        <v>0.33333333333333331</v>
      </c>
      <c r="CD52" s="1536">
        <v>0.33333333333333331</v>
      </c>
    </row>
    <row r="53" spans="1:83">
      <c r="B53" s="1497">
        <f t="shared" si="47"/>
        <v>4.2</v>
      </c>
      <c r="C53" s="1530" t="str">
        <f t="shared" si="26"/>
        <v>換気</v>
      </c>
      <c r="D53" s="1616">
        <f>IF(I$47=0,0,G53/I$47)</f>
        <v>0.30208877284595298</v>
      </c>
      <c r="E53" s="1591">
        <f>IF(J$47=0,0,H53/J$47)</f>
        <v>0.37500000000000006</v>
      </c>
      <c r="G53" s="1591">
        <f t="shared" si="27"/>
        <v>0.30208877284595298</v>
      </c>
      <c r="H53" s="1591">
        <f t="shared" si="28"/>
        <v>7.8328981723237608E-3</v>
      </c>
      <c r="I53" s="1591">
        <f>SUM(G54:G57)</f>
        <v>0.73346388163620546</v>
      </c>
      <c r="J53" s="1591">
        <f>SUM(H54:H57)</f>
        <v>1.3785900783289819E-2</v>
      </c>
      <c r="K53" s="1591">
        <f>IF(スコア表示!W53=0,0,1)</f>
        <v>1</v>
      </c>
      <c r="L53" s="1591">
        <f>IF(スコア表示!AA53=0,0,1)</f>
        <v>1</v>
      </c>
      <c r="M53" s="1591">
        <f t="shared" si="29"/>
        <v>0.30208877284595298</v>
      </c>
      <c r="N53" s="1591">
        <f t="shared" si="30"/>
        <v>7.8328981723237608E-3</v>
      </c>
      <c r="P53" s="1547">
        <f t="shared" si="31"/>
        <v>4.2</v>
      </c>
      <c r="Q53" s="1547" t="str">
        <f t="shared" si="32"/>
        <v xml:space="preserve"> Q1 4</v>
      </c>
      <c r="R53" s="1637" t="str">
        <f t="shared" si="33"/>
        <v>換気</v>
      </c>
      <c r="S53" s="1518">
        <f t="shared" si="34"/>
        <v>0.3</v>
      </c>
      <c r="T53" s="1518">
        <f t="shared" si="35"/>
        <v>0.3</v>
      </c>
      <c r="U53" s="1518">
        <f t="shared" si="36"/>
        <v>0.3</v>
      </c>
      <c r="V53" s="1518">
        <f t="shared" si="37"/>
        <v>0.3</v>
      </c>
      <c r="W53" s="1518">
        <f t="shared" si="38"/>
        <v>0.3</v>
      </c>
      <c r="X53" s="1518">
        <f t="shared" si="39"/>
        <v>0.3</v>
      </c>
      <c r="Y53" s="1518">
        <f t="shared" si="40"/>
        <v>0.4</v>
      </c>
      <c r="Z53" s="1526">
        <f t="shared" si="41"/>
        <v>0.3</v>
      </c>
      <c r="AA53" s="1518">
        <f t="shared" si="42"/>
        <v>0.3</v>
      </c>
      <c r="AB53" s="1518">
        <f t="shared" si="43"/>
        <v>0.3</v>
      </c>
      <c r="AC53" s="1519">
        <f t="shared" si="44"/>
        <v>0.375</v>
      </c>
      <c r="AD53" s="1518">
        <f t="shared" si="45"/>
        <v>0.375</v>
      </c>
      <c r="AE53" s="1518">
        <f t="shared" si="46"/>
        <v>0.375</v>
      </c>
      <c r="AG53" s="1547">
        <v>4.2</v>
      </c>
      <c r="AH53" s="1593" t="s">
        <v>261</v>
      </c>
      <c r="AI53" s="1637" t="s">
        <v>600</v>
      </c>
      <c r="AJ53" s="1536">
        <v>0.3</v>
      </c>
      <c r="AK53" s="1536">
        <v>0.3</v>
      </c>
      <c r="AL53" s="1536">
        <v>0.3</v>
      </c>
      <c r="AM53" s="1536">
        <v>0.3</v>
      </c>
      <c r="AN53" s="1536">
        <v>0.3</v>
      </c>
      <c r="AO53" s="1536">
        <v>0.3</v>
      </c>
      <c r="AP53" s="1536">
        <v>0.4</v>
      </c>
      <c r="AQ53" s="1537">
        <v>0.3</v>
      </c>
      <c r="AR53" s="1536">
        <v>0.3</v>
      </c>
      <c r="AS53" s="1523">
        <v>0.3</v>
      </c>
      <c r="AT53" s="1525">
        <v>0.375</v>
      </c>
      <c r="AU53" s="1523">
        <v>0.375</v>
      </c>
      <c r="AV53" s="1523">
        <v>0.375</v>
      </c>
      <c r="AX53" s="1547">
        <v>4.2</v>
      </c>
      <c r="AY53" s="1593" t="s">
        <v>261</v>
      </c>
      <c r="AZ53" s="1637" t="s">
        <v>600</v>
      </c>
      <c r="BA53" s="1536">
        <v>0.3</v>
      </c>
      <c r="BB53" s="1536">
        <v>0.3</v>
      </c>
      <c r="BC53" s="1536">
        <v>0.3</v>
      </c>
      <c r="BD53" s="1536">
        <v>0.3</v>
      </c>
      <c r="BE53" s="1536">
        <v>0.3</v>
      </c>
      <c r="BF53" s="1536">
        <v>0.3</v>
      </c>
      <c r="BG53" s="1536">
        <v>0.4</v>
      </c>
      <c r="BH53" s="1537">
        <v>0.3</v>
      </c>
      <c r="BI53" s="1536">
        <v>0.3</v>
      </c>
      <c r="BJ53" s="1536">
        <v>0.3</v>
      </c>
      <c r="BK53" s="1538">
        <v>0.375</v>
      </c>
      <c r="BL53" s="1536">
        <v>0.375</v>
      </c>
      <c r="BM53" s="1536">
        <v>0.375</v>
      </c>
      <c r="BO53" s="1547">
        <v>4.2</v>
      </c>
      <c r="BP53" s="1593" t="s">
        <v>261</v>
      </c>
      <c r="BQ53" s="1637" t="s">
        <v>600</v>
      </c>
      <c r="BR53" s="1536">
        <v>0.3</v>
      </c>
      <c r="BS53" s="1536">
        <v>0.3</v>
      </c>
      <c r="BT53" s="1536">
        <v>0.3</v>
      </c>
      <c r="BU53" s="1536">
        <v>0.3</v>
      </c>
      <c r="BV53" s="1536">
        <v>0.3</v>
      </c>
      <c r="BW53" s="1536">
        <v>0.3</v>
      </c>
      <c r="BX53" s="1536">
        <v>0.4</v>
      </c>
      <c r="BY53" s="1537">
        <v>0.3</v>
      </c>
      <c r="BZ53" s="1536">
        <v>0.3</v>
      </c>
      <c r="CA53" s="1536">
        <v>0.3</v>
      </c>
      <c r="CB53" s="1538">
        <v>0.375</v>
      </c>
      <c r="CC53" s="1536">
        <v>0.375</v>
      </c>
      <c r="CD53" s="1536">
        <v>0.375</v>
      </c>
    </row>
    <row r="54" spans="1:83">
      <c r="B54" s="1497" t="str">
        <f t="shared" si="47"/>
        <v>4.2.1</v>
      </c>
      <c r="C54" s="1514" t="str">
        <f t="shared" si="26"/>
        <v>換気量</v>
      </c>
      <c r="D54" s="1621">
        <f t="shared" ref="D54:E57" si="49">IF(I$53&gt;0,G54/I$53,0)</f>
        <v>0.36339365173539012</v>
      </c>
      <c r="E54" s="1591">
        <f t="shared" si="49"/>
        <v>0</v>
      </c>
      <c r="G54" s="1591">
        <f t="shared" si="27"/>
        <v>0.26653611836379465</v>
      </c>
      <c r="H54" s="1591">
        <f t="shared" si="28"/>
        <v>0</v>
      </c>
      <c r="I54" s="1591"/>
      <c r="J54" s="1591"/>
      <c r="K54" s="1591">
        <f>IF(スコア表示!W54=0,0,1)</f>
        <v>1</v>
      </c>
      <c r="L54" s="1591">
        <f>IF(スコア表示!AA54=0,0,1)</f>
        <v>1</v>
      </c>
      <c r="M54" s="1591">
        <f t="shared" si="29"/>
        <v>0.26653611836379465</v>
      </c>
      <c r="N54" s="1591">
        <f t="shared" si="30"/>
        <v>0</v>
      </c>
      <c r="P54" s="1547" t="str">
        <f t="shared" si="31"/>
        <v>4.2.1</v>
      </c>
      <c r="Q54" s="1547" t="str">
        <f t="shared" si="32"/>
        <v xml:space="preserve"> Q1 4.2</v>
      </c>
      <c r="R54" s="1637" t="str">
        <f t="shared" si="33"/>
        <v>換気量</v>
      </c>
      <c r="S54" s="1518">
        <f t="shared" si="34"/>
        <v>0.25</v>
      </c>
      <c r="T54" s="1518">
        <f t="shared" si="35"/>
        <v>0.25</v>
      </c>
      <c r="U54" s="1518">
        <f t="shared" si="36"/>
        <v>0.33333333333333331</v>
      </c>
      <c r="V54" s="1518">
        <f t="shared" si="37"/>
        <v>0.33333333333333331</v>
      </c>
      <c r="W54" s="1518">
        <f t="shared" si="38"/>
        <v>0.33333333333333331</v>
      </c>
      <c r="X54" s="1518">
        <f t="shared" si="39"/>
        <v>0.33333333333333331</v>
      </c>
      <c r="Y54" s="1518">
        <f t="shared" si="40"/>
        <v>0</v>
      </c>
      <c r="Z54" s="1526">
        <f t="shared" si="41"/>
        <v>0.33333333333333331</v>
      </c>
      <c r="AA54" s="1518">
        <f t="shared" si="42"/>
        <v>0.25</v>
      </c>
      <c r="AB54" s="1518">
        <f t="shared" si="43"/>
        <v>0.25</v>
      </c>
      <c r="AC54" s="1519">
        <f t="shared" si="44"/>
        <v>0.25</v>
      </c>
      <c r="AD54" s="1518">
        <f t="shared" si="45"/>
        <v>0.25</v>
      </c>
      <c r="AE54" s="1518">
        <f t="shared" si="46"/>
        <v>0</v>
      </c>
      <c r="AG54" s="1547" t="s">
        <v>1351</v>
      </c>
      <c r="AH54" s="1593" t="s">
        <v>266</v>
      </c>
      <c r="AI54" s="1964" t="s">
        <v>267</v>
      </c>
      <c r="AJ54" s="1536">
        <v>0.25</v>
      </c>
      <c r="AK54" s="1536">
        <v>0.25</v>
      </c>
      <c r="AL54" s="1539">
        <v>0.33333333333333331</v>
      </c>
      <c r="AM54" s="1539">
        <v>0.33333333333333331</v>
      </c>
      <c r="AN54" s="1539">
        <v>0.33333333333333331</v>
      </c>
      <c r="AO54" s="1539">
        <v>0.33333333333333331</v>
      </c>
      <c r="AP54" s="1536"/>
      <c r="AQ54" s="1539">
        <v>0.33333333333333331</v>
      </c>
      <c r="AR54" s="1536">
        <v>0.25</v>
      </c>
      <c r="AS54" s="1523">
        <v>0.25</v>
      </c>
      <c r="AT54" s="1525">
        <v>0.25</v>
      </c>
      <c r="AU54" s="1523">
        <v>0.25</v>
      </c>
      <c r="AV54" s="1523"/>
      <c r="AX54" s="1547" t="s">
        <v>1351</v>
      </c>
      <c r="AY54" s="1593" t="s">
        <v>266</v>
      </c>
      <c r="AZ54" s="1964" t="s">
        <v>267</v>
      </c>
      <c r="BA54" s="1536">
        <v>0.25</v>
      </c>
      <c r="BB54" s="1536">
        <v>0.25</v>
      </c>
      <c r="BC54" s="1536">
        <v>0.33333333333333331</v>
      </c>
      <c r="BD54" s="1536">
        <v>0.33333333333333331</v>
      </c>
      <c r="BE54" s="1536">
        <v>0.33333333333333331</v>
      </c>
      <c r="BF54" s="1536">
        <v>0.33333333333333331</v>
      </c>
      <c r="BG54" s="1536">
        <v>0.5</v>
      </c>
      <c r="BH54" s="1536">
        <v>0.33333333333333331</v>
      </c>
      <c r="BI54" s="1536">
        <v>0.25</v>
      </c>
      <c r="BJ54" s="1536">
        <v>0.25</v>
      </c>
      <c r="BK54" s="1538">
        <v>0.25</v>
      </c>
      <c r="BL54" s="1536">
        <v>0.25</v>
      </c>
      <c r="BM54" s="1536">
        <v>0.25</v>
      </c>
      <c r="BO54" s="1547" t="s">
        <v>1351</v>
      </c>
      <c r="BP54" s="1593" t="s">
        <v>266</v>
      </c>
      <c r="BQ54" s="1964" t="s">
        <v>267</v>
      </c>
      <c r="BR54" s="1536">
        <v>0.25</v>
      </c>
      <c r="BS54" s="1536">
        <v>0.25</v>
      </c>
      <c r="BT54" s="1536">
        <v>0.33333333333333331</v>
      </c>
      <c r="BU54" s="1536">
        <v>0.33333333333333331</v>
      </c>
      <c r="BV54" s="1536">
        <v>0.33333333333333331</v>
      </c>
      <c r="BW54" s="1536">
        <v>0.33333333333333331</v>
      </c>
      <c r="BX54" s="1536">
        <v>0.5</v>
      </c>
      <c r="BY54" s="1536">
        <v>0.33333333333333331</v>
      </c>
      <c r="BZ54" s="1536">
        <v>0.25</v>
      </c>
      <c r="CA54" s="1536">
        <v>0.25</v>
      </c>
      <c r="CB54" s="1538">
        <v>0.25</v>
      </c>
      <c r="CC54" s="1536">
        <v>0.25</v>
      </c>
      <c r="CD54" s="1536">
        <v>0.25</v>
      </c>
    </row>
    <row r="55" spans="1:83">
      <c r="B55" s="1497" t="str">
        <f t="shared" si="47"/>
        <v>4.2.2</v>
      </c>
      <c r="C55" s="1514" t="str">
        <f t="shared" si="26"/>
        <v>自然換気性能</v>
      </c>
      <c r="D55" s="1621">
        <f t="shared" si="49"/>
        <v>0.24473450014832393</v>
      </c>
      <c r="E55" s="1591">
        <f t="shared" si="49"/>
        <v>0.5</v>
      </c>
      <c r="G55" s="1591">
        <f t="shared" si="27"/>
        <v>0.17950391644908617</v>
      </c>
      <c r="H55" s="1591">
        <f t="shared" si="28"/>
        <v>6.8929503916449093E-3</v>
      </c>
      <c r="I55" s="1591"/>
      <c r="J55" s="1591"/>
      <c r="K55" s="1591">
        <f>IF(スコア表示!W55=0,0,1)</f>
        <v>1</v>
      </c>
      <c r="L55" s="1591">
        <f>IF(スコア表示!AA55=0,0,1)</f>
        <v>1</v>
      </c>
      <c r="M55" s="1591">
        <f t="shared" si="29"/>
        <v>0.17950391644908617</v>
      </c>
      <c r="N55" s="1591">
        <f t="shared" si="30"/>
        <v>6.8929503916449093E-3</v>
      </c>
      <c r="P55" s="1547" t="str">
        <f t="shared" si="31"/>
        <v>4.2.2</v>
      </c>
      <c r="Q55" s="1547" t="str">
        <f t="shared" si="32"/>
        <v xml:space="preserve"> Q1 4.2</v>
      </c>
      <c r="R55" s="1637" t="str">
        <f t="shared" si="33"/>
        <v>自然換気性能</v>
      </c>
      <c r="S55" s="1518">
        <f t="shared" si="34"/>
        <v>0.25</v>
      </c>
      <c r="T55" s="1518">
        <f t="shared" si="35"/>
        <v>0.25</v>
      </c>
      <c r="U55" s="1518">
        <f t="shared" si="36"/>
        <v>0</v>
      </c>
      <c r="V55" s="1518">
        <f t="shared" si="37"/>
        <v>0</v>
      </c>
      <c r="W55" s="1518">
        <f t="shared" si="38"/>
        <v>0</v>
      </c>
      <c r="X55" s="1518">
        <f t="shared" si="39"/>
        <v>0</v>
      </c>
      <c r="Y55" s="1518">
        <f t="shared" si="40"/>
        <v>0</v>
      </c>
      <c r="Z55" s="1526">
        <f t="shared" si="41"/>
        <v>0</v>
      </c>
      <c r="AA55" s="1518">
        <f t="shared" si="42"/>
        <v>0.25</v>
      </c>
      <c r="AB55" s="1518">
        <f t="shared" si="43"/>
        <v>0.25</v>
      </c>
      <c r="AC55" s="1519">
        <f t="shared" si="44"/>
        <v>0.25</v>
      </c>
      <c r="AD55" s="1518">
        <f t="shared" si="45"/>
        <v>0.25</v>
      </c>
      <c r="AE55" s="1518">
        <f t="shared" si="46"/>
        <v>0.33</v>
      </c>
      <c r="AG55" s="1547" t="s">
        <v>1353</v>
      </c>
      <c r="AH55" s="1593" t="s">
        <v>266</v>
      </c>
      <c r="AI55" s="1964" t="s">
        <v>268</v>
      </c>
      <c r="AJ55" s="1536">
        <v>0.25</v>
      </c>
      <c r="AK55" s="1536">
        <v>0.25</v>
      </c>
      <c r="AL55" s="1536"/>
      <c r="AM55" s="1536"/>
      <c r="AN55" s="1536"/>
      <c r="AO55" s="1536"/>
      <c r="AP55" s="1536"/>
      <c r="AQ55" s="1537"/>
      <c r="AR55" s="1536">
        <v>0.25</v>
      </c>
      <c r="AS55" s="1523">
        <v>0.25</v>
      </c>
      <c r="AT55" s="1525">
        <v>0.25</v>
      </c>
      <c r="AU55" s="1523">
        <v>0.25</v>
      </c>
      <c r="AV55" s="1523">
        <v>0.33</v>
      </c>
      <c r="AX55" s="1547" t="s">
        <v>1353</v>
      </c>
      <c r="AY55" s="1593" t="s">
        <v>266</v>
      </c>
      <c r="AZ55" s="1964" t="s">
        <v>268</v>
      </c>
      <c r="BA55" s="1536">
        <v>0.25</v>
      </c>
      <c r="BB55" s="1536">
        <v>0.25</v>
      </c>
      <c r="BC55" s="1536"/>
      <c r="BD55" s="1536"/>
      <c r="BE55" s="1536"/>
      <c r="BF55" s="1536"/>
      <c r="BG55" s="1536"/>
      <c r="BH55" s="1537"/>
      <c r="BI55" s="1536">
        <v>0.25</v>
      </c>
      <c r="BJ55" s="1536">
        <v>0.25</v>
      </c>
      <c r="BK55" s="1538">
        <v>0.25</v>
      </c>
      <c r="BL55" s="1536">
        <v>0.25</v>
      </c>
      <c r="BM55" s="1536">
        <v>0.25</v>
      </c>
      <c r="BO55" s="1547" t="s">
        <v>1353</v>
      </c>
      <c r="BP55" s="1593" t="s">
        <v>266</v>
      </c>
      <c r="BQ55" s="1964" t="s">
        <v>268</v>
      </c>
      <c r="BR55" s="1536">
        <v>0.25</v>
      </c>
      <c r="BS55" s="1536">
        <v>0.25</v>
      </c>
      <c r="BT55" s="1536"/>
      <c r="BU55" s="1536"/>
      <c r="BV55" s="1536"/>
      <c r="BW55" s="1536"/>
      <c r="BX55" s="1536"/>
      <c r="BY55" s="1537"/>
      <c r="BZ55" s="1536">
        <v>0.25</v>
      </c>
      <c r="CA55" s="1536">
        <v>0.25</v>
      </c>
      <c r="CB55" s="1538">
        <v>0.25</v>
      </c>
      <c r="CC55" s="1536">
        <v>0.25</v>
      </c>
      <c r="CD55" s="1536">
        <v>0.25</v>
      </c>
    </row>
    <row r="56" spans="1:83">
      <c r="B56" s="1497" t="str">
        <f t="shared" si="47"/>
        <v>4.2.3</v>
      </c>
      <c r="C56" s="1514" t="str">
        <f t="shared" si="26"/>
        <v>取り入れ外気への配慮</v>
      </c>
      <c r="D56" s="1621">
        <f t="shared" si="49"/>
        <v>0.391871848116286</v>
      </c>
      <c r="E56" s="1591">
        <f t="shared" si="49"/>
        <v>0.5</v>
      </c>
      <c r="G56" s="1591">
        <f t="shared" si="27"/>
        <v>0.28742384682332467</v>
      </c>
      <c r="H56" s="1591">
        <f t="shared" si="28"/>
        <v>6.8929503916449093E-3</v>
      </c>
      <c r="I56" s="1591"/>
      <c r="J56" s="1591"/>
      <c r="K56" s="1591">
        <f>IF(スコア表示!W56=0,0,1)</f>
        <v>1</v>
      </c>
      <c r="L56" s="1591">
        <f>IF(スコア表示!AA56=0,0,1)</f>
        <v>1</v>
      </c>
      <c r="M56" s="1591">
        <f t="shared" si="29"/>
        <v>0.28742384682332467</v>
      </c>
      <c r="N56" s="1591">
        <f t="shared" si="30"/>
        <v>6.8929503916449093E-3</v>
      </c>
      <c r="P56" s="1547" t="str">
        <f t="shared" si="31"/>
        <v>4.2.3</v>
      </c>
      <c r="Q56" s="1547" t="str">
        <f t="shared" si="32"/>
        <v xml:space="preserve"> Q1 4.2</v>
      </c>
      <c r="R56" s="1637" t="str">
        <f t="shared" si="33"/>
        <v>取り入れ外気への配慮</v>
      </c>
      <c r="S56" s="1518">
        <f t="shared" si="34"/>
        <v>0.25</v>
      </c>
      <c r="T56" s="1518">
        <f t="shared" si="35"/>
        <v>0.25</v>
      </c>
      <c r="U56" s="1518">
        <f t="shared" si="36"/>
        <v>0.33333333333333331</v>
      </c>
      <c r="V56" s="1518">
        <f t="shared" si="37"/>
        <v>0.33333333333333331</v>
      </c>
      <c r="W56" s="1518">
        <f t="shared" si="38"/>
        <v>0.33333333333333331</v>
      </c>
      <c r="X56" s="1518">
        <f t="shared" si="39"/>
        <v>0.33333333333333331</v>
      </c>
      <c r="Y56" s="1518">
        <f t="shared" si="40"/>
        <v>1</v>
      </c>
      <c r="Z56" s="1526">
        <f t="shared" si="41"/>
        <v>0.33333333333333331</v>
      </c>
      <c r="AA56" s="1518">
        <f t="shared" si="42"/>
        <v>0.25</v>
      </c>
      <c r="AB56" s="1518">
        <f t="shared" si="43"/>
        <v>0.25</v>
      </c>
      <c r="AC56" s="1519">
        <f t="shared" si="44"/>
        <v>0.25</v>
      </c>
      <c r="AD56" s="1518">
        <f t="shared" si="45"/>
        <v>0.25</v>
      </c>
      <c r="AE56" s="1518">
        <f t="shared" si="46"/>
        <v>0.33</v>
      </c>
      <c r="AG56" s="1547" t="s">
        <v>1354</v>
      </c>
      <c r="AH56" s="1593" t="s">
        <v>266</v>
      </c>
      <c r="AI56" s="1964" t="s">
        <v>269</v>
      </c>
      <c r="AJ56" s="1536">
        <v>0.25</v>
      </c>
      <c r="AK56" s="1536">
        <v>0.25</v>
      </c>
      <c r="AL56" s="1539">
        <v>0.33333333333333331</v>
      </c>
      <c r="AM56" s="1539">
        <v>0.33333333333333331</v>
      </c>
      <c r="AN56" s="1539">
        <v>0.33333333333333331</v>
      </c>
      <c r="AO56" s="1539">
        <v>0.33333333333333331</v>
      </c>
      <c r="AP56" s="1536">
        <v>1</v>
      </c>
      <c r="AQ56" s="1539">
        <v>0.33333333333333331</v>
      </c>
      <c r="AR56" s="1536">
        <v>0.25</v>
      </c>
      <c r="AS56" s="1523">
        <v>0.25</v>
      </c>
      <c r="AT56" s="1525">
        <v>0.25</v>
      </c>
      <c r="AU56" s="1523">
        <v>0.25</v>
      </c>
      <c r="AV56" s="1523">
        <v>0.33</v>
      </c>
      <c r="AX56" s="1547" t="s">
        <v>1354</v>
      </c>
      <c r="AY56" s="1593" t="s">
        <v>266</v>
      </c>
      <c r="AZ56" s="1964" t="s">
        <v>269</v>
      </c>
      <c r="BA56" s="1536">
        <v>0.25</v>
      </c>
      <c r="BB56" s="1536">
        <v>0.25</v>
      </c>
      <c r="BC56" s="1536">
        <v>0.33333333333333331</v>
      </c>
      <c r="BD56" s="1536">
        <v>0.33333333333333331</v>
      </c>
      <c r="BE56" s="1536">
        <v>0.33333333333333331</v>
      </c>
      <c r="BF56" s="1536">
        <v>0.33333333333333331</v>
      </c>
      <c r="BG56" s="1536">
        <v>0.5</v>
      </c>
      <c r="BH56" s="1536">
        <v>0.33333333333333331</v>
      </c>
      <c r="BI56" s="1536">
        <v>0.25</v>
      </c>
      <c r="BJ56" s="1536">
        <v>0.25</v>
      </c>
      <c r="BK56" s="1538">
        <v>0.25</v>
      </c>
      <c r="BL56" s="1536">
        <v>0.25</v>
      </c>
      <c r="BM56" s="1536">
        <v>0.25</v>
      </c>
      <c r="BO56" s="1547" t="s">
        <v>1354</v>
      </c>
      <c r="BP56" s="1593" t="s">
        <v>266</v>
      </c>
      <c r="BQ56" s="1964" t="s">
        <v>269</v>
      </c>
      <c r="BR56" s="1536">
        <v>0.25</v>
      </c>
      <c r="BS56" s="1536">
        <v>0.25</v>
      </c>
      <c r="BT56" s="1536">
        <v>0.33333333333333331</v>
      </c>
      <c r="BU56" s="1536">
        <v>0.33333333333333331</v>
      </c>
      <c r="BV56" s="1536">
        <v>0.33333333333333331</v>
      </c>
      <c r="BW56" s="1536">
        <v>0.33333333333333331</v>
      </c>
      <c r="BX56" s="1536">
        <v>0.5</v>
      </c>
      <c r="BY56" s="1536">
        <v>0.33333333333333331</v>
      </c>
      <c r="BZ56" s="1536">
        <v>0.25</v>
      </c>
      <c r="CA56" s="1536">
        <v>0.25</v>
      </c>
      <c r="CB56" s="1538">
        <v>0.25</v>
      </c>
      <c r="CC56" s="1536">
        <v>0.25</v>
      </c>
      <c r="CD56" s="1536">
        <v>0.25</v>
      </c>
    </row>
    <row r="57" spans="1:83" hidden="1">
      <c r="B57" s="1497" t="str">
        <f t="shared" si="47"/>
        <v>4.2.4</v>
      </c>
      <c r="C57" s="1550" t="str">
        <f t="shared" si="26"/>
        <v>給気計画</v>
      </c>
      <c r="D57" s="1621">
        <f t="shared" si="49"/>
        <v>0</v>
      </c>
      <c r="E57" s="1591">
        <f t="shared" si="49"/>
        <v>0</v>
      </c>
      <c r="G57" s="1591">
        <f t="shared" si="27"/>
        <v>0</v>
      </c>
      <c r="H57" s="1591">
        <f t="shared" si="28"/>
        <v>0</v>
      </c>
      <c r="I57" s="1591"/>
      <c r="J57" s="1591"/>
      <c r="K57" s="1591">
        <f>IF(スコア表示!W57=0,0,1)</f>
        <v>0</v>
      </c>
      <c r="L57" s="1591">
        <f>IF(スコア表示!AA57=0,0,1)</f>
        <v>0</v>
      </c>
      <c r="M57" s="1591">
        <f t="shared" si="29"/>
        <v>0.26653611836379465</v>
      </c>
      <c r="N57" s="1591">
        <f t="shared" si="30"/>
        <v>6.8929503916449093E-3</v>
      </c>
      <c r="P57" s="1547" t="str">
        <f t="shared" si="31"/>
        <v>4.2.4</v>
      </c>
      <c r="Q57" s="1547" t="str">
        <f t="shared" si="32"/>
        <v xml:space="preserve"> Q1 4.2</v>
      </c>
      <c r="R57" s="1637" t="str">
        <f t="shared" si="33"/>
        <v>給気計画</v>
      </c>
      <c r="S57" s="1518">
        <f t="shared" si="34"/>
        <v>0.25</v>
      </c>
      <c r="T57" s="1518">
        <f t="shared" si="35"/>
        <v>0.25</v>
      </c>
      <c r="U57" s="1518">
        <f t="shared" si="36"/>
        <v>0.33333333333333331</v>
      </c>
      <c r="V57" s="1518">
        <f t="shared" si="37"/>
        <v>0.33333333333333331</v>
      </c>
      <c r="W57" s="1518">
        <f t="shared" si="38"/>
        <v>0.33333333333333331</v>
      </c>
      <c r="X57" s="1518">
        <f t="shared" si="39"/>
        <v>0.33333333333333331</v>
      </c>
      <c r="Y57" s="1518">
        <f t="shared" si="40"/>
        <v>0</v>
      </c>
      <c r="Z57" s="1526">
        <f t="shared" si="41"/>
        <v>0.33333333333333331</v>
      </c>
      <c r="AA57" s="1518">
        <f t="shared" si="42"/>
        <v>0.25</v>
      </c>
      <c r="AB57" s="1518">
        <f t="shared" si="43"/>
        <v>0.25</v>
      </c>
      <c r="AC57" s="1519">
        <f t="shared" si="44"/>
        <v>0.25</v>
      </c>
      <c r="AD57" s="1518">
        <f t="shared" si="45"/>
        <v>0.25</v>
      </c>
      <c r="AE57" s="1518">
        <f t="shared" si="46"/>
        <v>0.33</v>
      </c>
      <c r="AG57" s="1547" t="s">
        <v>1355</v>
      </c>
      <c r="AH57" s="1593" t="s">
        <v>266</v>
      </c>
      <c r="AI57" s="1964" t="s">
        <v>1356</v>
      </c>
      <c r="AJ57" s="1974">
        <v>0.25</v>
      </c>
      <c r="AK57" s="1974">
        <v>0.25</v>
      </c>
      <c r="AL57" s="1978">
        <v>0.33333333333333331</v>
      </c>
      <c r="AM57" s="1978">
        <v>0.33333333333333331</v>
      </c>
      <c r="AN57" s="1978">
        <v>0.33333333333333331</v>
      </c>
      <c r="AO57" s="1978">
        <v>0.33333333333333331</v>
      </c>
      <c r="AP57" s="1974"/>
      <c r="AQ57" s="1978">
        <v>0.33333333333333331</v>
      </c>
      <c r="AR57" s="1974">
        <v>0.25</v>
      </c>
      <c r="AS57" s="1523">
        <v>0.25</v>
      </c>
      <c r="AT57" s="1525">
        <v>0.25</v>
      </c>
      <c r="AU57" s="1523">
        <v>0.25</v>
      </c>
      <c r="AV57" s="1523">
        <v>0.33</v>
      </c>
      <c r="AX57" s="1547" t="s">
        <v>1355</v>
      </c>
      <c r="AY57" s="1593" t="s">
        <v>266</v>
      </c>
      <c r="AZ57" s="1964" t="s">
        <v>1356</v>
      </c>
      <c r="BA57" s="1536">
        <v>0.25</v>
      </c>
      <c r="BB57" s="1536">
        <v>0.25</v>
      </c>
      <c r="BC57" s="1536">
        <v>0.33333333333333331</v>
      </c>
      <c r="BD57" s="1536">
        <v>0.33333333333333331</v>
      </c>
      <c r="BE57" s="1536">
        <v>0.33333333333333331</v>
      </c>
      <c r="BF57" s="1536">
        <v>0.33333333333333331</v>
      </c>
      <c r="BG57" s="1536"/>
      <c r="BH57" s="1536">
        <v>0.33333333333333331</v>
      </c>
      <c r="BI57" s="1536">
        <v>0.25</v>
      </c>
      <c r="BJ57" s="1536">
        <v>0.25</v>
      </c>
      <c r="BK57" s="1538">
        <v>0.25</v>
      </c>
      <c r="BL57" s="1536">
        <v>0.25</v>
      </c>
      <c r="BM57" s="1536">
        <v>0.25</v>
      </c>
      <c r="BO57" s="1547" t="s">
        <v>1355</v>
      </c>
      <c r="BP57" s="1593" t="s">
        <v>266</v>
      </c>
      <c r="BQ57" s="1964" t="s">
        <v>1356</v>
      </c>
      <c r="BR57" s="1536">
        <v>0.25</v>
      </c>
      <c r="BS57" s="1536">
        <v>0.25</v>
      </c>
      <c r="BT57" s="1536">
        <v>0.33333333333333331</v>
      </c>
      <c r="BU57" s="1536">
        <v>0.33333333333333331</v>
      </c>
      <c r="BV57" s="1536">
        <v>0.33333333333333331</v>
      </c>
      <c r="BW57" s="1536">
        <v>0.33333333333333331</v>
      </c>
      <c r="BX57" s="1536"/>
      <c r="BY57" s="1536">
        <v>0.33333333333333331</v>
      </c>
      <c r="BZ57" s="1536">
        <v>0.25</v>
      </c>
      <c r="CA57" s="1536">
        <v>0.25</v>
      </c>
      <c r="CB57" s="1538">
        <v>0.25</v>
      </c>
      <c r="CC57" s="1536">
        <v>0.25</v>
      </c>
      <c r="CD57" s="1536">
        <v>0.25</v>
      </c>
    </row>
    <row r="58" spans="1:83">
      <c r="B58" s="1497">
        <f t="shared" si="47"/>
        <v>4.3</v>
      </c>
      <c r="C58" s="1530" t="str">
        <f t="shared" si="26"/>
        <v>運用管理</v>
      </c>
      <c r="D58" s="1616">
        <f>IF(I$47=0,0,G58/I$47)</f>
        <v>0.19582245430809403</v>
      </c>
      <c r="E58" s="1591">
        <f>IF(J$47=0,0,H58/J$47)</f>
        <v>0</v>
      </c>
      <c r="G58" s="1591">
        <f t="shared" si="27"/>
        <v>0.19582245430809403</v>
      </c>
      <c r="H58" s="1591">
        <f t="shared" si="28"/>
        <v>0</v>
      </c>
      <c r="I58" s="1591">
        <f>G59+G60</f>
        <v>0.97911227154047009</v>
      </c>
      <c r="J58" s="1591">
        <f>H59+H60</f>
        <v>0</v>
      </c>
      <c r="K58" s="1591">
        <f>IF(スコア表示!W58=0,0,1)</f>
        <v>1</v>
      </c>
      <c r="L58" s="1591">
        <f>IF(スコア表示!AA58=0,0,1)</f>
        <v>0</v>
      </c>
      <c r="M58" s="1591">
        <f t="shared" si="29"/>
        <v>0.19582245430809403</v>
      </c>
      <c r="N58" s="1591">
        <f t="shared" si="30"/>
        <v>0</v>
      </c>
      <c r="P58" s="1547">
        <f t="shared" si="31"/>
        <v>4.3</v>
      </c>
      <c r="Q58" s="1547" t="str">
        <f t="shared" si="32"/>
        <v xml:space="preserve"> Q1 4</v>
      </c>
      <c r="R58" s="1637" t="str">
        <f t="shared" si="33"/>
        <v>運用管理</v>
      </c>
      <c r="S58" s="1518">
        <f t="shared" si="34"/>
        <v>0.2</v>
      </c>
      <c r="T58" s="1518">
        <f t="shared" si="35"/>
        <v>0.2</v>
      </c>
      <c r="U58" s="1518">
        <f t="shared" si="36"/>
        <v>0.2</v>
      </c>
      <c r="V58" s="1518">
        <f t="shared" si="37"/>
        <v>0.2</v>
      </c>
      <c r="W58" s="1518">
        <f t="shared" si="38"/>
        <v>0.2</v>
      </c>
      <c r="X58" s="1518">
        <f t="shared" si="39"/>
        <v>0.2</v>
      </c>
      <c r="Y58" s="1518">
        <f t="shared" si="40"/>
        <v>0</v>
      </c>
      <c r="Z58" s="1526">
        <f t="shared" si="41"/>
        <v>0.2</v>
      </c>
      <c r="AA58" s="1518">
        <f t="shared" si="42"/>
        <v>0.2</v>
      </c>
      <c r="AB58" s="1518">
        <f t="shared" si="43"/>
        <v>0.2</v>
      </c>
      <c r="AC58" s="1519">
        <f t="shared" si="44"/>
        <v>0</v>
      </c>
      <c r="AD58" s="1518">
        <f t="shared" si="45"/>
        <v>0</v>
      </c>
      <c r="AE58" s="1518">
        <f t="shared" si="46"/>
        <v>0</v>
      </c>
      <c r="AG58" s="1547">
        <v>4.3</v>
      </c>
      <c r="AH58" s="1593" t="s">
        <v>261</v>
      </c>
      <c r="AI58" s="1637" t="s">
        <v>608</v>
      </c>
      <c r="AJ58" s="1536">
        <v>0.2</v>
      </c>
      <c r="AK58" s="1536">
        <v>0.2</v>
      </c>
      <c r="AL58" s="1536">
        <v>0.2</v>
      </c>
      <c r="AM58" s="1536">
        <v>0.2</v>
      </c>
      <c r="AN58" s="1536">
        <v>0.2</v>
      </c>
      <c r="AO58" s="1536">
        <v>0.2</v>
      </c>
      <c r="AP58" s="1536"/>
      <c r="AQ58" s="1537">
        <v>0.2</v>
      </c>
      <c r="AR58" s="1536">
        <v>0.2</v>
      </c>
      <c r="AS58" s="1523">
        <v>0.2</v>
      </c>
      <c r="AT58" s="1525"/>
      <c r="AU58" s="1523"/>
      <c r="AV58" s="1523"/>
      <c r="AX58" s="1547">
        <v>4.3</v>
      </c>
      <c r="AY58" s="1593" t="s">
        <v>261</v>
      </c>
      <c r="AZ58" s="1637" t="s">
        <v>608</v>
      </c>
      <c r="BA58" s="1536">
        <v>0.2</v>
      </c>
      <c r="BB58" s="1536">
        <v>0.2</v>
      </c>
      <c r="BC58" s="1536">
        <v>0.2</v>
      </c>
      <c r="BD58" s="1536">
        <v>0.2</v>
      </c>
      <c r="BE58" s="1536">
        <v>0.2</v>
      </c>
      <c r="BF58" s="1536">
        <v>0.2</v>
      </c>
      <c r="BG58" s="1536"/>
      <c r="BH58" s="1537">
        <v>0.2</v>
      </c>
      <c r="BI58" s="1536">
        <v>0.2</v>
      </c>
      <c r="BJ58" s="1536">
        <v>0.2</v>
      </c>
      <c r="BK58" s="1538"/>
      <c r="BL58" s="1536"/>
      <c r="BM58" s="1536"/>
      <c r="BO58" s="1547">
        <v>4.3</v>
      </c>
      <c r="BP58" s="1593" t="s">
        <v>261</v>
      </c>
      <c r="BQ58" s="1637" t="s">
        <v>608</v>
      </c>
      <c r="BR58" s="1536">
        <v>0.2</v>
      </c>
      <c r="BS58" s="1536">
        <v>0.2</v>
      </c>
      <c r="BT58" s="1536">
        <v>0.2</v>
      </c>
      <c r="BU58" s="1536">
        <v>0.2</v>
      </c>
      <c r="BV58" s="1536">
        <v>0.2</v>
      </c>
      <c r="BW58" s="1536">
        <v>0.2</v>
      </c>
      <c r="BX58" s="1536"/>
      <c r="BY58" s="1537">
        <v>0.2</v>
      </c>
      <c r="BZ58" s="1536">
        <v>0.2</v>
      </c>
      <c r="CA58" s="1536">
        <v>0.2</v>
      </c>
      <c r="CB58" s="1538"/>
      <c r="CC58" s="1536"/>
      <c r="CD58" s="1536"/>
    </row>
    <row r="59" spans="1:83">
      <c r="B59" s="1497" t="str">
        <f t="shared" si="47"/>
        <v>4.3.1</v>
      </c>
      <c r="C59" s="1514" t="str">
        <f t="shared" si="26"/>
        <v>CO2の監視</v>
      </c>
      <c r="D59" s="1621">
        <f>IF(I$58&gt;0,G59/I$58,0)</f>
        <v>0.5</v>
      </c>
      <c r="E59" s="1591">
        <f>IF(J$58&gt;0,H59/J$58,0)</f>
        <v>0</v>
      </c>
      <c r="G59" s="1591">
        <f t="shared" si="27"/>
        <v>0.48955613577023505</v>
      </c>
      <c r="H59" s="1591">
        <f t="shared" si="28"/>
        <v>0</v>
      </c>
      <c r="I59" s="1591"/>
      <c r="J59" s="1591"/>
      <c r="K59" s="1591">
        <f>IF(スコア表示!W59=0,0,1)</f>
        <v>1</v>
      </c>
      <c r="L59" s="1591">
        <f>IF(スコア表示!AA59=0,0,1)</f>
        <v>1</v>
      </c>
      <c r="M59" s="1591">
        <f t="shared" si="29"/>
        <v>0.48955613577023505</v>
      </c>
      <c r="N59" s="1591">
        <f t="shared" si="30"/>
        <v>0</v>
      </c>
      <c r="P59" s="1547" t="str">
        <f t="shared" si="31"/>
        <v>4.3.1</v>
      </c>
      <c r="Q59" s="1547" t="str">
        <f t="shared" si="32"/>
        <v xml:space="preserve"> Q1 4.3</v>
      </c>
      <c r="R59" s="1637" t="str">
        <f t="shared" si="33"/>
        <v>CO2の監視</v>
      </c>
      <c r="S59" s="1518">
        <f t="shared" si="34"/>
        <v>0.5</v>
      </c>
      <c r="T59" s="1518">
        <f t="shared" si="35"/>
        <v>0.5</v>
      </c>
      <c r="U59" s="1518">
        <f t="shared" si="36"/>
        <v>0.5</v>
      </c>
      <c r="V59" s="1518">
        <f t="shared" si="37"/>
        <v>0.5</v>
      </c>
      <c r="W59" s="1518">
        <f t="shared" si="38"/>
        <v>0</v>
      </c>
      <c r="X59" s="1518">
        <f t="shared" si="39"/>
        <v>0</v>
      </c>
      <c r="Y59" s="1518">
        <f t="shared" si="40"/>
        <v>0</v>
      </c>
      <c r="Z59" s="1526">
        <f t="shared" si="41"/>
        <v>0.5</v>
      </c>
      <c r="AA59" s="1518">
        <f t="shared" si="42"/>
        <v>0.5</v>
      </c>
      <c r="AB59" s="1518">
        <f t="shared" si="43"/>
        <v>0.5</v>
      </c>
      <c r="AC59" s="1519">
        <f t="shared" si="44"/>
        <v>0</v>
      </c>
      <c r="AD59" s="1518">
        <f t="shared" si="45"/>
        <v>0</v>
      </c>
      <c r="AE59" s="1518">
        <f t="shared" si="46"/>
        <v>0</v>
      </c>
      <c r="AG59" s="1547" t="s">
        <v>1357</v>
      </c>
      <c r="AH59" s="1593" t="s">
        <v>270</v>
      </c>
      <c r="AI59" s="1964" t="s">
        <v>1358</v>
      </c>
      <c r="AJ59" s="1536">
        <v>0.5</v>
      </c>
      <c r="AK59" s="1536">
        <v>0.5</v>
      </c>
      <c r="AL59" s="1536">
        <v>0.5</v>
      </c>
      <c r="AM59" s="1536">
        <v>0.5</v>
      </c>
      <c r="AN59" s="1536"/>
      <c r="AO59" s="1536"/>
      <c r="AP59" s="1536"/>
      <c r="AQ59" s="1537">
        <v>0.5</v>
      </c>
      <c r="AR59" s="1536">
        <v>0.5</v>
      </c>
      <c r="AS59" s="1523">
        <v>0.5</v>
      </c>
      <c r="AT59" s="1525"/>
      <c r="AU59" s="1523"/>
      <c r="AV59" s="1523"/>
      <c r="AX59" s="1547" t="s">
        <v>1357</v>
      </c>
      <c r="AY59" s="1593" t="s">
        <v>270</v>
      </c>
      <c r="AZ59" s="1964" t="s">
        <v>1358</v>
      </c>
      <c r="BA59" s="1536">
        <v>0.5</v>
      </c>
      <c r="BB59" s="1536">
        <v>0.5</v>
      </c>
      <c r="BC59" s="1536">
        <v>0.5</v>
      </c>
      <c r="BD59" s="1536">
        <v>0.5</v>
      </c>
      <c r="BE59" s="1536"/>
      <c r="BF59" s="1536"/>
      <c r="BG59" s="1536"/>
      <c r="BH59" s="1537">
        <v>0.5</v>
      </c>
      <c r="BI59" s="1536">
        <v>0.5</v>
      </c>
      <c r="BJ59" s="1536">
        <v>0.5</v>
      </c>
      <c r="BK59" s="1538"/>
      <c r="BL59" s="1536"/>
      <c r="BM59" s="1536"/>
      <c r="BO59" s="1547" t="s">
        <v>1357</v>
      </c>
      <c r="BP59" s="1593" t="s">
        <v>270</v>
      </c>
      <c r="BQ59" s="1964" t="s">
        <v>1358</v>
      </c>
      <c r="BR59" s="1536">
        <v>0.5</v>
      </c>
      <c r="BS59" s="1536">
        <v>0.5</v>
      </c>
      <c r="BT59" s="1536">
        <v>0.5</v>
      </c>
      <c r="BU59" s="1536">
        <v>0.5</v>
      </c>
      <c r="BV59" s="1536"/>
      <c r="BW59" s="1536"/>
      <c r="BX59" s="1536"/>
      <c r="BY59" s="1537">
        <v>0.5</v>
      </c>
      <c r="BZ59" s="1536">
        <v>0.5</v>
      </c>
      <c r="CA59" s="1536">
        <v>0.5</v>
      </c>
      <c r="CB59" s="1538"/>
      <c r="CC59" s="1536"/>
      <c r="CD59" s="1536"/>
    </row>
    <row r="60" spans="1:83">
      <c r="B60" s="1497" t="str">
        <f t="shared" si="47"/>
        <v>4.3.2</v>
      </c>
      <c r="C60" s="1514" t="str">
        <f t="shared" si="26"/>
        <v>喫煙の制御</v>
      </c>
      <c r="D60" s="1621">
        <f>IF(I$58&gt;0,G60/I$58,0)</f>
        <v>0.5</v>
      </c>
      <c r="E60" s="1591">
        <f>IF(J$58&gt;0,H60/J$58,0)</f>
        <v>0</v>
      </c>
      <c r="G60" s="1591">
        <f t="shared" si="27"/>
        <v>0.48955613577023505</v>
      </c>
      <c r="H60" s="1591">
        <f t="shared" si="28"/>
        <v>0</v>
      </c>
      <c r="I60" s="1591"/>
      <c r="J60" s="1591"/>
      <c r="K60" s="1591">
        <f>IF(スコア表示!W60=0,0,1)</f>
        <v>1</v>
      </c>
      <c r="L60" s="1591">
        <f>IF(スコア表示!AA60=0,0,1)</f>
        <v>1</v>
      </c>
      <c r="M60" s="1591">
        <f t="shared" si="29"/>
        <v>0.48955613577023505</v>
      </c>
      <c r="N60" s="1591">
        <f t="shared" si="30"/>
        <v>0</v>
      </c>
      <c r="P60" s="1547" t="str">
        <f t="shared" si="31"/>
        <v>4.3.2</v>
      </c>
      <c r="Q60" s="1547" t="str">
        <f t="shared" si="32"/>
        <v xml:space="preserve"> Q1 4.3</v>
      </c>
      <c r="R60" s="1637" t="str">
        <f t="shared" si="33"/>
        <v>喫煙の制御</v>
      </c>
      <c r="S60" s="1518">
        <f t="shared" si="34"/>
        <v>0.5</v>
      </c>
      <c r="T60" s="1518">
        <f t="shared" si="35"/>
        <v>0.5</v>
      </c>
      <c r="U60" s="1518">
        <f t="shared" si="36"/>
        <v>0.5</v>
      </c>
      <c r="V60" s="1518">
        <f t="shared" si="37"/>
        <v>0.5</v>
      </c>
      <c r="W60" s="1518">
        <f t="shared" si="38"/>
        <v>1</v>
      </c>
      <c r="X60" s="1518">
        <f t="shared" si="39"/>
        <v>1</v>
      </c>
      <c r="Y60" s="1518">
        <f t="shared" si="40"/>
        <v>0</v>
      </c>
      <c r="Z60" s="1526">
        <f t="shared" si="41"/>
        <v>0.5</v>
      </c>
      <c r="AA60" s="1518">
        <f t="shared" si="42"/>
        <v>0.5</v>
      </c>
      <c r="AB60" s="1518">
        <f t="shared" si="43"/>
        <v>0.5</v>
      </c>
      <c r="AC60" s="1519">
        <f t="shared" si="44"/>
        <v>0</v>
      </c>
      <c r="AD60" s="1518">
        <f t="shared" si="45"/>
        <v>0</v>
      </c>
      <c r="AE60" s="1518">
        <f t="shared" si="46"/>
        <v>0</v>
      </c>
      <c r="AG60" s="1547" t="s">
        <v>1359</v>
      </c>
      <c r="AH60" s="1593" t="s">
        <v>270</v>
      </c>
      <c r="AI60" s="1964" t="s">
        <v>1360</v>
      </c>
      <c r="AJ60" s="1536">
        <v>0.5</v>
      </c>
      <c r="AK60" s="1536">
        <v>0.5</v>
      </c>
      <c r="AL60" s="1536">
        <v>0.5</v>
      </c>
      <c r="AM60" s="1536">
        <v>0.5</v>
      </c>
      <c r="AN60" s="1536">
        <v>1</v>
      </c>
      <c r="AO60" s="1536">
        <v>1</v>
      </c>
      <c r="AP60" s="1536"/>
      <c r="AQ60" s="1537">
        <v>0.5</v>
      </c>
      <c r="AR60" s="1536">
        <v>0.5</v>
      </c>
      <c r="AS60" s="1523">
        <v>0.5</v>
      </c>
      <c r="AT60" s="1525"/>
      <c r="AU60" s="1523"/>
      <c r="AV60" s="1523"/>
      <c r="AX60" s="1547" t="s">
        <v>1359</v>
      </c>
      <c r="AY60" s="1593" t="s">
        <v>270</v>
      </c>
      <c r="AZ60" s="1964" t="s">
        <v>1360</v>
      </c>
      <c r="BA60" s="1536">
        <v>0.5</v>
      </c>
      <c r="BB60" s="1536">
        <v>0.5</v>
      </c>
      <c r="BC60" s="1536">
        <v>0.5</v>
      </c>
      <c r="BD60" s="1536">
        <v>0.5</v>
      </c>
      <c r="BE60" s="1536">
        <v>1</v>
      </c>
      <c r="BF60" s="1536">
        <v>1</v>
      </c>
      <c r="BG60" s="1536"/>
      <c r="BH60" s="1537">
        <v>0.5</v>
      </c>
      <c r="BI60" s="1536">
        <v>0.5</v>
      </c>
      <c r="BJ60" s="1536">
        <v>0.5</v>
      </c>
      <c r="BK60" s="1538"/>
      <c r="BL60" s="1536"/>
      <c r="BM60" s="1536"/>
      <c r="BO60" s="1547" t="s">
        <v>1359</v>
      </c>
      <c r="BP60" s="1593" t="s">
        <v>270</v>
      </c>
      <c r="BQ60" s="1964" t="s">
        <v>1360</v>
      </c>
      <c r="BR60" s="1536">
        <v>0.5</v>
      </c>
      <c r="BS60" s="1536">
        <v>0.5</v>
      </c>
      <c r="BT60" s="1536">
        <v>0.5</v>
      </c>
      <c r="BU60" s="1536">
        <v>0.5</v>
      </c>
      <c r="BV60" s="1536">
        <v>1</v>
      </c>
      <c r="BW60" s="1536">
        <v>1</v>
      </c>
      <c r="BX60" s="1536"/>
      <c r="BY60" s="1537">
        <v>0.5</v>
      </c>
      <c r="BZ60" s="1536">
        <v>0.5</v>
      </c>
      <c r="CA60" s="1536">
        <v>0.5</v>
      </c>
      <c r="CB60" s="1538"/>
      <c r="CC60" s="1536"/>
      <c r="CD60" s="1536"/>
    </row>
    <row r="61" spans="1:83" s="1505" customFormat="1">
      <c r="A61"/>
      <c r="B61" s="1497" t="str">
        <f t="shared" si="47"/>
        <v>Q2</v>
      </c>
      <c r="C61" s="1497" t="str">
        <f t="shared" si="26"/>
        <v>サービス性能</v>
      </c>
      <c r="D61" s="1956">
        <f>IF(I$8=0,0,G61/I$8)</f>
        <v>0.3</v>
      </c>
      <c r="E61" s="1957">
        <f>IF(J$8=0,0,H61/J$8)</f>
        <v>0</v>
      </c>
      <c r="F61"/>
      <c r="G61" s="1957">
        <f t="shared" si="27"/>
        <v>0.3</v>
      </c>
      <c r="H61" s="1957">
        <f t="shared" si="28"/>
        <v>0</v>
      </c>
      <c r="I61" s="1957">
        <f>G62+G75+G97</f>
        <v>1</v>
      </c>
      <c r="J61" s="1957">
        <f>H62+H75+H97</f>
        <v>2</v>
      </c>
      <c r="K61" s="1957">
        <f>IF(スコア表示!W61=0,0,1)</f>
        <v>1</v>
      </c>
      <c r="L61" s="1957">
        <f>IF(スコア表示!AA61=0,0,1)</f>
        <v>0</v>
      </c>
      <c r="M61" s="1957">
        <f t="shared" si="29"/>
        <v>0.3</v>
      </c>
      <c r="N61" s="1957">
        <f t="shared" si="30"/>
        <v>0</v>
      </c>
      <c r="O61"/>
      <c r="P61" s="1497" t="str">
        <f t="shared" si="31"/>
        <v>Q2</v>
      </c>
      <c r="Q61" s="1497" t="str">
        <f t="shared" si="32"/>
        <v xml:space="preserve"> Q</v>
      </c>
      <c r="R61" s="1958" t="str">
        <f t="shared" si="33"/>
        <v>サービス性能</v>
      </c>
      <c r="S61" s="1503">
        <f t="shared" si="34"/>
        <v>0.3</v>
      </c>
      <c r="T61" s="1503">
        <f t="shared" si="35"/>
        <v>0.3</v>
      </c>
      <c r="U61" s="1503">
        <f t="shared" si="36"/>
        <v>0.3</v>
      </c>
      <c r="V61" s="1503">
        <f t="shared" si="37"/>
        <v>0.3</v>
      </c>
      <c r="W61" s="1503">
        <f t="shared" si="38"/>
        <v>0.3</v>
      </c>
      <c r="X61" s="1503">
        <f t="shared" si="39"/>
        <v>0.3</v>
      </c>
      <c r="Y61" s="1503">
        <f t="shared" si="40"/>
        <v>0.3</v>
      </c>
      <c r="Z61" s="1503">
        <f t="shared" si="41"/>
        <v>0.3</v>
      </c>
      <c r="AA61" s="1503">
        <f t="shared" si="42"/>
        <v>0.3</v>
      </c>
      <c r="AB61" s="1503">
        <f t="shared" si="43"/>
        <v>0.3</v>
      </c>
      <c r="AC61" s="1558">
        <f t="shared" si="44"/>
        <v>0</v>
      </c>
      <c r="AD61" s="1503">
        <f t="shared" si="45"/>
        <v>0</v>
      </c>
      <c r="AE61" s="1503">
        <f t="shared" si="46"/>
        <v>0</v>
      </c>
      <c r="AF61"/>
      <c r="AG61" s="1497" t="s">
        <v>1361</v>
      </c>
      <c r="AH61" s="1959" t="s">
        <v>229</v>
      </c>
      <c r="AI61" s="1958" t="s">
        <v>1362</v>
      </c>
      <c r="AJ61" s="1503">
        <v>0.3</v>
      </c>
      <c r="AK61" s="1503">
        <v>0.3</v>
      </c>
      <c r="AL61" s="1503">
        <v>0.3</v>
      </c>
      <c r="AM61" s="1503">
        <v>0.3</v>
      </c>
      <c r="AN61" s="1503">
        <v>0.3</v>
      </c>
      <c r="AO61" s="1503">
        <v>0.3</v>
      </c>
      <c r="AP61" s="1503">
        <v>0.3</v>
      </c>
      <c r="AQ61" s="1503">
        <v>0.3</v>
      </c>
      <c r="AR61" s="1503">
        <v>0.3</v>
      </c>
      <c r="AS61" s="1960">
        <v>0.3</v>
      </c>
      <c r="AT61" s="1961">
        <v>0</v>
      </c>
      <c r="AU61" s="1960">
        <v>0</v>
      </c>
      <c r="AV61" s="1960">
        <v>0</v>
      </c>
      <c r="AW61"/>
      <c r="AX61" s="1497" t="s">
        <v>1361</v>
      </c>
      <c r="AY61" s="1959" t="s">
        <v>229</v>
      </c>
      <c r="AZ61" s="1958" t="s">
        <v>1362</v>
      </c>
      <c r="BA61" s="1960">
        <v>0.3</v>
      </c>
      <c r="BB61" s="1960">
        <v>0.3</v>
      </c>
      <c r="BC61" s="1960">
        <v>0.3</v>
      </c>
      <c r="BD61" s="1960">
        <v>0.3</v>
      </c>
      <c r="BE61" s="1960">
        <v>0.3</v>
      </c>
      <c r="BF61" s="1960">
        <v>0.3</v>
      </c>
      <c r="BG61" s="1960">
        <v>0.3</v>
      </c>
      <c r="BH61" s="1960">
        <v>0.3</v>
      </c>
      <c r="BI61" s="1960">
        <v>0.3</v>
      </c>
      <c r="BJ61" s="1960">
        <v>0.3</v>
      </c>
      <c r="BK61" s="1961"/>
      <c r="BL61" s="1960"/>
      <c r="BM61" s="1960"/>
      <c r="BN61"/>
      <c r="BO61" s="1497" t="s">
        <v>1361</v>
      </c>
      <c r="BP61" s="1959" t="s">
        <v>229</v>
      </c>
      <c r="BQ61" s="1958" t="s">
        <v>1362</v>
      </c>
      <c r="BR61" s="1960">
        <v>0.3</v>
      </c>
      <c r="BS61" s="1960">
        <v>0.3</v>
      </c>
      <c r="BT61" s="1960">
        <v>0.3</v>
      </c>
      <c r="BU61" s="1960">
        <v>0.3</v>
      </c>
      <c r="BV61" s="1960">
        <v>0.3</v>
      </c>
      <c r="BW61" s="1960">
        <v>0.3</v>
      </c>
      <c r="BX61" s="1960">
        <v>0.3</v>
      </c>
      <c r="BY61" s="1960">
        <v>0.3</v>
      </c>
      <c r="BZ61" s="1960">
        <v>0.3</v>
      </c>
      <c r="CA61" s="1960">
        <v>0.3</v>
      </c>
      <c r="CB61" s="1961"/>
      <c r="CC61" s="1960"/>
      <c r="CD61" s="1960"/>
      <c r="CE61"/>
    </row>
    <row r="62" spans="1:83" s="1505" customFormat="1">
      <c r="A62"/>
      <c r="B62" s="1497">
        <f t="shared" si="47"/>
        <v>1</v>
      </c>
      <c r="C62" s="1541" t="str">
        <f t="shared" si="26"/>
        <v>機能性</v>
      </c>
      <c r="D62" s="1962">
        <f>IF(I$61=0,0,G62/I$61)</f>
        <v>0.40000000000000008</v>
      </c>
      <c r="E62" s="1643">
        <f>IF(J$61=0,0,H62/J$61)</f>
        <v>0.5</v>
      </c>
      <c r="F62"/>
      <c r="G62" s="1643">
        <f t="shared" si="27"/>
        <v>0.40000000000000008</v>
      </c>
      <c r="H62" s="1643">
        <f t="shared" si="28"/>
        <v>1</v>
      </c>
      <c r="I62" s="1643">
        <f>G63+G67+G71</f>
        <v>1</v>
      </c>
      <c r="J62" s="1643">
        <f>H63+H67+H71</f>
        <v>8.3550913838120102E-3</v>
      </c>
      <c r="K62" s="1643">
        <f>IF(スコア表示!W62=0,0,1)</f>
        <v>1</v>
      </c>
      <c r="L62" s="1643">
        <f>IF(スコア表示!AA62=0,0,1)</f>
        <v>1</v>
      </c>
      <c r="M62" s="1643">
        <f t="shared" si="29"/>
        <v>0.40000000000000008</v>
      </c>
      <c r="N62" s="1643">
        <v>1</v>
      </c>
      <c r="O62"/>
      <c r="P62" s="1541">
        <f t="shared" si="31"/>
        <v>1</v>
      </c>
      <c r="Q62" s="1541" t="str">
        <f t="shared" si="32"/>
        <v xml:space="preserve"> Q2</v>
      </c>
      <c r="R62" s="1680" t="str">
        <f t="shared" si="33"/>
        <v>機能性</v>
      </c>
      <c r="S62" s="1543">
        <f t="shared" si="34"/>
        <v>0.4</v>
      </c>
      <c r="T62" s="1543">
        <f t="shared" si="35"/>
        <v>0.4</v>
      </c>
      <c r="U62" s="1543">
        <f t="shared" si="36"/>
        <v>0.4</v>
      </c>
      <c r="V62" s="1543">
        <f t="shared" si="37"/>
        <v>0.4</v>
      </c>
      <c r="W62" s="1543">
        <f t="shared" si="38"/>
        <v>0.4</v>
      </c>
      <c r="X62" s="1543">
        <f t="shared" si="39"/>
        <v>0.4</v>
      </c>
      <c r="Y62" s="1543">
        <f t="shared" si="40"/>
        <v>0.4</v>
      </c>
      <c r="Z62" s="1529">
        <f t="shared" si="41"/>
        <v>0.4</v>
      </c>
      <c r="AA62" s="1543">
        <f t="shared" si="42"/>
        <v>0.4</v>
      </c>
      <c r="AB62" s="1543">
        <f t="shared" si="43"/>
        <v>0.4</v>
      </c>
      <c r="AC62" s="1590">
        <f t="shared" si="44"/>
        <v>0</v>
      </c>
      <c r="AD62" s="1543">
        <f t="shared" si="45"/>
        <v>0</v>
      </c>
      <c r="AE62" s="1543">
        <f t="shared" si="46"/>
        <v>0</v>
      </c>
      <c r="AF62"/>
      <c r="AG62" s="1541">
        <v>1</v>
      </c>
      <c r="AH62" s="1644" t="s">
        <v>271</v>
      </c>
      <c r="AI62" s="1680" t="s">
        <v>272</v>
      </c>
      <c r="AJ62" s="1543">
        <v>0.4</v>
      </c>
      <c r="AK62" s="1543">
        <v>0.4</v>
      </c>
      <c r="AL62" s="1543">
        <v>0.4</v>
      </c>
      <c r="AM62" s="1543">
        <v>0.4</v>
      </c>
      <c r="AN62" s="1543">
        <v>0.4</v>
      </c>
      <c r="AO62" s="1543">
        <v>0.4</v>
      </c>
      <c r="AP62" s="1543">
        <v>0.4</v>
      </c>
      <c r="AQ62" s="1529">
        <v>0.4</v>
      </c>
      <c r="AR62" s="1543">
        <v>0.4</v>
      </c>
      <c r="AS62" s="1979">
        <v>0.4</v>
      </c>
      <c r="AT62" s="1980"/>
      <c r="AU62" s="1979"/>
      <c r="AV62" s="1979"/>
      <c r="AW62"/>
      <c r="AX62" s="1541">
        <v>1</v>
      </c>
      <c r="AY62" s="1644" t="s">
        <v>271</v>
      </c>
      <c r="AZ62" s="1680" t="s">
        <v>272</v>
      </c>
      <c r="BA62" s="1979">
        <v>0.4</v>
      </c>
      <c r="BB62" s="1979">
        <v>0.4</v>
      </c>
      <c r="BC62" s="1979">
        <v>0.4</v>
      </c>
      <c r="BD62" s="1979">
        <v>0.4</v>
      </c>
      <c r="BE62" s="1979">
        <v>0.4</v>
      </c>
      <c r="BF62" s="1979">
        <v>0.4</v>
      </c>
      <c r="BG62" s="1979">
        <v>0.4</v>
      </c>
      <c r="BH62" s="1981">
        <v>0.4</v>
      </c>
      <c r="BI62" s="1979">
        <v>0.4</v>
      </c>
      <c r="BJ62" s="1979">
        <v>0.4</v>
      </c>
      <c r="BK62" s="1980"/>
      <c r="BL62" s="1979"/>
      <c r="BM62" s="1979"/>
      <c r="BN62"/>
      <c r="BO62" s="1541">
        <v>1</v>
      </c>
      <c r="BP62" s="1644" t="s">
        <v>271</v>
      </c>
      <c r="BQ62" s="1680" t="s">
        <v>272</v>
      </c>
      <c r="BR62" s="1979">
        <v>0.4</v>
      </c>
      <c r="BS62" s="1979">
        <v>0.4</v>
      </c>
      <c r="BT62" s="1979">
        <v>0.4</v>
      </c>
      <c r="BU62" s="1979">
        <v>0.4</v>
      </c>
      <c r="BV62" s="1979">
        <v>0.4</v>
      </c>
      <c r="BW62" s="1979">
        <v>0.4</v>
      </c>
      <c r="BX62" s="1979">
        <v>0.4</v>
      </c>
      <c r="BY62" s="1981">
        <v>0.4</v>
      </c>
      <c r="BZ62" s="1979">
        <v>0.4</v>
      </c>
      <c r="CA62" s="1979">
        <v>0.4</v>
      </c>
      <c r="CB62" s="1980"/>
      <c r="CC62" s="1979"/>
      <c r="CD62" s="1979"/>
      <c r="CE62"/>
    </row>
    <row r="63" spans="1:83">
      <c r="B63" s="1497">
        <f t="shared" si="47"/>
        <v>1.1000000000000001</v>
      </c>
      <c r="C63" s="1514" t="str">
        <f t="shared" si="26"/>
        <v>機能性・使いやすさ</v>
      </c>
      <c r="D63" s="1616">
        <f>IF(I$62=0,0,G63/I$62)</f>
        <v>0.40000000000000008</v>
      </c>
      <c r="E63" s="1591">
        <f>IF(J$62=0,0,H63/J$62)</f>
        <v>0</v>
      </c>
      <c r="G63" s="1591">
        <f t="shared" si="27"/>
        <v>0.40000000000000008</v>
      </c>
      <c r="H63" s="1591">
        <f t="shared" si="28"/>
        <v>0</v>
      </c>
      <c r="I63" s="1591">
        <f>SUM(G64:G66)</f>
        <v>1</v>
      </c>
      <c r="J63" s="1591">
        <f>SUM(H64:H66)</f>
        <v>0</v>
      </c>
      <c r="K63" s="1591">
        <f>IF(スコア表示!W63=0,0,1)</f>
        <v>1</v>
      </c>
      <c r="L63" s="1591">
        <f>IF(スコア表示!AA63=0,0,1)</f>
        <v>0</v>
      </c>
      <c r="M63" s="1591">
        <f t="shared" si="29"/>
        <v>0.40000000000000008</v>
      </c>
      <c r="N63" s="1591">
        <f t="shared" si="30"/>
        <v>1.2532637075718016E-2</v>
      </c>
      <c r="P63" s="1547">
        <f t="shared" si="31"/>
        <v>1.1000000000000001</v>
      </c>
      <c r="Q63" s="1547" t="str">
        <f t="shared" si="32"/>
        <v xml:space="preserve"> Q2 1</v>
      </c>
      <c r="R63" s="1637" t="str">
        <f t="shared" si="33"/>
        <v>機能性・使いやすさ</v>
      </c>
      <c r="S63" s="1518">
        <f t="shared" si="34"/>
        <v>0.4</v>
      </c>
      <c r="T63" s="1518">
        <f t="shared" si="35"/>
        <v>0.4</v>
      </c>
      <c r="U63" s="1518">
        <f t="shared" si="36"/>
        <v>0.4</v>
      </c>
      <c r="V63" s="1518">
        <f t="shared" si="37"/>
        <v>0.4</v>
      </c>
      <c r="W63" s="1518">
        <f t="shared" si="38"/>
        <v>0.4</v>
      </c>
      <c r="X63" s="1518">
        <f t="shared" si="39"/>
        <v>0.4</v>
      </c>
      <c r="Y63" s="1518">
        <f t="shared" si="40"/>
        <v>0.4</v>
      </c>
      <c r="Z63" s="1531">
        <f t="shared" si="41"/>
        <v>0.4</v>
      </c>
      <c r="AA63" s="1518">
        <f t="shared" si="42"/>
        <v>0.4</v>
      </c>
      <c r="AB63" s="1518">
        <f t="shared" si="43"/>
        <v>0.4</v>
      </c>
      <c r="AC63" s="1519">
        <f t="shared" si="44"/>
        <v>0.6</v>
      </c>
      <c r="AD63" s="1518">
        <f t="shared" si="45"/>
        <v>0.6</v>
      </c>
      <c r="AE63" s="1518">
        <f t="shared" si="46"/>
        <v>0.6</v>
      </c>
      <c r="AG63" s="1547">
        <v>1.1000000000000001</v>
      </c>
      <c r="AH63" s="1593" t="s">
        <v>273</v>
      </c>
      <c r="AI63" s="1964" t="s">
        <v>370</v>
      </c>
      <c r="AJ63" s="1518">
        <v>0.4</v>
      </c>
      <c r="AK63" s="1518">
        <v>0.4</v>
      </c>
      <c r="AL63" s="1518">
        <v>0.4</v>
      </c>
      <c r="AM63" s="2251">
        <v>0.4</v>
      </c>
      <c r="AN63" s="2251">
        <v>0.4</v>
      </c>
      <c r="AO63" s="1518">
        <v>0.4</v>
      </c>
      <c r="AP63" s="2251">
        <v>0.4</v>
      </c>
      <c r="AQ63" s="1518">
        <v>0.4</v>
      </c>
      <c r="AR63" s="2251">
        <v>0.4</v>
      </c>
      <c r="AS63" s="1523">
        <v>0.4</v>
      </c>
      <c r="AT63" s="1523">
        <v>0.6</v>
      </c>
      <c r="AU63" s="1523">
        <v>0.6</v>
      </c>
      <c r="AV63" s="1523">
        <v>0.6</v>
      </c>
      <c r="AX63" s="1547">
        <v>1.1000000000000001</v>
      </c>
      <c r="AY63" s="1593" t="s">
        <v>273</v>
      </c>
      <c r="AZ63" s="1964" t="s">
        <v>370</v>
      </c>
      <c r="BA63" s="1523">
        <v>0.4</v>
      </c>
      <c r="BB63" s="1523">
        <v>0.4</v>
      </c>
      <c r="BC63" s="1523">
        <v>0.4</v>
      </c>
      <c r="BD63" s="1523">
        <v>0.4</v>
      </c>
      <c r="BE63" s="1523">
        <v>0.4</v>
      </c>
      <c r="BF63" s="1523">
        <v>0.4</v>
      </c>
      <c r="BG63" s="1523">
        <v>0.4</v>
      </c>
      <c r="BH63" s="1524">
        <v>0.4</v>
      </c>
      <c r="BI63" s="1523">
        <v>0.4</v>
      </c>
      <c r="BJ63" s="1523">
        <v>0.4</v>
      </c>
      <c r="BK63" s="1523">
        <v>0.6</v>
      </c>
      <c r="BL63" s="1523">
        <v>0.6</v>
      </c>
      <c r="BM63" s="1523">
        <v>0.6</v>
      </c>
      <c r="BO63" s="1547">
        <v>1.1000000000000001</v>
      </c>
      <c r="BP63" s="1593" t="s">
        <v>273</v>
      </c>
      <c r="BQ63" s="1964" t="s">
        <v>370</v>
      </c>
      <c r="BR63" s="1523">
        <v>0.4</v>
      </c>
      <c r="BS63" s="1523">
        <v>0.4</v>
      </c>
      <c r="BT63" s="1523">
        <v>0.4</v>
      </c>
      <c r="BU63" s="1523">
        <v>0.4</v>
      </c>
      <c r="BV63" s="1523">
        <v>0.4</v>
      </c>
      <c r="BW63" s="1523">
        <v>0.4</v>
      </c>
      <c r="BX63" s="1523">
        <v>0.4</v>
      </c>
      <c r="BY63" s="1524">
        <v>0.4</v>
      </c>
      <c r="BZ63" s="1523">
        <v>0.4</v>
      </c>
      <c r="CA63" s="1523">
        <v>0.4</v>
      </c>
      <c r="CB63" s="1523">
        <v>0.6</v>
      </c>
      <c r="CC63" s="1523">
        <v>0.6</v>
      </c>
      <c r="CD63" s="1523">
        <v>0.6</v>
      </c>
    </row>
    <row r="64" spans="1:83">
      <c r="B64" s="1497" t="str">
        <f t="shared" si="47"/>
        <v>1.1.1</v>
      </c>
      <c r="C64" s="1514" t="str">
        <f t="shared" si="26"/>
        <v>広さ・収納性</v>
      </c>
      <c r="D64" s="1621">
        <f t="shared" ref="D64:E66" si="50">IF(I$63&gt;0,G64/I$63,0)</f>
        <v>0.23933855526544823</v>
      </c>
      <c r="E64" s="1591">
        <f t="shared" si="50"/>
        <v>0</v>
      </c>
      <c r="G64" s="1591">
        <f t="shared" si="27"/>
        <v>0.23933855526544823</v>
      </c>
      <c r="H64" s="1591">
        <f t="shared" si="28"/>
        <v>0</v>
      </c>
      <c r="I64" s="1591"/>
      <c r="J64" s="1591"/>
      <c r="K64" s="1591">
        <f>IF(スコア表示!W64=0,0,1)</f>
        <v>1</v>
      </c>
      <c r="L64" s="1591">
        <f>IF(スコア表示!AA64=0,0,1)</f>
        <v>1</v>
      </c>
      <c r="M64" s="1591">
        <f t="shared" si="29"/>
        <v>0.23933855526544823</v>
      </c>
      <c r="N64" s="1591">
        <f t="shared" si="30"/>
        <v>0</v>
      </c>
      <c r="P64" s="1547" t="str">
        <f t="shared" si="31"/>
        <v>1.1.1</v>
      </c>
      <c r="Q64" s="1547" t="str">
        <f t="shared" si="32"/>
        <v xml:space="preserve"> Q2 1.1</v>
      </c>
      <c r="R64" s="1637" t="str">
        <f t="shared" si="33"/>
        <v>広さ・収納性</v>
      </c>
      <c r="S64" s="1518">
        <f t="shared" si="34"/>
        <v>0.33333333333333331</v>
      </c>
      <c r="T64" s="1518">
        <f t="shared" si="35"/>
        <v>0</v>
      </c>
      <c r="U64" s="1518">
        <f t="shared" si="36"/>
        <v>0</v>
      </c>
      <c r="V64" s="1518">
        <f t="shared" si="37"/>
        <v>0</v>
      </c>
      <c r="W64" s="1518">
        <f t="shared" si="38"/>
        <v>0</v>
      </c>
      <c r="X64" s="1518">
        <f t="shared" si="39"/>
        <v>0</v>
      </c>
      <c r="Y64" s="1518">
        <f t="shared" si="40"/>
        <v>0</v>
      </c>
      <c r="Z64" s="1531">
        <f t="shared" si="41"/>
        <v>0</v>
      </c>
      <c r="AA64" s="1518">
        <f t="shared" si="42"/>
        <v>0.33333333333333331</v>
      </c>
      <c r="AB64" s="1518">
        <f t="shared" si="43"/>
        <v>0.5</v>
      </c>
      <c r="AC64" s="1519">
        <f t="shared" si="44"/>
        <v>1</v>
      </c>
      <c r="AD64" s="1518">
        <f t="shared" si="45"/>
        <v>0.5</v>
      </c>
      <c r="AE64" s="1518">
        <f t="shared" si="46"/>
        <v>0</v>
      </c>
      <c r="AG64" s="1547" t="s">
        <v>1363</v>
      </c>
      <c r="AH64" s="1593" t="s">
        <v>274</v>
      </c>
      <c r="AI64" s="1964" t="s">
        <v>275</v>
      </c>
      <c r="AJ64" s="1539">
        <v>0.33333333333333331</v>
      </c>
      <c r="AK64" s="1518"/>
      <c r="AL64" s="1518"/>
      <c r="AM64" s="1518"/>
      <c r="AN64" s="1518"/>
      <c r="AO64" s="1518"/>
      <c r="AP64" s="1518"/>
      <c r="AQ64" s="1531"/>
      <c r="AR64" s="1539">
        <v>0.33333333333333331</v>
      </c>
      <c r="AS64" s="2254">
        <v>0.5</v>
      </c>
      <c r="AT64" s="1525">
        <v>1</v>
      </c>
      <c r="AU64" s="1523">
        <v>0.5</v>
      </c>
      <c r="AV64" s="1523"/>
      <c r="AX64" s="1547" t="s">
        <v>1363</v>
      </c>
      <c r="AY64" s="1593" t="s">
        <v>274</v>
      </c>
      <c r="AZ64" s="1964" t="s">
        <v>275</v>
      </c>
      <c r="BA64" s="1523">
        <v>0.33333333333333331</v>
      </c>
      <c r="BB64" s="1523"/>
      <c r="BC64" s="1523"/>
      <c r="BD64" s="1523"/>
      <c r="BE64" s="1523"/>
      <c r="BF64" s="1523"/>
      <c r="BG64" s="1523"/>
      <c r="BH64" s="1524"/>
      <c r="BI64" s="1523">
        <v>0.33333333333333331</v>
      </c>
      <c r="BJ64" s="1523"/>
      <c r="BK64" s="1525">
        <v>1</v>
      </c>
      <c r="BL64" s="1523">
        <v>0.5</v>
      </c>
      <c r="BM64" s="1523"/>
      <c r="BO64" s="1547" t="s">
        <v>1363</v>
      </c>
      <c r="BP64" s="1593" t="s">
        <v>274</v>
      </c>
      <c r="BQ64" s="1964" t="s">
        <v>275</v>
      </c>
      <c r="BR64" s="1523">
        <v>0.33333333333333331</v>
      </c>
      <c r="BS64" s="1523"/>
      <c r="BT64" s="1523"/>
      <c r="BU64" s="1523"/>
      <c r="BV64" s="1523"/>
      <c r="BW64" s="1523"/>
      <c r="BX64" s="1523"/>
      <c r="BY64" s="1524"/>
      <c r="BZ64" s="1523">
        <v>0.33333333333333331</v>
      </c>
      <c r="CA64" s="1523"/>
      <c r="CB64" s="1525">
        <v>1</v>
      </c>
      <c r="CC64" s="1523">
        <v>0.5</v>
      </c>
      <c r="CD64" s="1523"/>
    </row>
    <row r="65" spans="1:94">
      <c r="B65" s="1497" t="str">
        <f t="shared" si="47"/>
        <v>1.1.2</v>
      </c>
      <c r="C65" s="1514" t="str">
        <f t="shared" si="26"/>
        <v>高度情報通信設備対応</v>
      </c>
      <c r="D65" s="1621">
        <f t="shared" si="50"/>
        <v>0.23933855526544823</v>
      </c>
      <c r="E65" s="1591">
        <f t="shared" si="50"/>
        <v>0</v>
      </c>
      <c r="G65" s="1591">
        <f t="shared" si="27"/>
        <v>0.23933855526544823</v>
      </c>
      <c r="H65" s="1591">
        <f t="shared" si="28"/>
        <v>0</v>
      </c>
      <c r="I65" s="1591"/>
      <c r="J65" s="1591"/>
      <c r="K65" s="1591">
        <f>IF(スコア表示!W65=0,0,1)</f>
        <v>1</v>
      </c>
      <c r="L65" s="1591">
        <f>IF(スコア表示!AA65=0,0,1)</f>
        <v>0</v>
      </c>
      <c r="M65" s="1591">
        <f t="shared" si="29"/>
        <v>0.23933855526544823</v>
      </c>
      <c r="N65" s="1591">
        <f t="shared" si="30"/>
        <v>2.0887728459530026E-2</v>
      </c>
      <c r="P65" s="1547" t="str">
        <f t="shared" si="31"/>
        <v>1.1.2</v>
      </c>
      <c r="Q65" s="1547" t="str">
        <f t="shared" si="32"/>
        <v xml:space="preserve"> Q2 1.1</v>
      </c>
      <c r="R65" s="1637" t="str">
        <f t="shared" si="33"/>
        <v>高度情報通信設備対応</v>
      </c>
      <c r="S65" s="1518">
        <f t="shared" si="34"/>
        <v>0.33333333333333331</v>
      </c>
      <c r="T65" s="1518">
        <f t="shared" si="35"/>
        <v>0</v>
      </c>
      <c r="U65" s="1518">
        <f t="shared" si="36"/>
        <v>0</v>
      </c>
      <c r="V65" s="1518">
        <f t="shared" si="37"/>
        <v>0</v>
      </c>
      <c r="W65" s="1518">
        <f t="shared" si="38"/>
        <v>0</v>
      </c>
      <c r="X65" s="1518">
        <f t="shared" si="39"/>
        <v>0</v>
      </c>
      <c r="Y65" s="1518">
        <f t="shared" si="40"/>
        <v>0</v>
      </c>
      <c r="Z65" s="1531">
        <f t="shared" si="41"/>
        <v>0</v>
      </c>
      <c r="AA65" s="1518">
        <f t="shared" si="42"/>
        <v>0.33333333333333331</v>
      </c>
      <c r="AB65" s="1518">
        <f t="shared" si="43"/>
        <v>0</v>
      </c>
      <c r="AC65" s="1519">
        <f t="shared" si="44"/>
        <v>0</v>
      </c>
      <c r="AD65" s="1518">
        <f t="shared" si="45"/>
        <v>0.5</v>
      </c>
      <c r="AE65" s="1518">
        <f t="shared" si="46"/>
        <v>1</v>
      </c>
      <c r="AG65" s="1547" t="s">
        <v>1364</v>
      </c>
      <c r="AH65" s="1593" t="s">
        <v>274</v>
      </c>
      <c r="AI65" s="1964" t="s">
        <v>1365</v>
      </c>
      <c r="AJ65" s="1539">
        <v>0.33333333333333331</v>
      </c>
      <c r="AK65" s="1518"/>
      <c r="AL65" s="1518"/>
      <c r="AM65" s="1518"/>
      <c r="AN65" s="1518"/>
      <c r="AO65" s="1518"/>
      <c r="AP65" s="1518"/>
      <c r="AQ65" s="1531"/>
      <c r="AR65" s="1539">
        <v>0.33333333333333331</v>
      </c>
      <c r="AS65" s="2254"/>
      <c r="AT65" s="1525"/>
      <c r="AU65" s="1523">
        <v>0.5</v>
      </c>
      <c r="AV65" s="1523">
        <v>1</v>
      </c>
      <c r="AX65" s="1547" t="s">
        <v>1364</v>
      </c>
      <c r="AY65" s="1593" t="s">
        <v>274</v>
      </c>
      <c r="AZ65" s="1964" t="s">
        <v>1365</v>
      </c>
      <c r="BA65" s="1523">
        <v>0.33333333333333331</v>
      </c>
      <c r="BB65" s="1523"/>
      <c r="BC65" s="1523"/>
      <c r="BD65" s="1523"/>
      <c r="BE65" s="1523"/>
      <c r="BF65" s="1523"/>
      <c r="BG65" s="1523"/>
      <c r="BH65" s="1524"/>
      <c r="BI65" s="1523">
        <v>0.33333333333333331</v>
      </c>
      <c r="BJ65" s="1523"/>
      <c r="BK65" s="1525"/>
      <c r="BL65" s="1523">
        <v>0.5</v>
      </c>
      <c r="BM65" s="1523">
        <v>1</v>
      </c>
      <c r="BO65" s="1547" t="s">
        <v>1364</v>
      </c>
      <c r="BP65" s="1593" t="s">
        <v>274</v>
      </c>
      <c r="BQ65" s="1964" t="s">
        <v>1365</v>
      </c>
      <c r="BR65" s="1523">
        <v>0.33333333333333331</v>
      </c>
      <c r="BS65" s="1523"/>
      <c r="BT65" s="1523"/>
      <c r="BU65" s="1523"/>
      <c r="BV65" s="1523"/>
      <c r="BW65" s="1523"/>
      <c r="BX65" s="1523"/>
      <c r="BY65" s="1524"/>
      <c r="BZ65" s="1523">
        <v>0.33333333333333331</v>
      </c>
      <c r="CA65" s="1523"/>
      <c r="CB65" s="1525"/>
      <c r="CC65" s="1523">
        <v>0.5</v>
      </c>
      <c r="CD65" s="1523">
        <v>1</v>
      </c>
    </row>
    <row r="66" spans="1:94">
      <c r="B66" s="1497" t="str">
        <f t="shared" si="47"/>
        <v>1.1.3</v>
      </c>
      <c r="C66" s="1514" t="str">
        <f t="shared" si="26"/>
        <v>バリアフリー計画</v>
      </c>
      <c r="D66" s="1621">
        <f t="shared" si="50"/>
        <v>0.52132288946910366</v>
      </c>
      <c r="E66" s="1591">
        <f t="shared" si="50"/>
        <v>0</v>
      </c>
      <c r="G66" s="1591">
        <f t="shared" si="27"/>
        <v>0.52132288946910366</v>
      </c>
      <c r="H66" s="1591">
        <f t="shared" si="28"/>
        <v>0</v>
      </c>
      <c r="I66" s="1591"/>
      <c r="J66" s="1591"/>
      <c r="K66" s="1591">
        <f>IF(スコア表示!W66=0,0,1)</f>
        <v>1</v>
      </c>
      <c r="L66" s="1591">
        <f>IF(スコア表示!AA66=0,0,1)</f>
        <v>0</v>
      </c>
      <c r="M66" s="1591">
        <f t="shared" si="29"/>
        <v>0.52132288946910366</v>
      </c>
      <c r="N66" s="1591">
        <f t="shared" si="30"/>
        <v>0</v>
      </c>
      <c r="P66" s="1547" t="str">
        <f t="shared" si="31"/>
        <v>1.1.3</v>
      </c>
      <c r="Q66" s="1547" t="str">
        <f t="shared" si="32"/>
        <v xml:space="preserve"> Q2 1.1</v>
      </c>
      <c r="R66" s="1637" t="str">
        <f t="shared" si="33"/>
        <v>バリアフリー計画</v>
      </c>
      <c r="S66" s="1518">
        <f t="shared" si="34"/>
        <v>0.33333333333333331</v>
      </c>
      <c r="T66" s="1518">
        <f t="shared" si="35"/>
        <v>1</v>
      </c>
      <c r="U66" s="1518">
        <f t="shared" si="36"/>
        <v>1</v>
      </c>
      <c r="V66" s="1518">
        <f t="shared" si="37"/>
        <v>1</v>
      </c>
      <c r="W66" s="1518">
        <f t="shared" si="38"/>
        <v>1</v>
      </c>
      <c r="X66" s="1518">
        <f t="shared" si="39"/>
        <v>1</v>
      </c>
      <c r="Y66" s="1518">
        <f t="shared" si="40"/>
        <v>1</v>
      </c>
      <c r="Z66" s="1531">
        <f t="shared" si="41"/>
        <v>1</v>
      </c>
      <c r="AA66" s="1518">
        <f t="shared" si="42"/>
        <v>0.33333333333333331</v>
      </c>
      <c r="AB66" s="1518">
        <f t="shared" si="43"/>
        <v>0.5</v>
      </c>
      <c r="AC66" s="1519">
        <f t="shared" si="44"/>
        <v>0</v>
      </c>
      <c r="AD66" s="1518">
        <f t="shared" si="45"/>
        <v>0</v>
      </c>
      <c r="AE66" s="1518">
        <f t="shared" si="46"/>
        <v>0</v>
      </c>
      <c r="AG66" s="1547" t="s">
        <v>1366</v>
      </c>
      <c r="AH66" s="1593" t="s">
        <v>274</v>
      </c>
      <c r="AI66" s="1964" t="s">
        <v>276</v>
      </c>
      <c r="AJ66" s="1539">
        <v>0.33333333333333331</v>
      </c>
      <c r="AK66" s="1518">
        <v>1</v>
      </c>
      <c r="AL66" s="1518">
        <v>1</v>
      </c>
      <c r="AM66" s="1518">
        <v>1</v>
      </c>
      <c r="AN66" s="1518">
        <v>1</v>
      </c>
      <c r="AO66" s="1518">
        <v>1</v>
      </c>
      <c r="AP66" s="1518">
        <v>1</v>
      </c>
      <c r="AQ66" s="1531">
        <v>1</v>
      </c>
      <c r="AR66" s="1539">
        <v>0.33333333333333331</v>
      </c>
      <c r="AS66" s="2254">
        <v>0.5</v>
      </c>
      <c r="AT66" s="1525"/>
      <c r="AU66" s="1523"/>
      <c r="AV66" s="1523"/>
      <c r="AX66" s="1547" t="s">
        <v>1366</v>
      </c>
      <c r="AY66" s="1593" t="s">
        <v>274</v>
      </c>
      <c r="AZ66" s="1964" t="s">
        <v>276</v>
      </c>
      <c r="BA66" s="1523">
        <v>0.33333333333333331</v>
      </c>
      <c r="BB66" s="1523">
        <v>1</v>
      </c>
      <c r="BC66" s="1523">
        <v>1</v>
      </c>
      <c r="BD66" s="1523">
        <v>1</v>
      </c>
      <c r="BE66" s="1523">
        <v>1</v>
      </c>
      <c r="BF66" s="1523">
        <v>1</v>
      </c>
      <c r="BG66" s="1523">
        <v>1</v>
      </c>
      <c r="BH66" s="1524">
        <v>1</v>
      </c>
      <c r="BI66" s="1523">
        <v>0.33333333333333331</v>
      </c>
      <c r="BJ66" s="1523">
        <v>1</v>
      </c>
      <c r="BK66" s="1525"/>
      <c r="BL66" s="1523"/>
      <c r="BM66" s="1523"/>
      <c r="BO66" s="1547" t="s">
        <v>1366</v>
      </c>
      <c r="BP66" s="1593" t="s">
        <v>274</v>
      </c>
      <c r="BQ66" s="1964" t="s">
        <v>276</v>
      </c>
      <c r="BR66" s="1523">
        <v>0.33333333333333331</v>
      </c>
      <c r="BS66" s="1523">
        <v>1</v>
      </c>
      <c r="BT66" s="1523">
        <v>1</v>
      </c>
      <c r="BU66" s="1523">
        <v>1</v>
      </c>
      <c r="BV66" s="1523">
        <v>1</v>
      </c>
      <c r="BW66" s="1523">
        <v>1</v>
      </c>
      <c r="BX66" s="1523">
        <v>1</v>
      </c>
      <c r="BY66" s="1524">
        <v>1</v>
      </c>
      <c r="BZ66" s="1523">
        <v>0.33333333333333331</v>
      </c>
      <c r="CA66" s="1523">
        <v>1</v>
      </c>
      <c r="CB66" s="1525"/>
      <c r="CC66" s="1523"/>
      <c r="CD66" s="1523"/>
    </row>
    <row r="67" spans="1:94">
      <c r="B67" s="1497">
        <f t="shared" si="47"/>
        <v>1.2</v>
      </c>
      <c r="C67" s="1514" t="str">
        <f t="shared" si="26"/>
        <v>心理性・快適性</v>
      </c>
      <c r="D67" s="1616">
        <f>IF(I$62=0,0,G67/I$62)</f>
        <v>0.3</v>
      </c>
      <c r="E67" s="1591">
        <f>IF(J$62=0,0,H67/J$62)</f>
        <v>1</v>
      </c>
      <c r="G67" s="1591">
        <f t="shared" si="27"/>
        <v>0.3</v>
      </c>
      <c r="H67" s="1591">
        <f t="shared" si="28"/>
        <v>8.3550913838120102E-3</v>
      </c>
      <c r="I67" s="1591">
        <f>G68+G69+G70</f>
        <v>1</v>
      </c>
      <c r="J67" s="1591">
        <f>H68+H69+H70</f>
        <v>2.0887728459530026E-2</v>
      </c>
      <c r="K67" s="1591">
        <f>IF(スコア表示!W67=0,0,1)</f>
        <v>1</v>
      </c>
      <c r="L67" s="1591">
        <f>IF(スコア表示!AA67=0,0,1)</f>
        <v>1</v>
      </c>
      <c r="M67" s="1591">
        <f t="shared" si="29"/>
        <v>0.3</v>
      </c>
      <c r="N67" s="1591">
        <f t="shared" si="30"/>
        <v>8.3550913838120102E-3</v>
      </c>
      <c r="P67" s="1547">
        <f t="shared" si="31"/>
        <v>1.2</v>
      </c>
      <c r="Q67" s="1547" t="str">
        <f t="shared" si="32"/>
        <v xml:space="preserve"> Q2 1</v>
      </c>
      <c r="R67" s="1637" t="str">
        <f t="shared" si="33"/>
        <v>心理性・快適性</v>
      </c>
      <c r="S67" s="1518">
        <f t="shared" si="34"/>
        <v>0.3</v>
      </c>
      <c r="T67" s="1518">
        <f t="shared" si="35"/>
        <v>0.3</v>
      </c>
      <c r="U67" s="1518">
        <f t="shared" si="36"/>
        <v>0.3</v>
      </c>
      <c r="V67" s="1518">
        <f t="shared" si="37"/>
        <v>0.3</v>
      </c>
      <c r="W67" s="1518">
        <f t="shared" si="38"/>
        <v>0.3</v>
      </c>
      <c r="X67" s="1518">
        <f t="shared" si="39"/>
        <v>0.3</v>
      </c>
      <c r="Y67" s="1518">
        <f t="shared" si="40"/>
        <v>0.3</v>
      </c>
      <c r="Z67" s="1531">
        <f t="shared" si="41"/>
        <v>0.3</v>
      </c>
      <c r="AA67" s="1518">
        <f t="shared" si="42"/>
        <v>0.3</v>
      </c>
      <c r="AB67" s="1518">
        <f t="shared" si="43"/>
        <v>0.3</v>
      </c>
      <c r="AC67" s="1519">
        <f t="shared" si="44"/>
        <v>0.4</v>
      </c>
      <c r="AD67" s="1518">
        <f t="shared" si="45"/>
        <v>0.4</v>
      </c>
      <c r="AE67" s="1518">
        <f t="shared" si="46"/>
        <v>0.4</v>
      </c>
      <c r="AG67" s="1547">
        <v>1.2</v>
      </c>
      <c r="AH67" s="1593" t="s">
        <v>273</v>
      </c>
      <c r="AI67" s="1964" t="s">
        <v>622</v>
      </c>
      <c r="AJ67" s="1518">
        <v>0.3</v>
      </c>
      <c r="AK67" s="1518">
        <v>0.3</v>
      </c>
      <c r="AL67" s="1518">
        <v>0.3</v>
      </c>
      <c r="AM67" s="2251">
        <v>0.3</v>
      </c>
      <c r="AN67" s="2251">
        <v>0.3</v>
      </c>
      <c r="AO67" s="1518">
        <v>0.3</v>
      </c>
      <c r="AP67" s="2251">
        <v>0.3</v>
      </c>
      <c r="AQ67" s="1518">
        <v>0.3</v>
      </c>
      <c r="AR67" s="2251">
        <v>0.3</v>
      </c>
      <c r="AS67" s="1523">
        <v>0.3</v>
      </c>
      <c r="AT67" s="1523">
        <v>0.4</v>
      </c>
      <c r="AU67" s="1523">
        <v>0.4</v>
      </c>
      <c r="AV67" s="1523">
        <v>0.4</v>
      </c>
      <c r="AX67" s="1547">
        <v>1.2</v>
      </c>
      <c r="AY67" s="1593" t="s">
        <v>273</v>
      </c>
      <c r="AZ67" s="1964" t="s">
        <v>622</v>
      </c>
      <c r="BA67" s="1523">
        <v>0.3</v>
      </c>
      <c r="BB67" s="1523">
        <v>0.3</v>
      </c>
      <c r="BC67" s="1523">
        <v>0.3</v>
      </c>
      <c r="BD67" s="1523">
        <v>0.3</v>
      </c>
      <c r="BE67" s="1523">
        <v>0.3</v>
      </c>
      <c r="BF67" s="1523">
        <v>0.3</v>
      </c>
      <c r="BG67" s="1523">
        <v>0.3</v>
      </c>
      <c r="BH67" s="1524">
        <v>0.3</v>
      </c>
      <c r="BI67" s="1523">
        <v>0.3</v>
      </c>
      <c r="BJ67" s="1523">
        <v>0.3</v>
      </c>
      <c r="BK67" s="1523">
        <v>0.4</v>
      </c>
      <c r="BL67" s="1523">
        <v>0.4</v>
      </c>
      <c r="BM67" s="1523">
        <v>0.4</v>
      </c>
      <c r="BO67" s="1547">
        <v>1.2</v>
      </c>
      <c r="BP67" s="1593" t="s">
        <v>273</v>
      </c>
      <c r="BQ67" s="1964" t="s">
        <v>622</v>
      </c>
      <c r="BR67" s="1523">
        <v>0.3</v>
      </c>
      <c r="BS67" s="1523">
        <v>0.3</v>
      </c>
      <c r="BT67" s="1523">
        <v>0.3</v>
      </c>
      <c r="BU67" s="1523">
        <v>0.3</v>
      </c>
      <c r="BV67" s="1523">
        <v>0.3</v>
      </c>
      <c r="BW67" s="1523">
        <v>0.3</v>
      </c>
      <c r="BX67" s="1523">
        <v>0.3</v>
      </c>
      <c r="BY67" s="1524">
        <v>0.3</v>
      </c>
      <c r="BZ67" s="1523">
        <v>0.3</v>
      </c>
      <c r="CA67" s="1523">
        <v>0.3</v>
      </c>
      <c r="CB67" s="1523">
        <v>0.4</v>
      </c>
      <c r="CC67" s="1523">
        <v>0.4</v>
      </c>
      <c r="CD67" s="1523">
        <v>0.4</v>
      </c>
    </row>
    <row r="68" spans="1:94">
      <c r="B68" s="1497" t="str">
        <f t="shared" si="47"/>
        <v>1.2.1</v>
      </c>
      <c r="C68" s="1514" t="str">
        <f t="shared" si="26"/>
        <v>広さ感・景観</v>
      </c>
      <c r="D68" s="1621">
        <f t="shared" ref="D68:E70" si="51">IF(I$67&gt;0,G68/I$67,0)</f>
        <v>0.23933855526544823</v>
      </c>
      <c r="E68" s="1591">
        <f t="shared" si="51"/>
        <v>0</v>
      </c>
      <c r="G68" s="1591">
        <f t="shared" si="27"/>
        <v>0.23933855526544823</v>
      </c>
      <c r="H68" s="1591">
        <f t="shared" si="28"/>
        <v>0</v>
      </c>
      <c r="I68" s="1591"/>
      <c r="J68" s="1591"/>
      <c r="K68" s="1591">
        <f>IF(スコア表示!W68=0,0,1)</f>
        <v>1</v>
      </c>
      <c r="L68" s="1591">
        <f>IF(スコア表示!AA68=0,0,1)</f>
        <v>1</v>
      </c>
      <c r="M68" s="1591">
        <f t="shared" si="29"/>
        <v>0.23933855526544823</v>
      </c>
      <c r="N68" s="1591">
        <f t="shared" si="30"/>
        <v>0</v>
      </c>
      <c r="P68" s="1547" t="str">
        <f t="shared" si="31"/>
        <v>1.2.1</v>
      </c>
      <c r="Q68" s="1547" t="str">
        <f t="shared" si="32"/>
        <v xml:space="preserve"> Q2 1.2</v>
      </c>
      <c r="R68" s="1637" t="str">
        <f t="shared" si="33"/>
        <v>広さ感・景観</v>
      </c>
      <c r="S68" s="1518">
        <f t="shared" si="34"/>
        <v>0.33333333333333331</v>
      </c>
      <c r="T68" s="1518">
        <f t="shared" si="35"/>
        <v>0</v>
      </c>
      <c r="U68" s="1518">
        <f t="shared" si="36"/>
        <v>0</v>
      </c>
      <c r="V68" s="1518">
        <f t="shared" si="37"/>
        <v>0</v>
      </c>
      <c r="W68" s="1518">
        <f t="shared" si="38"/>
        <v>0</v>
      </c>
      <c r="X68" s="1518">
        <f t="shared" si="39"/>
        <v>0</v>
      </c>
      <c r="Y68" s="1518">
        <f t="shared" si="40"/>
        <v>0</v>
      </c>
      <c r="Z68" s="1531">
        <f t="shared" si="41"/>
        <v>0</v>
      </c>
      <c r="AA68" s="1518">
        <f t="shared" si="42"/>
        <v>0</v>
      </c>
      <c r="AB68" s="1518">
        <f t="shared" si="43"/>
        <v>0</v>
      </c>
      <c r="AC68" s="1519">
        <f t="shared" si="44"/>
        <v>0</v>
      </c>
      <c r="AD68" s="1519">
        <f t="shared" si="45"/>
        <v>0</v>
      </c>
      <c r="AE68" s="1519">
        <f t="shared" si="46"/>
        <v>0</v>
      </c>
      <c r="AG68" s="1547" t="s">
        <v>1367</v>
      </c>
      <c r="AH68" s="1593" t="s">
        <v>277</v>
      </c>
      <c r="AI68" s="1964" t="s">
        <v>278</v>
      </c>
      <c r="AJ68" s="1539">
        <v>0.33333333333333331</v>
      </c>
      <c r="AK68" s="1518"/>
      <c r="AL68" s="1518"/>
      <c r="AM68" s="1518"/>
      <c r="AN68" s="1518"/>
      <c r="AO68" s="1518"/>
      <c r="AP68" s="1518"/>
      <c r="AQ68" s="1531"/>
      <c r="AR68" s="1518"/>
      <c r="AS68" s="1523"/>
      <c r="AT68" s="1525"/>
      <c r="AU68" s="1525"/>
      <c r="AV68" s="1525"/>
      <c r="AX68" s="1547" t="s">
        <v>1367</v>
      </c>
      <c r="AY68" s="1593" t="s">
        <v>277</v>
      </c>
      <c r="AZ68" s="1964" t="s">
        <v>278</v>
      </c>
      <c r="BA68" s="1523">
        <v>0.33333333333333331</v>
      </c>
      <c r="BB68" s="1523">
        <v>0.5</v>
      </c>
      <c r="BC68" s="1523">
        <v>0.33333333333333331</v>
      </c>
      <c r="BD68" s="1523">
        <v>0.5</v>
      </c>
      <c r="BE68" s="1523"/>
      <c r="BF68" s="1523"/>
      <c r="BG68" s="1523"/>
      <c r="BH68" s="1524"/>
      <c r="BI68" s="1523">
        <v>0.33333333333333331</v>
      </c>
      <c r="BJ68" s="1523">
        <v>0.5</v>
      </c>
      <c r="BK68" s="1525">
        <v>0.5</v>
      </c>
      <c r="BL68" s="1525">
        <v>0.5</v>
      </c>
      <c r="BM68" s="1525">
        <v>0.5</v>
      </c>
      <c r="BO68" s="1547" t="s">
        <v>1367</v>
      </c>
      <c r="BP68" s="1593" t="s">
        <v>277</v>
      </c>
      <c r="BQ68" s="1964" t="s">
        <v>278</v>
      </c>
      <c r="BR68" s="1523">
        <v>0.33333333333333331</v>
      </c>
      <c r="BS68" s="1523">
        <v>0.5</v>
      </c>
      <c r="BT68" s="1523">
        <v>0.33333333333333331</v>
      </c>
      <c r="BU68" s="1523">
        <v>0.5</v>
      </c>
      <c r="BV68" s="1523"/>
      <c r="BW68" s="1523"/>
      <c r="BX68" s="1523"/>
      <c r="BY68" s="1524"/>
      <c r="BZ68" s="1523">
        <v>0.33333333333333331</v>
      </c>
      <c r="CA68" s="1523">
        <v>0.5</v>
      </c>
      <c r="CB68" s="1525">
        <v>0.5</v>
      </c>
      <c r="CC68" s="1525">
        <v>0.5</v>
      </c>
      <c r="CD68" s="1525">
        <v>0.5</v>
      </c>
    </row>
    <row r="69" spans="1:94">
      <c r="B69" s="1497" t="str">
        <f t="shared" si="47"/>
        <v>1.2.2</v>
      </c>
      <c r="C69" s="1514" t="str">
        <f t="shared" si="26"/>
        <v>リフレッシュスペース</v>
      </c>
      <c r="D69" s="1621">
        <f t="shared" si="51"/>
        <v>0.23933855526544823</v>
      </c>
      <c r="E69" s="1591">
        <f t="shared" si="51"/>
        <v>0</v>
      </c>
      <c r="G69" s="1591">
        <f t="shared" si="27"/>
        <v>0.23933855526544823</v>
      </c>
      <c r="H69" s="1591">
        <f t="shared" si="28"/>
        <v>0</v>
      </c>
      <c r="I69" s="1591"/>
      <c r="J69" s="1591"/>
      <c r="K69" s="1591">
        <f>IF(スコア表示!W69=0,0,1)</f>
        <v>1</v>
      </c>
      <c r="L69" s="1591">
        <f>IF(スコア表示!AA69=0,0,1)</f>
        <v>1</v>
      </c>
      <c r="M69" s="1591">
        <f t="shared" si="29"/>
        <v>0.23933855526544823</v>
      </c>
      <c r="N69" s="1591">
        <f t="shared" si="30"/>
        <v>0</v>
      </c>
      <c r="P69" s="1547" t="str">
        <f t="shared" si="31"/>
        <v>1.2.2</v>
      </c>
      <c r="Q69" s="1547" t="str">
        <f t="shared" si="32"/>
        <v xml:space="preserve"> Q2 1.2</v>
      </c>
      <c r="R69" s="1637" t="str">
        <f t="shared" si="33"/>
        <v>リフレッシュスペース</v>
      </c>
      <c r="S69" s="1518">
        <f t="shared" si="34"/>
        <v>0.33333333333333331</v>
      </c>
      <c r="T69" s="1518">
        <f t="shared" si="35"/>
        <v>0</v>
      </c>
      <c r="U69" s="1518">
        <f t="shared" si="36"/>
        <v>0.5</v>
      </c>
      <c r="V69" s="1518">
        <f t="shared" si="37"/>
        <v>0</v>
      </c>
      <c r="W69" s="1518">
        <f t="shared" si="38"/>
        <v>0</v>
      </c>
      <c r="X69" s="1518">
        <f t="shared" si="39"/>
        <v>0</v>
      </c>
      <c r="Y69" s="1518">
        <f t="shared" si="40"/>
        <v>0</v>
      </c>
      <c r="Z69" s="1531">
        <f t="shared" si="41"/>
        <v>0</v>
      </c>
      <c r="AA69" s="1518">
        <f t="shared" si="42"/>
        <v>0</v>
      </c>
      <c r="AB69" s="1518">
        <f t="shared" si="43"/>
        <v>0</v>
      </c>
      <c r="AC69" s="1519">
        <f t="shared" si="44"/>
        <v>0</v>
      </c>
      <c r="AD69" s="1519">
        <f t="shared" si="45"/>
        <v>0</v>
      </c>
      <c r="AE69" s="1519">
        <f t="shared" si="46"/>
        <v>0</v>
      </c>
      <c r="AG69" s="1547" t="s">
        <v>1368</v>
      </c>
      <c r="AH69" s="1593" t="s">
        <v>277</v>
      </c>
      <c r="AI69" s="1964" t="s">
        <v>279</v>
      </c>
      <c r="AJ69" s="1539">
        <v>0.33333333333333331</v>
      </c>
      <c r="AK69" s="1518"/>
      <c r="AL69" s="1518">
        <v>0.5</v>
      </c>
      <c r="AM69" s="1518"/>
      <c r="AN69" s="1518"/>
      <c r="AO69" s="1518"/>
      <c r="AP69" s="1518"/>
      <c r="AQ69" s="1531"/>
      <c r="AR69" s="1518"/>
      <c r="AS69" s="1523"/>
      <c r="AT69" s="1525"/>
      <c r="AU69" s="1525"/>
      <c r="AV69" s="1525"/>
      <c r="AX69" s="1547" t="s">
        <v>1368</v>
      </c>
      <c r="AY69" s="1593" t="s">
        <v>277</v>
      </c>
      <c r="AZ69" s="1964" t="s">
        <v>279</v>
      </c>
      <c r="BA69" s="1523">
        <v>0.33333333333333331</v>
      </c>
      <c r="BB69" s="1523"/>
      <c r="BC69" s="1523">
        <v>0.33333333333333331</v>
      </c>
      <c r="BD69" s="1523"/>
      <c r="BE69" s="1523"/>
      <c r="BF69" s="1523"/>
      <c r="BG69" s="1523"/>
      <c r="BH69" s="1524"/>
      <c r="BI69" s="1523">
        <v>0.33333333333333331</v>
      </c>
      <c r="BJ69" s="1523"/>
      <c r="BK69" s="1525"/>
      <c r="BL69" s="1525"/>
      <c r="BM69" s="1525"/>
      <c r="BO69" s="1547" t="s">
        <v>1368</v>
      </c>
      <c r="BP69" s="1593" t="s">
        <v>277</v>
      </c>
      <c r="BQ69" s="1964" t="s">
        <v>279</v>
      </c>
      <c r="BR69" s="1523">
        <v>0.33333333333333331</v>
      </c>
      <c r="BS69" s="1523"/>
      <c r="BT69" s="1523">
        <v>0.33333333333333331</v>
      </c>
      <c r="BU69" s="1523"/>
      <c r="BV69" s="1523"/>
      <c r="BW69" s="1523"/>
      <c r="BX69" s="1523"/>
      <c r="BY69" s="1524"/>
      <c r="BZ69" s="1523">
        <v>0.33333333333333331</v>
      </c>
      <c r="CA69" s="1523"/>
      <c r="CB69" s="1525"/>
      <c r="CC69" s="1525"/>
      <c r="CD69" s="1525"/>
    </row>
    <row r="70" spans="1:94">
      <c r="B70" s="1497" t="str">
        <f t="shared" si="47"/>
        <v>1.2.3</v>
      </c>
      <c r="C70" s="1514" t="str">
        <f t="shared" si="26"/>
        <v>内装計画</v>
      </c>
      <c r="D70" s="1621">
        <f t="shared" si="51"/>
        <v>0.52132288946910366</v>
      </c>
      <c r="E70" s="1591">
        <f t="shared" si="51"/>
        <v>1</v>
      </c>
      <c r="G70" s="1591">
        <f t="shared" si="27"/>
        <v>0.52132288946910366</v>
      </c>
      <c r="H70" s="1591">
        <f t="shared" si="28"/>
        <v>2.0887728459530026E-2</v>
      </c>
      <c r="I70" s="1591"/>
      <c r="J70" s="1591"/>
      <c r="K70" s="1591">
        <f>IF(スコア表示!W70=0,0,1)</f>
        <v>1</v>
      </c>
      <c r="L70" s="1591">
        <f>IF(スコア表示!AA70=0,0,1)</f>
        <v>1</v>
      </c>
      <c r="M70" s="1591">
        <f t="shared" si="29"/>
        <v>0.52132288946910366</v>
      </c>
      <c r="N70" s="1591">
        <f t="shared" si="30"/>
        <v>2.0887728459530026E-2</v>
      </c>
      <c r="P70" s="1547" t="str">
        <f t="shared" si="31"/>
        <v>1.2.3</v>
      </c>
      <c r="Q70" s="1547" t="str">
        <f t="shared" si="32"/>
        <v xml:space="preserve"> Q2 1.2</v>
      </c>
      <c r="R70" s="1637" t="str">
        <f t="shared" si="33"/>
        <v>内装計画</v>
      </c>
      <c r="S70" s="1518">
        <f t="shared" si="34"/>
        <v>0.33333333333333331</v>
      </c>
      <c r="T70" s="1518">
        <f t="shared" si="35"/>
        <v>1</v>
      </c>
      <c r="U70" s="1518">
        <f t="shared" si="36"/>
        <v>0.5</v>
      </c>
      <c r="V70" s="1518">
        <f t="shared" si="37"/>
        <v>1</v>
      </c>
      <c r="W70" s="1518">
        <f t="shared" si="38"/>
        <v>1</v>
      </c>
      <c r="X70" s="1518">
        <f t="shared" si="39"/>
        <v>1</v>
      </c>
      <c r="Y70" s="1518">
        <f t="shared" si="40"/>
        <v>1</v>
      </c>
      <c r="Z70" s="1531">
        <f t="shared" si="41"/>
        <v>1</v>
      </c>
      <c r="AA70" s="1518">
        <f t="shared" si="42"/>
        <v>1</v>
      </c>
      <c r="AB70" s="1518">
        <f t="shared" si="43"/>
        <v>1</v>
      </c>
      <c r="AC70" s="1519">
        <f t="shared" si="44"/>
        <v>1</v>
      </c>
      <c r="AD70" s="1519">
        <f t="shared" si="45"/>
        <v>1</v>
      </c>
      <c r="AE70" s="1519">
        <f t="shared" si="46"/>
        <v>1</v>
      </c>
      <c r="AG70" s="1547" t="s">
        <v>1369</v>
      </c>
      <c r="AH70" s="1593" t="s">
        <v>277</v>
      </c>
      <c r="AI70" s="1964" t="s">
        <v>280</v>
      </c>
      <c r="AJ70" s="1539">
        <v>0.33333333333333331</v>
      </c>
      <c r="AK70" s="1518">
        <v>1</v>
      </c>
      <c r="AL70" s="1518">
        <v>0.5</v>
      </c>
      <c r="AM70" s="1518">
        <v>1</v>
      </c>
      <c r="AN70" s="1518">
        <v>1</v>
      </c>
      <c r="AO70" s="1518">
        <v>1</v>
      </c>
      <c r="AP70" s="1518">
        <v>1</v>
      </c>
      <c r="AQ70" s="1531">
        <v>1</v>
      </c>
      <c r="AR70" s="1518">
        <v>1</v>
      </c>
      <c r="AS70" s="1523">
        <v>1</v>
      </c>
      <c r="AT70" s="1525">
        <v>1</v>
      </c>
      <c r="AU70" s="1525">
        <v>1</v>
      </c>
      <c r="AV70" s="1525">
        <v>1</v>
      </c>
      <c r="AX70" s="1547" t="s">
        <v>1369</v>
      </c>
      <c r="AY70" s="1593" t="s">
        <v>277</v>
      </c>
      <c r="AZ70" s="1964" t="s">
        <v>280</v>
      </c>
      <c r="BA70" s="1523">
        <v>0.33333333333333331</v>
      </c>
      <c r="BB70" s="1523">
        <v>0.5</v>
      </c>
      <c r="BC70" s="1523">
        <v>0.33333333333333331</v>
      </c>
      <c r="BD70" s="1523">
        <v>0.5</v>
      </c>
      <c r="BE70" s="1523">
        <v>1</v>
      </c>
      <c r="BF70" s="1523">
        <v>1</v>
      </c>
      <c r="BG70" s="1523">
        <v>1</v>
      </c>
      <c r="BH70" s="1524">
        <v>1</v>
      </c>
      <c r="BI70" s="1523">
        <v>0.33333333333333331</v>
      </c>
      <c r="BJ70" s="1523">
        <v>0.5</v>
      </c>
      <c r="BK70" s="1525">
        <v>0.5</v>
      </c>
      <c r="BL70" s="1525">
        <v>0.5</v>
      </c>
      <c r="BM70" s="1525">
        <v>0.5</v>
      </c>
      <c r="BO70" s="1547" t="s">
        <v>1369</v>
      </c>
      <c r="BP70" s="1593" t="s">
        <v>277</v>
      </c>
      <c r="BQ70" s="1964" t="s">
        <v>280</v>
      </c>
      <c r="BR70" s="1523">
        <v>0.33333333333333331</v>
      </c>
      <c r="BS70" s="1523">
        <v>0.5</v>
      </c>
      <c r="BT70" s="1523">
        <v>0.33333333333333331</v>
      </c>
      <c r="BU70" s="1523">
        <v>0.5</v>
      </c>
      <c r="BV70" s="1523">
        <v>1</v>
      </c>
      <c r="BW70" s="1523">
        <v>1</v>
      </c>
      <c r="BX70" s="1523">
        <v>1</v>
      </c>
      <c r="BY70" s="1524">
        <v>1</v>
      </c>
      <c r="BZ70" s="1523">
        <v>0.33333333333333331</v>
      </c>
      <c r="CA70" s="1523">
        <v>0.5</v>
      </c>
      <c r="CB70" s="1525">
        <v>0.5</v>
      </c>
      <c r="CC70" s="1525">
        <v>0.5</v>
      </c>
      <c r="CD70" s="1525">
        <v>0.5</v>
      </c>
    </row>
    <row r="71" spans="1:94" s="1982" customFormat="1">
      <c r="A71"/>
      <c r="B71" s="1497">
        <f t="shared" si="47"/>
        <v>1.3</v>
      </c>
      <c r="C71" s="1514" t="str">
        <f t="shared" si="26"/>
        <v>維持管理</v>
      </c>
      <c r="D71" s="1616">
        <f>IF(I$62=0,0,G71/I$62)</f>
        <v>0.3</v>
      </c>
      <c r="E71" s="1591">
        <f>IF(J$62=0,0,H71/J$62)</f>
        <v>0</v>
      </c>
      <c r="F71"/>
      <c r="G71" s="1591">
        <f t="shared" si="27"/>
        <v>0.3</v>
      </c>
      <c r="H71" s="1591">
        <f t="shared" si="28"/>
        <v>0</v>
      </c>
      <c r="I71" s="1591">
        <f>G72+G73+G74</f>
        <v>1</v>
      </c>
      <c r="J71" s="1591">
        <f>H72+H73+H74</f>
        <v>0</v>
      </c>
      <c r="K71" s="1591">
        <f>IF(スコア表示!W71=0,0,1)</f>
        <v>1</v>
      </c>
      <c r="L71" s="1591">
        <f>IF(スコア表示!AA71=0,0,1)</f>
        <v>0</v>
      </c>
      <c r="M71" s="1591">
        <f t="shared" si="29"/>
        <v>0.3</v>
      </c>
      <c r="N71" s="1591">
        <f t="shared" si="30"/>
        <v>0</v>
      </c>
      <c r="O71"/>
      <c r="P71" s="1547">
        <f t="shared" si="31"/>
        <v>1.3</v>
      </c>
      <c r="Q71" s="1547" t="str">
        <f t="shared" si="32"/>
        <v xml:space="preserve"> Q2 1</v>
      </c>
      <c r="R71" s="1637" t="str">
        <f t="shared" si="33"/>
        <v>維持管理</v>
      </c>
      <c r="S71" s="1518">
        <f t="shared" si="34"/>
        <v>0.3</v>
      </c>
      <c r="T71" s="1518">
        <f t="shared" si="35"/>
        <v>0.3</v>
      </c>
      <c r="U71" s="1518">
        <f t="shared" si="36"/>
        <v>0.3</v>
      </c>
      <c r="V71" s="1518">
        <f t="shared" si="37"/>
        <v>0.3</v>
      </c>
      <c r="W71" s="1518">
        <f t="shared" si="38"/>
        <v>0.3</v>
      </c>
      <c r="X71" s="1518">
        <f t="shared" si="39"/>
        <v>0.3</v>
      </c>
      <c r="Y71" s="1518">
        <f t="shared" si="40"/>
        <v>0.3</v>
      </c>
      <c r="Z71" s="1531">
        <f t="shared" si="41"/>
        <v>0.3</v>
      </c>
      <c r="AA71" s="1518">
        <f t="shared" si="42"/>
        <v>0.3</v>
      </c>
      <c r="AB71" s="1518">
        <f t="shared" si="43"/>
        <v>0.3</v>
      </c>
      <c r="AC71" s="1519">
        <f t="shared" si="44"/>
        <v>0</v>
      </c>
      <c r="AD71" s="1519">
        <f t="shared" si="45"/>
        <v>0</v>
      </c>
      <c r="AE71" s="1519">
        <f t="shared" si="46"/>
        <v>0</v>
      </c>
      <c r="AF71"/>
      <c r="AG71" s="1547">
        <v>1.3</v>
      </c>
      <c r="AH71" s="1593" t="s">
        <v>273</v>
      </c>
      <c r="AI71" s="1964" t="s">
        <v>281</v>
      </c>
      <c r="AJ71" s="1539">
        <v>0.3</v>
      </c>
      <c r="AK71" s="1539">
        <v>0.3</v>
      </c>
      <c r="AL71" s="1539">
        <v>0.3</v>
      </c>
      <c r="AM71" s="2251">
        <v>0.3</v>
      </c>
      <c r="AN71" s="2251">
        <v>0.3</v>
      </c>
      <c r="AO71" s="1539">
        <v>0.3</v>
      </c>
      <c r="AP71" s="2251">
        <v>0.3</v>
      </c>
      <c r="AQ71" s="1539">
        <v>0.3</v>
      </c>
      <c r="AR71" s="2251">
        <v>0.3</v>
      </c>
      <c r="AS71" s="1523">
        <v>0.3</v>
      </c>
      <c r="AT71" s="1525">
        <v>0</v>
      </c>
      <c r="AU71" s="1525">
        <v>0</v>
      </c>
      <c r="AV71" s="1525">
        <v>0</v>
      </c>
      <c r="AW71"/>
      <c r="AX71" s="1547">
        <v>1.3</v>
      </c>
      <c r="AY71" s="1593" t="s">
        <v>273</v>
      </c>
      <c r="AZ71" s="1964" t="s">
        <v>281</v>
      </c>
      <c r="BA71" s="1523">
        <v>0.3</v>
      </c>
      <c r="BB71" s="1523">
        <v>0.3</v>
      </c>
      <c r="BC71" s="1523">
        <v>0.3</v>
      </c>
      <c r="BD71" s="1523">
        <v>0.3</v>
      </c>
      <c r="BE71" s="1523">
        <v>0.3</v>
      </c>
      <c r="BF71" s="1523">
        <v>0.3</v>
      </c>
      <c r="BG71" s="1523">
        <v>0.3</v>
      </c>
      <c r="BH71" s="1524">
        <v>0.3</v>
      </c>
      <c r="BI71" s="1523">
        <v>0.3</v>
      </c>
      <c r="BJ71" s="1523">
        <v>0.3</v>
      </c>
      <c r="BK71" s="1525"/>
      <c r="BL71" s="1525"/>
      <c r="BM71" s="1525"/>
      <c r="BN71"/>
      <c r="BO71" s="1547">
        <v>1.3</v>
      </c>
      <c r="BP71" s="1593" t="s">
        <v>273</v>
      </c>
      <c r="BQ71" s="1964" t="s">
        <v>281</v>
      </c>
      <c r="BR71" s="1523">
        <v>0.3</v>
      </c>
      <c r="BS71" s="1523">
        <v>0.3</v>
      </c>
      <c r="BT71" s="1523">
        <v>0.3</v>
      </c>
      <c r="BU71" s="1523">
        <v>0.3</v>
      </c>
      <c r="BV71" s="1523">
        <v>0.3</v>
      </c>
      <c r="BW71" s="1523">
        <v>0.3</v>
      </c>
      <c r="BX71" s="1523">
        <v>0.3</v>
      </c>
      <c r="BY71" s="1524">
        <v>0.3</v>
      </c>
      <c r="BZ71" s="1523">
        <v>0.3</v>
      </c>
      <c r="CA71" s="1523">
        <v>0.3</v>
      </c>
      <c r="CB71" s="1525"/>
      <c r="CC71" s="1525"/>
      <c r="CD71" s="1525"/>
      <c r="CE71"/>
      <c r="CF71" s="1458"/>
      <c r="CG71" s="1458"/>
      <c r="CH71" s="1458"/>
      <c r="CI71" s="1458"/>
      <c r="CJ71" s="1458"/>
      <c r="CK71" s="1458"/>
      <c r="CL71" s="1458"/>
      <c r="CM71" s="1458"/>
      <c r="CN71" s="1458"/>
      <c r="CO71" s="1458"/>
      <c r="CP71" s="1458"/>
    </row>
    <row r="72" spans="1:94" s="1982" customFormat="1">
      <c r="A72"/>
      <c r="B72" s="1497" t="str">
        <f t="shared" si="47"/>
        <v>1.3.1</v>
      </c>
      <c r="C72" s="1514" t="str">
        <f t="shared" si="26"/>
        <v>総合的な取組み</v>
      </c>
      <c r="D72" s="1621">
        <f t="shared" ref="D72:E74" si="52">IF(I$71&gt;0,G72/I$71,0)</f>
        <v>0.50000000000000011</v>
      </c>
      <c r="E72" s="1621">
        <f t="shared" si="52"/>
        <v>0</v>
      </c>
      <c r="F72"/>
      <c r="G72" s="1591">
        <f t="shared" si="27"/>
        <v>0.50000000000000011</v>
      </c>
      <c r="H72" s="1591">
        <f t="shared" si="28"/>
        <v>0</v>
      </c>
      <c r="I72" s="1591"/>
      <c r="J72" s="1591"/>
      <c r="K72" s="1591">
        <f>IF(スコア表示!W72=0,0,1)</f>
        <v>1</v>
      </c>
      <c r="L72" s="1591">
        <f>IF(スコア表示!AA72=0,0,1)</f>
        <v>0</v>
      </c>
      <c r="M72" s="1591">
        <f t="shared" si="29"/>
        <v>0.50000000000000011</v>
      </c>
      <c r="N72" s="1591">
        <f t="shared" si="30"/>
        <v>0</v>
      </c>
      <c r="O72"/>
      <c r="P72" s="1547" t="str">
        <f t="shared" si="31"/>
        <v>1.3.1</v>
      </c>
      <c r="Q72" s="1547" t="str">
        <f t="shared" si="32"/>
        <v xml:space="preserve"> Q2 1.3</v>
      </c>
      <c r="R72" s="1637" t="str">
        <f t="shared" si="33"/>
        <v>総合的な取組み</v>
      </c>
      <c r="S72" s="1518">
        <f t="shared" si="34"/>
        <v>0.5</v>
      </c>
      <c r="T72" s="1518">
        <f t="shared" si="35"/>
        <v>0.5</v>
      </c>
      <c r="U72" s="1518">
        <f t="shared" si="36"/>
        <v>0.5</v>
      </c>
      <c r="V72" s="1518">
        <f t="shared" si="37"/>
        <v>0.5</v>
      </c>
      <c r="W72" s="1518">
        <f t="shared" si="38"/>
        <v>0.5</v>
      </c>
      <c r="X72" s="1518">
        <f t="shared" si="39"/>
        <v>0.5</v>
      </c>
      <c r="Y72" s="1518">
        <f t="shared" si="40"/>
        <v>0.5</v>
      </c>
      <c r="Z72" s="1531">
        <f t="shared" si="41"/>
        <v>0.5</v>
      </c>
      <c r="AA72" s="1518">
        <f t="shared" si="42"/>
        <v>0.5</v>
      </c>
      <c r="AB72" s="1518">
        <f t="shared" si="43"/>
        <v>0.5</v>
      </c>
      <c r="AC72" s="1519">
        <f t="shared" si="44"/>
        <v>0</v>
      </c>
      <c r="AD72" s="1519">
        <f t="shared" si="45"/>
        <v>0</v>
      </c>
      <c r="AE72" s="1519">
        <f t="shared" si="46"/>
        <v>0</v>
      </c>
      <c r="AF72"/>
      <c r="AG72" s="1547" t="s">
        <v>282</v>
      </c>
      <c r="AH72" s="1593" t="s">
        <v>283</v>
      </c>
      <c r="AI72" s="324" t="s">
        <v>851</v>
      </c>
      <c r="AJ72" s="1539">
        <v>0.5</v>
      </c>
      <c r="AK72" s="1539">
        <v>0.5</v>
      </c>
      <c r="AL72" s="1539">
        <v>0.5</v>
      </c>
      <c r="AM72" s="2253">
        <v>0.5</v>
      </c>
      <c r="AN72" s="2253">
        <v>0.5</v>
      </c>
      <c r="AO72" s="1539">
        <v>0.5</v>
      </c>
      <c r="AP72" s="2253">
        <v>0.5</v>
      </c>
      <c r="AQ72" s="1539">
        <v>0.5</v>
      </c>
      <c r="AR72" s="2253">
        <v>0.5</v>
      </c>
      <c r="AS72" s="1523">
        <v>0.5</v>
      </c>
      <c r="AT72" s="1525">
        <v>0</v>
      </c>
      <c r="AU72" s="1525">
        <v>0</v>
      </c>
      <c r="AV72" s="1525">
        <v>0</v>
      </c>
      <c r="AW72"/>
      <c r="AX72" s="1547" t="s">
        <v>282</v>
      </c>
      <c r="AY72" s="1593" t="s">
        <v>283</v>
      </c>
      <c r="AZ72" s="1964" t="s">
        <v>761</v>
      </c>
      <c r="BA72" s="1523">
        <v>0.5</v>
      </c>
      <c r="BB72" s="1523">
        <v>0.5</v>
      </c>
      <c r="BC72" s="1523">
        <v>0.5</v>
      </c>
      <c r="BD72" s="1523">
        <v>0.5</v>
      </c>
      <c r="BE72" s="1523">
        <v>0.5</v>
      </c>
      <c r="BF72" s="1523">
        <v>0.5</v>
      </c>
      <c r="BG72" s="1523">
        <v>0.5</v>
      </c>
      <c r="BH72" s="1524">
        <v>0.5</v>
      </c>
      <c r="BI72" s="1523">
        <v>0.5</v>
      </c>
      <c r="BJ72" s="1523">
        <v>0.5</v>
      </c>
      <c r="BK72" s="1525"/>
      <c r="BL72" s="1525"/>
      <c r="BM72" s="1525"/>
      <c r="BN72"/>
      <c r="BO72" s="1547" t="s">
        <v>282</v>
      </c>
      <c r="BP72" s="1593" t="s">
        <v>283</v>
      </c>
      <c r="BQ72" s="1964" t="s">
        <v>761</v>
      </c>
      <c r="BR72" s="1523">
        <v>0.5</v>
      </c>
      <c r="BS72" s="1523">
        <v>0.5</v>
      </c>
      <c r="BT72" s="1523">
        <v>0.5</v>
      </c>
      <c r="BU72" s="1523">
        <v>0.5</v>
      </c>
      <c r="BV72" s="1523">
        <v>0.5</v>
      </c>
      <c r="BW72" s="1523">
        <v>0.5</v>
      </c>
      <c r="BX72" s="1523">
        <v>0.5</v>
      </c>
      <c r="BY72" s="1524">
        <v>0.5</v>
      </c>
      <c r="BZ72" s="1523">
        <v>0.5</v>
      </c>
      <c r="CA72" s="1523">
        <v>0.5</v>
      </c>
      <c r="CB72" s="1525"/>
      <c r="CC72" s="1525"/>
      <c r="CD72" s="1525"/>
      <c r="CE72"/>
      <c r="CF72" s="1458"/>
      <c r="CG72" s="1458"/>
      <c r="CH72" s="1458"/>
      <c r="CI72" s="1458"/>
      <c r="CJ72" s="1458"/>
      <c r="CK72" s="1458"/>
      <c r="CL72" s="1458"/>
      <c r="CM72" s="1458"/>
      <c r="CN72" s="1458"/>
      <c r="CO72" s="1458"/>
      <c r="CP72" s="1458"/>
    </row>
    <row r="73" spans="1:94" s="1982" customFormat="1">
      <c r="A73"/>
      <c r="B73" s="1497" t="str">
        <f t="shared" si="47"/>
        <v>1.3.2</v>
      </c>
      <c r="C73" s="1514" t="str">
        <f t="shared" ref="C73:C104" si="53">R73</f>
        <v>清掃管理業務</v>
      </c>
      <c r="D73" s="1621">
        <f t="shared" si="52"/>
        <v>0.3</v>
      </c>
      <c r="E73" s="1621">
        <f t="shared" si="52"/>
        <v>0</v>
      </c>
      <c r="F73"/>
      <c r="G73" s="1591">
        <f t="shared" ref="G73:G104" si="54">K73*M73</f>
        <v>0.3</v>
      </c>
      <c r="H73" s="1591">
        <f t="shared" ref="H73:H104" si="55">L73*N73</f>
        <v>0</v>
      </c>
      <c r="I73" s="1591"/>
      <c r="J73" s="1591"/>
      <c r="K73" s="1591">
        <f>IF(スコア表示!W73=0,0,1)</f>
        <v>1</v>
      </c>
      <c r="L73" s="1591">
        <f>IF(スコア表示!AA73=0,0,1)</f>
        <v>0</v>
      </c>
      <c r="M73" s="1591">
        <f t="shared" ref="M73:M104" si="56">SUMPRODUCT($S$7:$AB$7,S73:AB73)</f>
        <v>0.3</v>
      </c>
      <c r="N73" s="1591">
        <f t="shared" ref="N73:N95" si="57">(AC$7*AC73)+(AD$7*AD73)+(AE$7*AE73)</f>
        <v>0</v>
      </c>
      <c r="O73"/>
      <c r="P73" s="1547" t="str">
        <f t="shared" ref="P73:P83" si="58">IF($P$3=1,AX73,BO73)</f>
        <v>1.3.2</v>
      </c>
      <c r="Q73" s="1547" t="str">
        <f t="shared" ref="Q73:Q83" si="59">IF($P$3=1,AY73,BP73)</f>
        <v xml:space="preserve"> Q2 1.3</v>
      </c>
      <c r="R73" s="1637" t="str">
        <f t="shared" ref="R73:R104" si="60">AI73</f>
        <v>清掃管理業務</v>
      </c>
      <c r="S73" s="1518">
        <f t="shared" ref="S73:S104" si="61">IF($P$3=1,BA73,IF($P$3=2,BR73,AJ73))</f>
        <v>0.3</v>
      </c>
      <c r="T73" s="1518">
        <f t="shared" ref="T73:T104" si="62">IF($P$3=1,BB73,IF($P$3=2,BS73,AK73))</f>
        <v>0.3</v>
      </c>
      <c r="U73" s="1518">
        <f t="shared" ref="U73:U104" si="63">IF($P$3=1,BC73,IF($P$3=2,BT73,AL73))</f>
        <v>0.3</v>
      </c>
      <c r="V73" s="1518">
        <f t="shared" ref="V73:V104" si="64">IF($P$3=1,BD73,IF($P$3=2,BU73,AM73))</f>
        <v>0.3</v>
      </c>
      <c r="W73" s="1518">
        <f t="shared" ref="W73:W104" si="65">IF($P$3=1,BE73,IF($P$3=2,BV73,AN73))</f>
        <v>0.3</v>
      </c>
      <c r="X73" s="1518">
        <f t="shared" ref="X73:X104" si="66">IF($P$3=1,BF73,IF($P$3=2,BW73,AO73))</f>
        <v>0.3</v>
      </c>
      <c r="Y73" s="1518">
        <f t="shared" ref="Y73:Y104" si="67">IF($P$3=1,BG73,IF($P$3=2,BX73,AP73))</f>
        <v>0.3</v>
      </c>
      <c r="Z73" s="1531">
        <f t="shared" ref="Z73:Z104" si="68">IF($P$3=1,BH73,IF($P$3=2,BY73,AQ73))</f>
        <v>0.3</v>
      </c>
      <c r="AA73" s="1518">
        <f t="shared" ref="AA73:AA104" si="69">IF($P$3=1,BI73,IF($P$3=2,BZ73,AR73))</f>
        <v>0.3</v>
      </c>
      <c r="AB73" s="1518">
        <f t="shared" ref="AB73:AB104" si="70">IF($P$3=1,BJ73,IF($P$3=2,CA73,AS73))</f>
        <v>0.3</v>
      </c>
      <c r="AC73" s="1519">
        <f t="shared" ref="AC73:AC104" si="71">IF($P$3=1,BK73,IF($P$3=2,CB73,AT73))</f>
        <v>0</v>
      </c>
      <c r="AD73" s="1519">
        <f t="shared" ref="AD73:AD104" si="72">IF($P$3=1,BL73,IF($P$3=2,CC73,AU73))</f>
        <v>0</v>
      </c>
      <c r="AE73" s="1519">
        <f t="shared" ref="AE73:AE104" si="73">IF($P$3=1,BM73,IF($P$3=2,CD73,AV73))</f>
        <v>0</v>
      </c>
      <c r="AF73"/>
      <c r="AG73" s="1547" t="s">
        <v>284</v>
      </c>
      <c r="AH73" s="1593" t="s">
        <v>283</v>
      </c>
      <c r="AI73" s="324" t="s">
        <v>852</v>
      </c>
      <c r="AJ73" s="1539">
        <v>0.3</v>
      </c>
      <c r="AK73" s="1539">
        <v>0.3</v>
      </c>
      <c r="AL73" s="1539">
        <v>0.3</v>
      </c>
      <c r="AM73" s="2253">
        <v>0.3</v>
      </c>
      <c r="AN73" s="2253">
        <v>0.3</v>
      </c>
      <c r="AO73" s="1539">
        <v>0.3</v>
      </c>
      <c r="AP73" s="2253">
        <v>0.3</v>
      </c>
      <c r="AQ73" s="1539">
        <v>0.3</v>
      </c>
      <c r="AR73" s="2253">
        <v>0.3</v>
      </c>
      <c r="AS73" s="1523">
        <v>0.3</v>
      </c>
      <c r="AT73" s="1525">
        <v>0</v>
      </c>
      <c r="AU73" s="1525">
        <v>0</v>
      </c>
      <c r="AV73" s="1525">
        <v>0</v>
      </c>
      <c r="AW73"/>
      <c r="AX73" s="1547" t="s">
        <v>284</v>
      </c>
      <c r="AY73" s="1593" t="s">
        <v>283</v>
      </c>
      <c r="AZ73" s="1964" t="s">
        <v>371</v>
      </c>
      <c r="BA73" s="1523">
        <v>0.5</v>
      </c>
      <c r="BB73" s="1523">
        <v>0.5</v>
      </c>
      <c r="BC73" s="1523">
        <v>0.5</v>
      </c>
      <c r="BD73" s="1523">
        <v>0.5</v>
      </c>
      <c r="BE73" s="1523">
        <v>0.5</v>
      </c>
      <c r="BF73" s="1523">
        <v>0.5</v>
      </c>
      <c r="BG73" s="1523">
        <v>0.5</v>
      </c>
      <c r="BH73" s="1524">
        <v>0.5</v>
      </c>
      <c r="BI73" s="1523">
        <v>0.5</v>
      </c>
      <c r="BJ73" s="1523">
        <v>0.5</v>
      </c>
      <c r="BK73" s="1525"/>
      <c r="BL73" s="1525"/>
      <c r="BM73" s="1525"/>
      <c r="BN73"/>
      <c r="BO73" s="1547" t="s">
        <v>284</v>
      </c>
      <c r="BP73" s="1593" t="s">
        <v>283</v>
      </c>
      <c r="BQ73" s="1964" t="s">
        <v>371</v>
      </c>
      <c r="BR73" s="1523">
        <v>0.5</v>
      </c>
      <c r="BS73" s="1523">
        <v>0.5</v>
      </c>
      <c r="BT73" s="1523">
        <v>0.5</v>
      </c>
      <c r="BU73" s="1523">
        <v>0.5</v>
      </c>
      <c r="BV73" s="1523">
        <v>0.5</v>
      </c>
      <c r="BW73" s="1523">
        <v>0.5</v>
      </c>
      <c r="BX73" s="1523">
        <v>0.5</v>
      </c>
      <c r="BY73" s="1524">
        <v>0.5</v>
      </c>
      <c r="BZ73" s="1523">
        <v>0.5</v>
      </c>
      <c r="CA73" s="1523">
        <v>0.5</v>
      </c>
      <c r="CB73" s="1525"/>
      <c r="CC73" s="1525"/>
      <c r="CD73" s="1525"/>
      <c r="CE73"/>
      <c r="CF73" s="1458"/>
      <c r="CG73" s="1458"/>
      <c r="CH73" s="1458"/>
      <c r="CI73" s="1458"/>
      <c r="CJ73" s="1458"/>
      <c r="CK73" s="1458"/>
      <c r="CL73" s="1458"/>
      <c r="CM73" s="1458"/>
      <c r="CN73" s="1458"/>
      <c r="CO73" s="1458"/>
      <c r="CP73" s="1458"/>
    </row>
    <row r="74" spans="1:94" s="1982" customFormat="1">
      <c r="A74"/>
      <c r="B74" s="1497">
        <f t="shared" si="47"/>
        <v>0</v>
      </c>
      <c r="C74" s="1514" t="str">
        <f t="shared" si="53"/>
        <v>衛生管理業務</v>
      </c>
      <c r="D74" s="1621">
        <f t="shared" si="52"/>
        <v>0.20000000000000004</v>
      </c>
      <c r="E74" s="1621">
        <f t="shared" si="52"/>
        <v>0</v>
      </c>
      <c r="F74"/>
      <c r="G74" s="1591">
        <f t="shared" si="54"/>
        <v>0.20000000000000004</v>
      </c>
      <c r="H74" s="1591">
        <f t="shared" si="55"/>
        <v>0</v>
      </c>
      <c r="I74" s="1591"/>
      <c r="J74" s="1591"/>
      <c r="K74" s="1591">
        <f>IF(スコア表示!W74=0,0,1)</f>
        <v>1</v>
      </c>
      <c r="L74" s="1591">
        <f>IF(スコア表示!AA74=0,0,1)</f>
        <v>0</v>
      </c>
      <c r="M74" s="1591">
        <f t="shared" si="56"/>
        <v>0.20000000000000004</v>
      </c>
      <c r="N74" s="1591">
        <f t="shared" si="57"/>
        <v>0</v>
      </c>
      <c r="O74"/>
      <c r="P74" s="1547">
        <f t="shared" si="58"/>
        <v>0</v>
      </c>
      <c r="Q74" s="1547" t="str">
        <f t="shared" si="59"/>
        <v>0</v>
      </c>
      <c r="R74" s="1637" t="str">
        <f t="shared" si="60"/>
        <v>衛生管理業務</v>
      </c>
      <c r="S74" s="1518">
        <f t="shared" si="61"/>
        <v>0.2</v>
      </c>
      <c r="T74" s="1518">
        <f t="shared" si="62"/>
        <v>0.2</v>
      </c>
      <c r="U74" s="1518">
        <f t="shared" si="63"/>
        <v>0.2</v>
      </c>
      <c r="V74" s="1518">
        <f t="shared" si="64"/>
        <v>0.2</v>
      </c>
      <c r="W74" s="1518">
        <f t="shared" si="65"/>
        <v>0.2</v>
      </c>
      <c r="X74" s="1518">
        <f t="shared" si="66"/>
        <v>0.2</v>
      </c>
      <c r="Y74" s="1518">
        <f t="shared" si="67"/>
        <v>0.2</v>
      </c>
      <c r="Z74" s="1531">
        <f t="shared" si="68"/>
        <v>0.2</v>
      </c>
      <c r="AA74" s="1518">
        <f t="shared" si="69"/>
        <v>0.2</v>
      </c>
      <c r="AB74" s="1518">
        <f t="shared" si="70"/>
        <v>0.2</v>
      </c>
      <c r="AC74" s="1519">
        <f t="shared" si="71"/>
        <v>0</v>
      </c>
      <c r="AD74" s="1519">
        <f t="shared" si="72"/>
        <v>0</v>
      </c>
      <c r="AE74" s="1519">
        <f t="shared" si="73"/>
        <v>0</v>
      </c>
      <c r="AF74"/>
      <c r="AG74" s="1547" t="s">
        <v>285</v>
      </c>
      <c r="AH74" s="1593" t="s">
        <v>1553</v>
      </c>
      <c r="AI74" s="324" t="s">
        <v>631</v>
      </c>
      <c r="AJ74" s="1539">
        <v>0.2</v>
      </c>
      <c r="AK74" s="1539">
        <v>0.2</v>
      </c>
      <c r="AL74" s="1539">
        <v>0.2</v>
      </c>
      <c r="AM74" s="2253">
        <v>0.2</v>
      </c>
      <c r="AN74" s="2253">
        <v>0.2</v>
      </c>
      <c r="AO74" s="1539">
        <v>0.2</v>
      </c>
      <c r="AP74" s="2253">
        <v>0.2</v>
      </c>
      <c r="AQ74" s="1539">
        <v>0.2</v>
      </c>
      <c r="AR74" s="2253">
        <v>0.2</v>
      </c>
      <c r="AS74" s="1523">
        <v>0.2</v>
      </c>
      <c r="AT74" s="1525">
        <v>0</v>
      </c>
      <c r="AU74" s="1525">
        <v>0</v>
      </c>
      <c r="AV74" s="1525">
        <v>0</v>
      </c>
      <c r="AW74"/>
      <c r="AX74" s="1547">
        <v>0</v>
      </c>
      <c r="AY74" s="1593" t="s">
        <v>1370</v>
      </c>
      <c r="AZ74" s="1964"/>
      <c r="BA74" s="1523"/>
      <c r="BB74" s="1523"/>
      <c r="BC74" s="1523"/>
      <c r="BD74" s="1523"/>
      <c r="BE74" s="1523"/>
      <c r="BF74" s="1523"/>
      <c r="BG74" s="1523"/>
      <c r="BH74" s="1721"/>
      <c r="BI74" s="1523"/>
      <c r="BJ74" s="1523"/>
      <c r="BK74" s="1525"/>
      <c r="BL74" s="1525"/>
      <c r="BM74" s="1525"/>
      <c r="BN74"/>
      <c r="BO74" s="1547">
        <v>0</v>
      </c>
      <c r="BP74" s="1593" t="s">
        <v>1370</v>
      </c>
      <c r="BQ74" s="1964"/>
      <c r="BR74" s="1523"/>
      <c r="BS74" s="1523"/>
      <c r="BT74" s="1523"/>
      <c r="BU74" s="1523"/>
      <c r="BV74" s="1523"/>
      <c r="BW74" s="1523"/>
      <c r="BX74" s="1523"/>
      <c r="BY74" s="1721"/>
      <c r="BZ74" s="1523"/>
      <c r="CA74" s="1523"/>
      <c r="CB74" s="1525"/>
      <c r="CC74" s="1525"/>
      <c r="CD74" s="1525"/>
      <c r="CE74"/>
      <c r="CF74" s="1458"/>
      <c r="CG74" s="1458"/>
      <c r="CH74" s="1458"/>
      <c r="CI74" s="1458"/>
      <c r="CJ74" s="1458"/>
      <c r="CK74" s="1458"/>
      <c r="CL74" s="1458"/>
      <c r="CM74" s="1458"/>
      <c r="CN74" s="1458"/>
      <c r="CO74" s="1458"/>
      <c r="CP74" s="1458"/>
    </row>
    <row r="75" spans="1:94" s="1505" customFormat="1">
      <c r="A75"/>
      <c r="B75" s="1497">
        <f t="shared" ref="B75:B106" si="74">P75</f>
        <v>2</v>
      </c>
      <c r="C75" s="1528" t="str">
        <f t="shared" si="53"/>
        <v>耐用性・信頼性</v>
      </c>
      <c r="D75" s="1962">
        <f>IF(I$61=0,0,G75/I$61)</f>
        <v>0.3</v>
      </c>
      <c r="E75" s="1643">
        <f>IF(J$61=0,0,H75/J$61)</f>
        <v>0</v>
      </c>
      <c r="F75"/>
      <c r="G75" s="1643">
        <f t="shared" si="54"/>
        <v>0.3</v>
      </c>
      <c r="H75" s="1643">
        <f t="shared" si="55"/>
        <v>0</v>
      </c>
      <c r="I75" s="1643">
        <f>G76+G79++G86+G90</f>
        <v>1.0000000000000002</v>
      </c>
      <c r="J75" s="1643">
        <f>H76+H79++H86+H90</f>
        <v>0</v>
      </c>
      <c r="K75" s="1643">
        <f>IF(スコア表示!W75=0,0,1)</f>
        <v>1</v>
      </c>
      <c r="L75" s="1643">
        <f>IF(スコア表示!AA75=0,0,1)</f>
        <v>0</v>
      </c>
      <c r="M75" s="1643">
        <f t="shared" si="56"/>
        <v>0.3</v>
      </c>
      <c r="N75" s="1643">
        <v>1</v>
      </c>
      <c r="O75"/>
      <c r="P75" s="1541">
        <f t="shared" si="58"/>
        <v>2</v>
      </c>
      <c r="Q75" s="1541" t="str">
        <f t="shared" si="59"/>
        <v xml:space="preserve"> Q2</v>
      </c>
      <c r="R75" s="1680" t="str">
        <f t="shared" si="60"/>
        <v>耐用性・信頼性</v>
      </c>
      <c r="S75" s="1510">
        <f t="shared" si="61"/>
        <v>0.3</v>
      </c>
      <c r="T75" s="1510">
        <f t="shared" si="62"/>
        <v>0.3</v>
      </c>
      <c r="U75" s="1510">
        <f t="shared" si="63"/>
        <v>0.3</v>
      </c>
      <c r="V75" s="1510">
        <f t="shared" si="64"/>
        <v>0.3</v>
      </c>
      <c r="W75" s="1510">
        <f t="shared" si="65"/>
        <v>0.3</v>
      </c>
      <c r="X75" s="1510">
        <f t="shared" si="66"/>
        <v>0.3</v>
      </c>
      <c r="Y75" s="1510">
        <f t="shared" si="67"/>
        <v>0.3</v>
      </c>
      <c r="Z75" s="1546">
        <f t="shared" si="68"/>
        <v>0.3</v>
      </c>
      <c r="AA75" s="1510">
        <f t="shared" si="69"/>
        <v>0.3</v>
      </c>
      <c r="AB75" s="1510">
        <f t="shared" si="70"/>
        <v>0.3</v>
      </c>
      <c r="AC75" s="1559">
        <f t="shared" si="71"/>
        <v>0</v>
      </c>
      <c r="AD75" s="1510">
        <f t="shared" si="72"/>
        <v>0</v>
      </c>
      <c r="AE75" s="1510">
        <f t="shared" si="73"/>
        <v>0</v>
      </c>
      <c r="AF75"/>
      <c r="AG75" s="1541">
        <v>2</v>
      </c>
      <c r="AH75" s="1644" t="s">
        <v>271</v>
      </c>
      <c r="AI75" s="1687" t="s">
        <v>372</v>
      </c>
      <c r="AJ75" s="1510">
        <v>0.3</v>
      </c>
      <c r="AK75" s="1510">
        <v>0.3</v>
      </c>
      <c r="AL75" s="1510">
        <v>0.3</v>
      </c>
      <c r="AM75" s="1510">
        <v>0.3</v>
      </c>
      <c r="AN75" s="1510">
        <v>0.3</v>
      </c>
      <c r="AO75" s="1510">
        <v>0.3</v>
      </c>
      <c r="AP75" s="1510">
        <v>0.3</v>
      </c>
      <c r="AQ75" s="1546">
        <v>0.3</v>
      </c>
      <c r="AR75" s="1510">
        <v>0.3</v>
      </c>
      <c r="AS75" s="1611">
        <v>0.3</v>
      </c>
      <c r="AT75" s="1963">
        <v>0</v>
      </c>
      <c r="AU75" s="1611">
        <v>0</v>
      </c>
      <c r="AV75" s="1611">
        <v>0</v>
      </c>
      <c r="AW75"/>
      <c r="AX75" s="1541">
        <v>2</v>
      </c>
      <c r="AY75" s="1644" t="s">
        <v>271</v>
      </c>
      <c r="AZ75" s="1687" t="s">
        <v>372</v>
      </c>
      <c r="BA75" s="1611">
        <v>0.3</v>
      </c>
      <c r="BB75" s="1611">
        <v>0.3</v>
      </c>
      <c r="BC75" s="1611">
        <v>0.3</v>
      </c>
      <c r="BD75" s="1611">
        <v>0.3</v>
      </c>
      <c r="BE75" s="1611">
        <v>0.3</v>
      </c>
      <c r="BF75" s="1611">
        <v>0.3</v>
      </c>
      <c r="BG75" s="1611">
        <v>0.3</v>
      </c>
      <c r="BH75" s="1611">
        <v>0.3</v>
      </c>
      <c r="BI75" s="1611">
        <v>0.3</v>
      </c>
      <c r="BJ75" s="1611">
        <v>0.3</v>
      </c>
      <c r="BK75" s="1963"/>
      <c r="BL75" s="1611"/>
      <c r="BM75" s="1611"/>
      <c r="BN75"/>
      <c r="BO75" s="1541">
        <v>2</v>
      </c>
      <c r="BP75" s="1644" t="s">
        <v>271</v>
      </c>
      <c r="BQ75" s="1687" t="s">
        <v>372</v>
      </c>
      <c r="BR75" s="1611">
        <v>0.3</v>
      </c>
      <c r="BS75" s="1611">
        <v>0.3</v>
      </c>
      <c r="BT75" s="1611">
        <v>0.3</v>
      </c>
      <c r="BU75" s="1611">
        <v>0.3</v>
      </c>
      <c r="BV75" s="1611">
        <v>0.3</v>
      </c>
      <c r="BW75" s="1611">
        <v>0.3</v>
      </c>
      <c r="BX75" s="1611">
        <v>0.3</v>
      </c>
      <c r="BY75" s="1611">
        <v>0.3</v>
      </c>
      <c r="BZ75" s="1611">
        <v>0.3</v>
      </c>
      <c r="CA75" s="1611">
        <v>0.3</v>
      </c>
      <c r="CB75" s="1963"/>
      <c r="CC75" s="1611"/>
      <c r="CD75" s="1611"/>
      <c r="CE75"/>
    </row>
    <row r="76" spans="1:94">
      <c r="B76" s="1497">
        <f t="shared" si="74"/>
        <v>2.1</v>
      </c>
      <c r="C76" s="1547" t="str">
        <f t="shared" si="53"/>
        <v>耐震･免震</v>
      </c>
      <c r="D76" s="1616">
        <f>IF(I$75=0,0,G76/I$75)</f>
        <v>0.25</v>
      </c>
      <c r="E76" s="1591">
        <f>IF(J$75=0,0,H76/J$75)</f>
        <v>0</v>
      </c>
      <c r="G76" s="1591">
        <f t="shared" si="54"/>
        <v>0.25000000000000006</v>
      </c>
      <c r="H76" s="1591">
        <f t="shared" si="55"/>
        <v>0</v>
      </c>
      <c r="I76" s="1591">
        <f>SUM(G77:G78)</f>
        <v>1.0000000000000002</v>
      </c>
      <c r="J76" s="1591">
        <f>SUM(H77:H78)</f>
        <v>0</v>
      </c>
      <c r="K76" s="1591">
        <f>IF(スコア表示!W76=0,0,1)</f>
        <v>1</v>
      </c>
      <c r="L76" s="1591">
        <f>IF(スコア表示!AA76=0,0,1)</f>
        <v>0</v>
      </c>
      <c r="M76" s="1591">
        <f t="shared" si="56"/>
        <v>0.25000000000000006</v>
      </c>
      <c r="N76" s="1591">
        <f t="shared" si="57"/>
        <v>0</v>
      </c>
      <c r="P76" s="1547">
        <f t="shared" si="58"/>
        <v>2.1</v>
      </c>
      <c r="Q76" s="1547" t="str">
        <f t="shared" si="59"/>
        <v xml:space="preserve"> Q2 2</v>
      </c>
      <c r="R76" s="1637" t="str">
        <f t="shared" si="60"/>
        <v>耐震･免震</v>
      </c>
      <c r="S76" s="1518">
        <f t="shared" si="61"/>
        <v>0.25</v>
      </c>
      <c r="T76" s="1518">
        <f t="shared" si="62"/>
        <v>0.25</v>
      </c>
      <c r="U76" s="1518">
        <f t="shared" si="63"/>
        <v>0.25</v>
      </c>
      <c r="V76" s="1518">
        <f t="shared" si="64"/>
        <v>0.25</v>
      </c>
      <c r="W76" s="1518">
        <f t="shared" si="65"/>
        <v>0.25</v>
      </c>
      <c r="X76" s="1518">
        <f t="shared" si="66"/>
        <v>0.25</v>
      </c>
      <c r="Y76" s="1518">
        <f t="shared" si="67"/>
        <v>0.25</v>
      </c>
      <c r="Z76" s="1526">
        <f t="shared" si="68"/>
        <v>0.25</v>
      </c>
      <c r="AA76" s="1518">
        <f t="shared" si="69"/>
        <v>0.25</v>
      </c>
      <c r="AB76" s="1518">
        <f t="shared" si="70"/>
        <v>0.25</v>
      </c>
      <c r="AC76" s="1519">
        <f t="shared" si="71"/>
        <v>0</v>
      </c>
      <c r="AD76" s="1518">
        <f t="shared" si="72"/>
        <v>0</v>
      </c>
      <c r="AE76" s="1518">
        <f t="shared" si="73"/>
        <v>0</v>
      </c>
      <c r="AG76" s="1547">
        <v>2.1</v>
      </c>
      <c r="AH76" s="1593" t="s">
        <v>286</v>
      </c>
      <c r="AI76" s="1637" t="s">
        <v>635</v>
      </c>
      <c r="AJ76" s="1518">
        <v>0.25</v>
      </c>
      <c r="AK76" s="1518">
        <v>0.25</v>
      </c>
      <c r="AL76" s="1518">
        <v>0.25</v>
      </c>
      <c r="AM76" s="1518">
        <v>0.25</v>
      </c>
      <c r="AN76" s="1518">
        <v>0.25</v>
      </c>
      <c r="AO76" s="1518">
        <v>0.25</v>
      </c>
      <c r="AP76" s="1518">
        <v>0.25</v>
      </c>
      <c r="AQ76" s="1526">
        <v>0.25</v>
      </c>
      <c r="AR76" s="1518">
        <v>0.25</v>
      </c>
      <c r="AS76" s="1523">
        <v>0.25</v>
      </c>
      <c r="AT76" s="1525">
        <v>0</v>
      </c>
      <c r="AU76" s="1523">
        <v>0</v>
      </c>
      <c r="AV76" s="1523">
        <v>0</v>
      </c>
      <c r="AX76" s="1547">
        <v>2.1</v>
      </c>
      <c r="AY76" s="1593" t="s">
        <v>286</v>
      </c>
      <c r="AZ76" s="1637" t="s">
        <v>635</v>
      </c>
      <c r="BA76" s="1523">
        <v>0.5</v>
      </c>
      <c r="BB76" s="1523">
        <v>0.5</v>
      </c>
      <c r="BC76" s="1523">
        <v>0.5</v>
      </c>
      <c r="BD76" s="1523">
        <v>0.5</v>
      </c>
      <c r="BE76" s="1523">
        <v>0.5</v>
      </c>
      <c r="BF76" s="1523">
        <v>0.5</v>
      </c>
      <c r="BG76" s="1523">
        <v>0.5</v>
      </c>
      <c r="BH76" s="1524">
        <v>0.5</v>
      </c>
      <c r="BI76" s="1523">
        <v>0.5</v>
      </c>
      <c r="BJ76" s="1523">
        <v>0.5</v>
      </c>
      <c r="BK76" s="1525"/>
      <c r="BL76" s="1523"/>
      <c r="BM76" s="1523"/>
      <c r="BO76" s="1547">
        <v>2.1</v>
      </c>
      <c r="BP76" s="1593" t="s">
        <v>286</v>
      </c>
      <c r="BQ76" s="1637" t="s">
        <v>635</v>
      </c>
      <c r="BR76" s="1523">
        <v>0.5</v>
      </c>
      <c r="BS76" s="1523">
        <v>0.5</v>
      </c>
      <c r="BT76" s="1523">
        <v>0.5</v>
      </c>
      <c r="BU76" s="1523">
        <v>0.5</v>
      </c>
      <c r="BV76" s="1523">
        <v>0.5</v>
      </c>
      <c r="BW76" s="1523">
        <v>0.5</v>
      </c>
      <c r="BX76" s="1523">
        <v>0.5</v>
      </c>
      <c r="BY76" s="1524">
        <v>0.5</v>
      </c>
      <c r="BZ76" s="1523">
        <v>0.5</v>
      </c>
      <c r="CA76" s="1523">
        <v>0.5</v>
      </c>
      <c r="CB76" s="1525"/>
      <c r="CC76" s="1523"/>
      <c r="CD76" s="1523"/>
    </row>
    <row r="77" spans="1:94">
      <c r="B77" s="1497" t="str">
        <f t="shared" si="74"/>
        <v>2.1.1</v>
      </c>
      <c r="C77" s="1514" t="str">
        <f t="shared" si="53"/>
        <v>耐震性</v>
      </c>
      <c r="D77" s="1621">
        <f>IF(I$76&gt;0,G77/I$76,0)</f>
        <v>0.79999999999999993</v>
      </c>
      <c r="E77" s="1591">
        <f>IF(J$76&gt;0,H77/J$76,0)</f>
        <v>0</v>
      </c>
      <c r="G77" s="1591">
        <f t="shared" si="54"/>
        <v>0.80000000000000016</v>
      </c>
      <c r="H77" s="1591">
        <f t="shared" si="55"/>
        <v>0</v>
      </c>
      <c r="I77" s="1591"/>
      <c r="J77" s="1591"/>
      <c r="K77" s="1591">
        <f>IF(スコア表示!W77=0,0,1)</f>
        <v>1</v>
      </c>
      <c r="L77" s="1591">
        <f>IF(スコア表示!AA77=0,0,1)</f>
        <v>0</v>
      </c>
      <c r="M77" s="1591">
        <f t="shared" si="56"/>
        <v>0.80000000000000016</v>
      </c>
      <c r="N77" s="1591">
        <f t="shared" si="57"/>
        <v>0</v>
      </c>
      <c r="P77" s="1547" t="str">
        <f t="shared" si="58"/>
        <v>2.1.1</v>
      </c>
      <c r="Q77" s="1547" t="str">
        <f t="shared" si="59"/>
        <v xml:space="preserve"> Q2 2.1</v>
      </c>
      <c r="R77" s="1637" t="str">
        <f t="shared" si="60"/>
        <v>耐震性</v>
      </c>
      <c r="S77" s="1518">
        <f t="shared" si="61"/>
        <v>0.8</v>
      </c>
      <c r="T77" s="1518">
        <f t="shared" si="62"/>
        <v>0.8</v>
      </c>
      <c r="U77" s="1518">
        <f t="shared" si="63"/>
        <v>0.8</v>
      </c>
      <c r="V77" s="1518">
        <f t="shared" si="64"/>
        <v>0.8</v>
      </c>
      <c r="W77" s="1518">
        <f t="shared" si="65"/>
        <v>0.8</v>
      </c>
      <c r="X77" s="1518">
        <f t="shared" si="66"/>
        <v>0.8</v>
      </c>
      <c r="Y77" s="1518">
        <f t="shared" si="67"/>
        <v>0.8</v>
      </c>
      <c r="Z77" s="1526">
        <f t="shared" si="68"/>
        <v>0.8</v>
      </c>
      <c r="AA77" s="1518">
        <f t="shared" si="69"/>
        <v>0.8</v>
      </c>
      <c r="AB77" s="1518">
        <f t="shared" si="70"/>
        <v>0.8</v>
      </c>
      <c r="AC77" s="1519">
        <f t="shared" si="71"/>
        <v>0</v>
      </c>
      <c r="AD77" s="1518">
        <f t="shared" si="72"/>
        <v>0</v>
      </c>
      <c r="AE77" s="1518">
        <f t="shared" si="73"/>
        <v>0</v>
      </c>
      <c r="AG77" s="1547" t="s">
        <v>1371</v>
      </c>
      <c r="AH77" s="1593" t="s">
        <v>287</v>
      </c>
      <c r="AI77" s="1964" t="s">
        <v>288</v>
      </c>
      <c r="AJ77" s="1518">
        <v>0.8</v>
      </c>
      <c r="AK77" s="1518">
        <v>0.8</v>
      </c>
      <c r="AL77" s="1518">
        <v>0.8</v>
      </c>
      <c r="AM77" s="1518">
        <v>0.8</v>
      </c>
      <c r="AN77" s="1518">
        <v>0.8</v>
      </c>
      <c r="AO77" s="1518">
        <v>0.8</v>
      </c>
      <c r="AP77" s="1518">
        <v>0.8</v>
      </c>
      <c r="AQ77" s="1526">
        <v>0.8</v>
      </c>
      <c r="AR77" s="1518">
        <v>0.8</v>
      </c>
      <c r="AS77" s="1523">
        <v>0.8</v>
      </c>
      <c r="AT77" s="1525">
        <v>0</v>
      </c>
      <c r="AU77" s="1523">
        <v>0</v>
      </c>
      <c r="AV77" s="1523">
        <v>0</v>
      </c>
      <c r="AX77" s="1547" t="s">
        <v>1371</v>
      </c>
      <c r="AY77" s="1593" t="s">
        <v>287</v>
      </c>
      <c r="AZ77" s="1964" t="s">
        <v>288</v>
      </c>
      <c r="BA77" s="1523">
        <v>0.8</v>
      </c>
      <c r="BB77" s="1523">
        <v>0.8</v>
      </c>
      <c r="BC77" s="1523">
        <v>0.8</v>
      </c>
      <c r="BD77" s="1523">
        <v>0.8</v>
      </c>
      <c r="BE77" s="1523">
        <v>0.8</v>
      </c>
      <c r="BF77" s="1523">
        <v>0.8</v>
      </c>
      <c r="BG77" s="1523">
        <v>0.8</v>
      </c>
      <c r="BH77" s="1524">
        <v>0.8</v>
      </c>
      <c r="BI77" s="1523">
        <v>0.8</v>
      </c>
      <c r="BJ77" s="1523">
        <v>0.8</v>
      </c>
      <c r="BK77" s="1525"/>
      <c r="BL77" s="1523"/>
      <c r="BM77" s="1523"/>
      <c r="BO77" s="1547" t="s">
        <v>1371</v>
      </c>
      <c r="BP77" s="1593" t="s">
        <v>287</v>
      </c>
      <c r="BQ77" s="1964" t="s">
        <v>288</v>
      </c>
      <c r="BR77" s="1523">
        <v>0.8</v>
      </c>
      <c r="BS77" s="1523">
        <v>0.8</v>
      </c>
      <c r="BT77" s="1523">
        <v>0.8</v>
      </c>
      <c r="BU77" s="1523">
        <v>0.8</v>
      </c>
      <c r="BV77" s="1523">
        <v>0.8</v>
      </c>
      <c r="BW77" s="1523">
        <v>0.8</v>
      </c>
      <c r="BX77" s="1523">
        <v>0.8</v>
      </c>
      <c r="BY77" s="1524">
        <v>0.8</v>
      </c>
      <c r="BZ77" s="1523">
        <v>0.8</v>
      </c>
      <c r="CA77" s="1523">
        <v>0.8</v>
      </c>
      <c r="CB77" s="1525"/>
      <c r="CC77" s="1523"/>
      <c r="CD77" s="1523"/>
    </row>
    <row r="78" spans="1:94">
      <c r="B78" s="1497" t="str">
        <f t="shared" si="74"/>
        <v>2.1.2</v>
      </c>
      <c r="C78" s="1514" t="str">
        <f t="shared" si="53"/>
        <v>免震・制振性能</v>
      </c>
      <c r="D78" s="1621">
        <f>IF(I$76&gt;0,G78/I$76,0)</f>
        <v>0.19999999999999998</v>
      </c>
      <c r="E78" s="1591">
        <f>IF(J$76&gt;0,H78/J$76,0)</f>
        <v>0</v>
      </c>
      <c r="G78" s="1591">
        <f t="shared" si="54"/>
        <v>0.20000000000000004</v>
      </c>
      <c r="H78" s="1591">
        <f t="shared" si="55"/>
        <v>0</v>
      </c>
      <c r="I78" s="1591"/>
      <c r="J78" s="1591"/>
      <c r="K78" s="1591">
        <f>IF(スコア表示!W78=0,0,1)</f>
        <v>1</v>
      </c>
      <c r="L78" s="1591">
        <f>IF(スコア表示!AA78=0,0,1)</f>
        <v>0</v>
      </c>
      <c r="M78" s="1591">
        <f t="shared" si="56"/>
        <v>0.20000000000000004</v>
      </c>
      <c r="N78" s="1591">
        <f t="shared" si="57"/>
        <v>0</v>
      </c>
      <c r="P78" s="1547" t="str">
        <f t="shared" si="58"/>
        <v>2.1.2</v>
      </c>
      <c r="Q78" s="1547" t="str">
        <f t="shared" si="59"/>
        <v xml:space="preserve"> Q2 2.1</v>
      </c>
      <c r="R78" s="1637" t="str">
        <f t="shared" si="60"/>
        <v>免震・制振性能</v>
      </c>
      <c r="S78" s="1518">
        <f t="shared" si="61"/>
        <v>0.2</v>
      </c>
      <c r="T78" s="1518">
        <f t="shared" si="62"/>
        <v>0.2</v>
      </c>
      <c r="U78" s="1518">
        <f t="shared" si="63"/>
        <v>0.2</v>
      </c>
      <c r="V78" s="1518">
        <f t="shared" si="64"/>
        <v>0.2</v>
      </c>
      <c r="W78" s="1518">
        <f t="shared" si="65"/>
        <v>0.2</v>
      </c>
      <c r="X78" s="1518">
        <f t="shared" si="66"/>
        <v>0.2</v>
      </c>
      <c r="Y78" s="1518">
        <f t="shared" si="67"/>
        <v>0.2</v>
      </c>
      <c r="Z78" s="1526">
        <f t="shared" si="68"/>
        <v>0.2</v>
      </c>
      <c r="AA78" s="1518">
        <f t="shared" si="69"/>
        <v>0.2</v>
      </c>
      <c r="AB78" s="1518">
        <f t="shared" si="70"/>
        <v>0.2</v>
      </c>
      <c r="AC78" s="1519">
        <f t="shared" si="71"/>
        <v>0</v>
      </c>
      <c r="AD78" s="1518">
        <f t="shared" si="72"/>
        <v>0</v>
      </c>
      <c r="AE78" s="1518">
        <f t="shared" si="73"/>
        <v>0</v>
      </c>
      <c r="AG78" s="1547" t="s">
        <v>1372</v>
      </c>
      <c r="AH78" s="1593" t="s">
        <v>287</v>
      </c>
      <c r="AI78" s="1964" t="s">
        <v>373</v>
      </c>
      <c r="AJ78" s="1518">
        <v>0.2</v>
      </c>
      <c r="AK78" s="1518">
        <v>0.2</v>
      </c>
      <c r="AL78" s="1518">
        <v>0.2</v>
      </c>
      <c r="AM78" s="1518">
        <v>0.2</v>
      </c>
      <c r="AN78" s="1518">
        <v>0.2</v>
      </c>
      <c r="AO78" s="1518">
        <v>0.2</v>
      </c>
      <c r="AP78" s="1518">
        <v>0.2</v>
      </c>
      <c r="AQ78" s="1526">
        <v>0.2</v>
      </c>
      <c r="AR78" s="1518">
        <v>0.2</v>
      </c>
      <c r="AS78" s="1523">
        <v>0.2</v>
      </c>
      <c r="AT78" s="1525">
        <v>0</v>
      </c>
      <c r="AU78" s="1523">
        <v>0</v>
      </c>
      <c r="AV78" s="1523">
        <v>0</v>
      </c>
      <c r="AX78" s="1547" t="s">
        <v>1372</v>
      </c>
      <c r="AY78" s="1593" t="s">
        <v>287</v>
      </c>
      <c r="AZ78" s="1964" t="s">
        <v>373</v>
      </c>
      <c r="BA78" s="1523">
        <v>0.2</v>
      </c>
      <c r="BB78" s="1523">
        <v>0.2</v>
      </c>
      <c r="BC78" s="1523">
        <v>0.2</v>
      </c>
      <c r="BD78" s="1523">
        <v>0.2</v>
      </c>
      <c r="BE78" s="1523">
        <v>0.2</v>
      </c>
      <c r="BF78" s="1523">
        <v>0.2</v>
      </c>
      <c r="BG78" s="1523">
        <v>0.2</v>
      </c>
      <c r="BH78" s="1524">
        <v>0.2</v>
      </c>
      <c r="BI78" s="1523">
        <v>0.2</v>
      </c>
      <c r="BJ78" s="1523">
        <v>0.2</v>
      </c>
      <c r="BK78" s="1525"/>
      <c r="BL78" s="1523"/>
      <c r="BM78" s="1523"/>
      <c r="BO78" s="1547" t="s">
        <v>1372</v>
      </c>
      <c r="BP78" s="1593" t="s">
        <v>287</v>
      </c>
      <c r="BQ78" s="1964" t="s">
        <v>373</v>
      </c>
      <c r="BR78" s="1523">
        <v>0.2</v>
      </c>
      <c r="BS78" s="1523">
        <v>0.2</v>
      </c>
      <c r="BT78" s="1523">
        <v>0.2</v>
      </c>
      <c r="BU78" s="1523">
        <v>0.2</v>
      </c>
      <c r="BV78" s="1523">
        <v>0.2</v>
      </c>
      <c r="BW78" s="1523">
        <v>0.2</v>
      </c>
      <c r="BX78" s="1523">
        <v>0.2</v>
      </c>
      <c r="BY78" s="1524">
        <v>0.2</v>
      </c>
      <c r="BZ78" s="1523">
        <v>0.2</v>
      </c>
      <c r="CA78" s="1523">
        <v>0.2</v>
      </c>
      <c r="CB78" s="1525"/>
      <c r="CC78" s="1523"/>
      <c r="CD78" s="1523"/>
    </row>
    <row r="79" spans="1:94">
      <c r="B79" s="1497">
        <f t="shared" si="74"/>
        <v>2.2000000000000002</v>
      </c>
      <c r="C79" s="1547" t="str">
        <f t="shared" si="53"/>
        <v>部品・部材の耐用年数</v>
      </c>
      <c r="D79" s="1616">
        <f>IF(I$75=0,0,G79/I$75)</f>
        <v>0.25</v>
      </c>
      <c r="E79" s="1591">
        <f>IF(J$75=0,0,H79/J$75)</f>
        <v>0</v>
      </c>
      <c r="G79" s="1591">
        <f t="shared" si="54"/>
        <v>0.25000000000000006</v>
      </c>
      <c r="H79" s="1591">
        <f t="shared" si="55"/>
        <v>0</v>
      </c>
      <c r="I79" s="1591">
        <f>SUM(G80:G85)</f>
        <v>0.80000000000000016</v>
      </c>
      <c r="J79" s="1591">
        <f>SUM(H80:H85)</f>
        <v>0</v>
      </c>
      <c r="K79" s="1591">
        <f>IF(スコア表示!W79=0,0,1)</f>
        <v>1</v>
      </c>
      <c r="L79" s="1591">
        <f>IF(スコア表示!AA79=0,0,1)</f>
        <v>0</v>
      </c>
      <c r="M79" s="1591">
        <f t="shared" si="56"/>
        <v>0.25000000000000006</v>
      </c>
      <c r="N79" s="1591">
        <f t="shared" si="57"/>
        <v>0</v>
      </c>
      <c r="P79" s="1547">
        <f t="shared" si="58"/>
        <v>2.2000000000000002</v>
      </c>
      <c r="Q79" s="1547" t="str">
        <f t="shared" si="59"/>
        <v xml:space="preserve"> Q2 2</v>
      </c>
      <c r="R79" s="1637" t="str">
        <f t="shared" si="60"/>
        <v>部品・部材の耐用年数</v>
      </c>
      <c r="S79" s="1518">
        <f t="shared" si="61"/>
        <v>0.25</v>
      </c>
      <c r="T79" s="1518">
        <f t="shared" si="62"/>
        <v>0.25</v>
      </c>
      <c r="U79" s="1518">
        <f t="shared" si="63"/>
        <v>0.25</v>
      </c>
      <c r="V79" s="1518">
        <f t="shared" si="64"/>
        <v>0.25</v>
      </c>
      <c r="W79" s="1518">
        <f t="shared" si="65"/>
        <v>0.25</v>
      </c>
      <c r="X79" s="1518">
        <f t="shared" si="66"/>
        <v>0.25</v>
      </c>
      <c r="Y79" s="1518">
        <f t="shared" si="67"/>
        <v>0.25</v>
      </c>
      <c r="Z79" s="1526">
        <f t="shared" si="68"/>
        <v>0.25</v>
      </c>
      <c r="AA79" s="1518">
        <f t="shared" si="69"/>
        <v>0.25</v>
      </c>
      <c r="AB79" s="1518">
        <f t="shared" si="70"/>
        <v>0.25</v>
      </c>
      <c r="AC79" s="1519">
        <f t="shared" si="71"/>
        <v>0</v>
      </c>
      <c r="AD79" s="1518">
        <f t="shared" si="72"/>
        <v>0</v>
      </c>
      <c r="AE79" s="1518">
        <f t="shared" si="73"/>
        <v>0</v>
      </c>
      <c r="AG79" s="1547">
        <v>2.2000000000000002</v>
      </c>
      <c r="AH79" s="1593" t="s">
        <v>286</v>
      </c>
      <c r="AI79" s="1637" t="s">
        <v>641</v>
      </c>
      <c r="AJ79" s="1518">
        <v>0.25</v>
      </c>
      <c r="AK79" s="1518">
        <v>0.25</v>
      </c>
      <c r="AL79" s="1518">
        <v>0.25</v>
      </c>
      <c r="AM79" s="1518">
        <v>0.25</v>
      </c>
      <c r="AN79" s="1518">
        <v>0.25</v>
      </c>
      <c r="AO79" s="1518">
        <v>0.25</v>
      </c>
      <c r="AP79" s="1518">
        <v>0.25</v>
      </c>
      <c r="AQ79" s="1526">
        <v>0.25</v>
      </c>
      <c r="AR79" s="1518">
        <v>0.25</v>
      </c>
      <c r="AS79" s="1523">
        <v>0.25</v>
      </c>
      <c r="AT79" s="1525">
        <v>0</v>
      </c>
      <c r="AU79" s="1523">
        <v>0</v>
      </c>
      <c r="AV79" s="1523">
        <v>0</v>
      </c>
      <c r="AX79" s="1547">
        <v>2.2000000000000002</v>
      </c>
      <c r="AY79" s="1593" t="s">
        <v>286</v>
      </c>
      <c r="AZ79" s="1637" t="s">
        <v>641</v>
      </c>
      <c r="BA79" s="1523">
        <v>0.3</v>
      </c>
      <c r="BB79" s="1523">
        <v>0.3</v>
      </c>
      <c r="BC79" s="1523">
        <v>0.3</v>
      </c>
      <c r="BD79" s="1523">
        <v>0.3</v>
      </c>
      <c r="BE79" s="1523">
        <v>0.3</v>
      </c>
      <c r="BF79" s="1523">
        <v>0.3</v>
      </c>
      <c r="BG79" s="1523">
        <v>0.3</v>
      </c>
      <c r="BH79" s="1524">
        <v>0.3</v>
      </c>
      <c r="BI79" s="1523">
        <v>0.3</v>
      </c>
      <c r="BJ79" s="1523">
        <v>0.3</v>
      </c>
      <c r="BK79" s="1525"/>
      <c r="BL79" s="1523"/>
      <c r="BM79" s="1523"/>
      <c r="BO79" s="1547">
        <v>2.2000000000000002</v>
      </c>
      <c r="BP79" s="1593" t="s">
        <v>286</v>
      </c>
      <c r="BQ79" s="1637" t="s">
        <v>641</v>
      </c>
      <c r="BR79" s="1523">
        <v>0.3</v>
      </c>
      <c r="BS79" s="1523">
        <v>0.3</v>
      </c>
      <c r="BT79" s="1523">
        <v>0.3</v>
      </c>
      <c r="BU79" s="1523">
        <v>0.3</v>
      </c>
      <c r="BV79" s="1523">
        <v>0.3</v>
      </c>
      <c r="BW79" s="1523">
        <v>0.3</v>
      </c>
      <c r="BX79" s="1523">
        <v>0.3</v>
      </c>
      <c r="BY79" s="1524">
        <v>0.3</v>
      </c>
      <c r="BZ79" s="1523">
        <v>0.3</v>
      </c>
      <c r="CA79" s="1523">
        <v>0.3</v>
      </c>
      <c r="CB79" s="1525"/>
      <c r="CC79" s="1523"/>
      <c r="CD79" s="1523"/>
    </row>
    <row r="80" spans="1:94">
      <c r="B80" s="1497" t="str">
        <f t="shared" si="74"/>
        <v>2.2.1</v>
      </c>
      <c r="C80" s="1514" t="str">
        <f t="shared" si="53"/>
        <v>躯体材料の耐用年数</v>
      </c>
      <c r="D80" s="1621">
        <f t="shared" ref="D80:E85" si="75">IF(I$79&gt;0,G80/I$79,0)</f>
        <v>0.25</v>
      </c>
      <c r="E80" s="1591">
        <f t="shared" si="75"/>
        <v>0</v>
      </c>
      <c r="G80" s="1591">
        <f t="shared" si="54"/>
        <v>0.20000000000000004</v>
      </c>
      <c r="H80" s="1591">
        <f t="shared" si="55"/>
        <v>0</v>
      </c>
      <c r="I80" s="1591"/>
      <c r="J80" s="1591"/>
      <c r="K80" s="1591">
        <f>IF(スコア表示!W80=0,0,1)</f>
        <v>1</v>
      </c>
      <c r="L80" s="1591">
        <f>IF(スコア表示!AA80=0,0,1)</f>
        <v>0</v>
      </c>
      <c r="M80" s="1591">
        <f t="shared" si="56"/>
        <v>0.20000000000000004</v>
      </c>
      <c r="N80" s="1591">
        <f t="shared" si="57"/>
        <v>0</v>
      </c>
      <c r="P80" s="1547" t="str">
        <f t="shared" si="58"/>
        <v>2.2.1</v>
      </c>
      <c r="Q80" s="1547" t="str">
        <f t="shared" si="59"/>
        <v xml:space="preserve"> Q2 2.2</v>
      </c>
      <c r="R80" s="1637" t="str">
        <f t="shared" si="60"/>
        <v>躯体材料の耐用年数</v>
      </c>
      <c r="S80" s="1518">
        <f t="shared" si="61"/>
        <v>0.2</v>
      </c>
      <c r="T80" s="1518">
        <f t="shared" si="62"/>
        <v>0.2</v>
      </c>
      <c r="U80" s="1518">
        <f t="shared" si="63"/>
        <v>0.2</v>
      </c>
      <c r="V80" s="1518">
        <f t="shared" si="64"/>
        <v>0.2</v>
      </c>
      <c r="W80" s="1518">
        <f t="shared" si="65"/>
        <v>0.2</v>
      </c>
      <c r="X80" s="1518">
        <f t="shared" si="66"/>
        <v>0.2</v>
      </c>
      <c r="Y80" s="1518">
        <f t="shared" si="67"/>
        <v>0.2</v>
      </c>
      <c r="Z80" s="1526">
        <f t="shared" si="68"/>
        <v>0.2</v>
      </c>
      <c r="AA80" s="1518">
        <f t="shared" si="69"/>
        <v>0.2</v>
      </c>
      <c r="AB80" s="1518">
        <f t="shared" si="70"/>
        <v>0.25</v>
      </c>
      <c r="AC80" s="1519">
        <f t="shared" si="71"/>
        <v>0</v>
      </c>
      <c r="AD80" s="1518">
        <f t="shared" si="72"/>
        <v>0</v>
      </c>
      <c r="AE80" s="1518">
        <f t="shared" si="73"/>
        <v>0</v>
      </c>
      <c r="AG80" s="1547" t="s">
        <v>1373</v>
      </c>
      <c r="AH80" s="1593" t="s">
        <v>289</v>
      </c>
      <c r="AI80" s="1964" t="s">
        <v>643</v>
      </c>
      <c r="AJ80" s="1519">
        <v>0.2</v>
      </c>
      <c r="AK80" s="1519">
        <v>0.2</v>
      </c>
      <c r="AL80" s="1519">
        <v>0.2</v>
      </c>
      <c r="AM80" s="1519">
        <v>0.2</v>
      </c>
      <c r="AN80" s="1519">
        <v>0.2</v>
      </c>
      <c r="AO80" s="1519">
        <v>0.2</v>
      </c>
      <c r="AP80" s="1519">
        <v>0.2</v>
      </c>
      <c r="AQ80" s="1519">
        <v>0.2</v>
      </c>
      <c r="AR80" s="1519">
        <v>0.2</v>
      </c>
      <c r="AS80" s="1523">
        <v>0.25</v>
      </c>
      <c r="AT80" s="1525">
        <v>0</v>
      </c>
      <c r="AU80" s="1523">
        <v>0</v>
      </c>
      <c r="AV80" s="1523">
        <v>0</v>
      </c>
      <c r="AX80" s="1547" t="s">
        <v>1373</v>
      </c>
      <c r="AY80" s="1593" t="s">
        <v>289</v>
      </c>
      <c r="AZ80" s="1964" t="s">
        <v>643</v>
      </c>
      <c r="BA80" s="1523">
        <v>0.2</v>
      </c>
      <c r="BB80" s="1523">
        <v>0.2</v>
      </c>
      <c r="BC80" s="1523">
        <v>0.2</v>
      </c>
      <c r="BD80" s="1523">
        <v>0.2</v>
      </c>
      <c r="BE80" s="1523">
        <v>0.2</v>
      </c>
      <c r="BF80" s="1523">
        <v>0.2</v>
      </c>
      <c r="BG80" s="1523">
        <v>0.2</v>
      </c>
      <c r="BH80" s="1523">
        <v>0.2</v>
      </c>
      <c r="BI80" s="1523">
        <v>0.2</v>
      </c>
      <c r="BJ80" s="1523">
        <v>0.2</v>
      </c>
      <c r="BK80" s="1525"/>
      <c r="BL80" s="1523"/>
      <c r="BM80" s="1523"/>
      <c r="BO80" s="1547" t="s">
        <v>1373</v>
      </c>
      <c r="BP80" s="1593" t="s">
        <v>289</v>
      </c>
      <c r="BQ80" s="1964" t="s">
        <v>643</v>
      </c>
      <c r="BR80" s="1523">
        <v>0.2</v>
      </c>
      <c r="BS80" s="1523">
        <v>0.2</v>
      </c>
      <c r="BT80" s="1523">
        <v>0.2</v>
      </c>
      <c r="BU80" s="1523">
        <v>0.2</v>
      </c>
      <c r="BV80" s="1523">
        <v>0.2</v>
      </c>
      <c r="BW80" s="1523">
        <v>0.2</v>
      </c>
      <c r="BX80" s="1523">
        <v>0.2</v>
      </c>
      <c r="BY80" s="1523">
        <v>0.2</v>
      </c>
      <c r="BZ80" s="1523">
        <v>0.2</v>
      </c>
      <c r="CA80" s="1523">
        <v>0.2</v>
      </c>
      <c r="CB80" s="1525"/>
      <c r="CC80" s="1523"/>
      <c r="CD80" s="1523"/>
    </row>
    <row r="81" spans="1:94">
      <c r="B81" s="1497" t="str">
        <f t="shared" si="74"/>
        <v>2.2.2</v>
      </c>
      <c r="C81" s="1514" t="str">
        <f t="shared" si="53"/>
        <v>外壁仕上げ材の補修必要間隔</v>
      </c>
      <c r="D81" s="1621">
        <f t="shared" si="75"/>
        <v>0.25</v>
      </c>
      <c r="E81" s="1591">
        <f t="shared" si="75"/>
        <v>0</v>
      </c>
      <c r="G81" s="1591">
        <f t="shared" si="54"/>
        <v>0.20000000000000004</v>
      </c>
      <c r="H81" s="1591">
        <f t="shared" si="55"/>
        <v>0</v>
      </c>
      <c r="I81" s="1591"/>
      <c r="J81" s="1591"/>
      <c r="K81" s="1591">
        <f>IF(スコア表示!W81=0,0,1)</f>
        <v>1</v>
      </c>
      <c r="L81" s="1591">
        <f>IF(スコア表示!AA81=0,0,1)</f>
        <v>0</v>
      </c>
      <c r="M81" s="1591">
        <f t="shared" si="56"/>
        <v>0.20000000000000004</v>
      </c>
      <c r="N81" s="1591">
        <f t="shared" si="57"/>
        <v>0</v>
      </c>
      <c r="P81" s="1547" t="str">
        <f t="shared" si="58"/>
        <v>2.2.2</v>
      </c>
      <c r="Q81" s="1547" t="str">
        <f t="shared" si="59"/>
        <v xml:space="preserve"> Q2 2.2</v>
      </c>
      <c r="R81" s="1637" t="str">
        <f t="shared" si="60"/>
        <v>外壁仕上げ材の補修必要間隔</v>
      </c>
      <c r="S81" s="1518">
        <f t="shared" si="61"/>
        <v>0.2</v>
      </c>
      <c r="T81" s="1518">
        <f t="shared" si="62"/>
        <v>0.2</v>
      </c>
      <c r="U81" s="1518">
        <f t="shared" si="63"/>
        <v>0.2</v>
      </c>
      <c r="V81" s="1518">
        <f t="shared" si="64"/>
        <v>0.2</v>
      </c>
      <c r="W81" s="1518">
        <f t="shared" si="65"/>
        <v>0.2</v>
      </c>
      <c r="X81" s="1518">
        <f t="shared" si="66"/>
        <v>0.2</v>
      </c>
      <c r="Y81" s="1518">
        <f t="shared" si="67"/>
        <v>0.2</v>
      </c>
      <c r="Z81" s="1526">
        <f t="shared" si="68"/>
        <v>0.2</v>
      </c>
      <c r="AA81" s="1518">
        <f t="shared" si="69"/>
        <v>0.2</v>
      </c>
      <c r="AB81" s="1518">
        <f t="shared" si="70"/>
        <v>0.25</v>
      </c>
      <c r="AC81" s="1519">
        <f t="shared" si="71"/>
        <v>0</v>
      </c>
      <c r="AD81" s="1518">
        <f t="shared" si="72"/>
        <v>0</v>
      </c>
      <c r="AE81" s="1518">
        <f t="shared" si="73"/>
        <v>0</v>
      </c>
      <c r="AG81" s="1547" t="s">
        <v>1374</v>
      </c>
      <c r="AH81" s="1593" t="s">
        <v>289</v>
      </c>
      <c r="AI81" s="1964" t="s">
        <v>290</v>
      </c>
      <c r="AJ81" s="1519">
        <v>0.2</v>
      </c>
      <c r="AK81" s="1519">
        <v>0.2</v>
      </c>
      <c r="AL81" s="1519">
        <v>0.2</v>
      </c>
      <c r="AM81" s="1519">
        <v>0.2</v>
      </c>
      <c r="AN81" s="1519">
        <v>0.2</v>
      </c>
      <c r="AO81" s="1519">
        <v>0.2</v>
      </c>
      <c r="AP81" s="1519">
        <v>0.2</v>
      </c>
      <c r="AQ81" s="1519">
        <v>0.2</v>
      </c>
      <c r="AR81" s="1519">
        <v>0.2</v>
      </c>
      <c r="AS81" s="1523">
        <v>0.25</v>
      </c>
      <c r="AT81" s="1525">
        <v>0</v>
      </c>
      <c r="AU81" s="1523">
        <v>0</v>
      </c>
      <c r="AV81" s="1523">
        <v>0</v>
      </c>
      <c r="AX81" s="1547" t="s">
        <v>1374</v>
      </c>
      <c r="AY81" s="1593" t="s">
        <v>289</v>
      </c>
      <c r="AZ81" s="1964" t="s">
        <v>290</v>
      </c>
      <c r="BA81" s="1523">
        <v>0.2</v>
      </c>
      <c r="BB81" s="1523">
        <v>0.2</v>
      </c>
      <c r="BC81" s="1523">
        <v>0.2</v>
      </c>
      <c r="BD81" s="1523">
        <v>0.2</v>
      </c>
      <c r="BE81" s="1523">
        <v>0.2</v>
      </c>
      <c r="BF81" s="1523">
        <v>0.2</v>
      </c>
      <c r="BG81" s="1523">
        <v>0.2</v>
      </c>
      <c r="BH81" s="1523">
        <v>0.2</v>
      </c>
      <c r="BI81" s="1523">
        <v>0.2</v>
      </c>
      <c r="BJ81" s="1523">
        <v>0.2</v>
      </c>
      <c r="BK81" s="1525"/>
      <c r="BL81" s="1523"/>
      <c r="BM81" s="1523"/>
      <c r="BO81" s="1547" t="s">
        <v>1374</v>
      </c>
      <c r="BP81" s="1593" t="s">
        <v>289</v>
      </c>
      <c r="BQ81" s="1964" t="s">
        <v>290</v>
      </c>
      <c r="BR81" s="1523">
        <v>0.2</v>
      </c>
      <c r="BS81" s="1523">
        <v>0.2</v>
      </c>
      <c r="BT81" s="1523">
        <v>0.2</v>
      </c>
      <c r="BU81" s="1523">
        <v>0.2</v>
      </c>
      <c r="BV81" s="1523">
        <v>0.2</v>
      </c>
      <c r="BW81" s="1523">
        <v>0.2</v>
      </c>
      <c r="BX81" s="1523">
        <v>0.2</v>
      </c>
      <c r="BY81" s="1523">
        <v>0.2</v>
      </c>
      <c r="BZ81" s="1523">
        <v>0.2</v>
      </c>
      <c r="CA81" s="1523">
        <v>0.2</v>
      </c>
      <c r="CB81" s="1525"/>
      <c r="CC81" s="1523"/>
      <c r="CD81" s="1523"/>
    </row>
    <row r="82" spans="1:94">
      <c r="B82" s="1497" t="str">
        <f t="shared" si="74"/>
        <v>2.2.3</v>
      </c>
      <c r="C82" s="1514" t="str">
        <f t="shared" si="53"/>
        <v>主要内装仕上げ材の更新必要間隔</v>
      </c>
      <c r="D82" s="1621">
        <f t="shared" si="75"/>
        <v>0</v>
      </c>
      <c r="E82" s="1591">
        <f t="shared" si="75"/>
        <v>0</v>
      </c>
      <c r="G82" s="1591">
        <f t="shared" si="54"/>
        <v>0</v>
      </c>
      <c r="H82" s="1591">
        <f t="shared" si="55"/>
        <v>0</v>
      </c>
      <c r="I82" s="1591"/>
      <c r="J82" s="1591"/>
      <c r="K82" s="1966">
        <f>IF(スコア表示!W82=0,0,1)</f>
        <v>0</v>
      </c>
      <c r="L82" s="1966">
        <f>IF(スコア表示!AA82=0,0,1)</f>
        <v>0</v>
      </c>
      <c r="M82" s="1966">
        <f t="shared" si="56"/>
        <v>0</v>
      </c>
      <c r="N82" s="1966">
        <f t="shared" si="57"/>
        <v>0</v>
      </c>
      <c r="P82" s="1967" t="str">
        <f t="shared" si="58"/>
        <v>2.2.3</v>
      </c>
      <c r="Q82" s="1967" t="str">
        <f t="shared" si="59"/>
        <v xml:space="preserve"> Q2 2.2</v>
      </c>
      <c r="R82" s="1968" t="str">
        <f t="shared" si="60"/>
        <v>主要内装仕上げ材の更新必要間隔</v>
      </c>
      <c r="S82" s="1554">
        <f t="shared" si="61"/>
        <v>0</v>
      </c>
      <c r="T82" s="1554">
        <f t="shared" si="62"/>
        <v>0</v>
      </c>
      <c r="U82" s="1554">
        <f t="shared" si="63"/>
        <v>0</v>
      </c>
      <c r="V82" s="1554">
        <f t="shared" si="64"/>
        <v>0</v>
      </c>
      <c r="W82" s="1554">
        <f t="shared" si="65"/>
        <v>0</v>
      </c>
      <c r="X82" s="1554">
        <f t="shared" si="66"/>
        <v>0</v>
      </c>
      <c r="Y82" s="1554">
        <f t="shared" si="67"/>
        <v>0</v>
      </c>
      <c r="Z82" s="1555">
        <f t="shared" si="68"/>
        <v>0</v>
      </c>
      <c r="AA82" s="1554">
        <f t="shared" si="69"/>
        <v>0</v>
      </c>
      <c r="AB82" s="1554">
        <f t="shared" si="70"/>
        <v>0</v>
      </c>
      <c r="AC82" s="1556">
        <f t="shared" si="71"/>
        <v>0</v>
      </c>
      <c r="AD82" s="1554">
        <f t="shared" si="72"/>
        <v>0</v>
      </c>
      <c r="AE82" s="1554">
        <f t="shared" si="73"/>
        <v>0</v>
      </c>
      <c r="AG82" s="1547" t="s">
        <v>1375</v>
      </c>
      <c r="AH82" s="1593" t="s">
        <v>289</v>
      </c>
      <c r="AI82" s="1964" t="s">
        <v>291</v>
      </c>
      <c r="AJ82" s="1554">
        <v>0</v>
      </c>
      <c r="AK82" s="1554">
        <v>0</v>
      </c>
      <c r="AL82" s="1554">
        <v>0</v>
      </c>
      <c r="AM82" s="1554">
        <v>0</v>
      </c>
      <c r="AN82" s="1554">
        <v>0</v>
      </c>
      <c r="AO82" s="1554">
        <v>0</v>
      </c>
      <c r="AP82" s="1554">
        <v>0</v>
      </c>
      <c r="AQ82" s="1554">
        <v>0</v>
      </c>
      <c r="AR82" s="1554">
        <v>0</v>
      </c>
      <c r="AS82" s="1523">
        <v>0</v>
      </c>
      <c r="AT82" s="1525">
        <v>0</v>
      </c>
      <c r="AU82" s="1523">
        <v>0</v>
      </c>
      <c r="AV82" s="1523">
        <v>0</v>
      </c>
      <c r="AX82" s="1547" t="s">
        <v>1375</v>
      </c>
      <c r="AY82" s="1593" t="s">
        <v>289</v>
      </c>
      <c r="AZ82" s="1964" t="s">
        <v>291</v>
      </c>
      <c r="BA82" s="1523">
        <v>0.1</v>
      </c>
      <c r="BB82" s="1523">
        <v>0.1</v>
      </c>
      <c r="BC82" s="1523">
        <v>0.1</v>
      </c>
      <c r="BD82" s="1523">
        <v>0.1</v>
      </c>
      <c r="BE82" s="1523">
        <v>0.1</v>
      </c>
      <c r="BF82" s="1523">
        <v>0.1</v>
      </c>
      <c r="BG82" s="1523">
        <v>0.1</v>
      </c>
      <c r="BH82" s="1523">
        <v>0.1</v>
      </c>
      <c r="BI82" s="1523">
        <v>0.1</v>
      </c>
      <c r="BJ82" s="1523">
        <v>0.1</v>
      </c>
      <c r="BK82" s="1525"/>
      <c r="BL82" s="1523"/>
      <c r="BM82" s="1523"/>
      <c r="BO82" s="1547" t="s">
        <v>1375</v>
      </c>
      <c r="BP82" s="1593" t="s">
        <v>289</v>
      </c>
      <c r="BQ82" s="1964" t="s">
        <v>291</v>
      </c>
      <c r="BR82" s="1523">
        <v>0.1</v>
      </c>
      <c r="BS82" s="1523">
        <v>0.1</v>
      </c>
      <c r="BT82" s="1523">
        <v>0.1</v>
      </c>
      <c r="BU82" s="1523">
        <v>0.1</v>
      </c>
      <c r="BV82" s="1523">
        <v>0.1</v>
      </c>
      <c r="BW82" s="1523">
        <v>0.1</v>
      </c>
      <c r="BX82" s="1523">
        <v>0.1</v>
      </c>
      <c r="BY82" s="1523">
        <v>0.1</v>
      </c>
      <c r="BZ82" s="1523">
        <v>0.1</v>
      </c>
      <c r="CA82" s="1523">
        <v>0.1</v>
      </c>
      <c r="CB82" s="1525"/>
      <c r="CC82" s="1523"/>
      <c r="CD82" s="1523"/>
    </row>
    <row r="83" spans="1:94" s="1982" customFormat="1">
      <c r="A83"/>
      <c r="B83" s="1497" t="str">
        <f t="shared" si="74"/>
        <v>2.2.4</v>
      </c>
      <c r="C83" s="1514" t="str">
        <f t="shared" si="53"/>
        <v>空調換気ダクトの更新必要間隔</v>
      </c>
      <c r="D83" s="1621">
        <f t="shared" si="75"/>
        <v>0.125</v>
      </c>
      <c r="E83" s="1591">
        <f t="shared" si="75"/>
        <v>0</v>
      </c>
      <c r="F83"/>
      <c r="G83" s="1591">
        <f t="shared" si="54"/>
        <v>0.10000000000000002</v>
      </c>
      <c r="H83" s="1591">
        <f t="shared" si="55"/>
        <v>0</v>
      </c>
      <c r="I83" s="1591"/>
      <c r="J83" s="1591"/>
      <c r="K83" s="1591">
        <f>IF(スコア表示!W83=0,0,1)</f>
        <v>1</v>
      </c>
      <c r="L83" s="1591">
        <f>IF(スコア表示!AA83=0,0,1)</f>
        <v>0</v>
      </c>
      <c r="M83" s="1591">
        <f t="shared" si="56"/>
        <v>0.10000000000000002</v>
      </c>
      <c r="N83" s="1591">
        <f t="shared" si="57"/>
        <v>0</v>
      </c>
      <c r="O83"/>
      <c r="P83" s="1547" t="str">
        <f t="shared" si="58"/>
        <v>2.2.4</v>
      </c>
      <c r="Q83" s="1547" t="str">
        <f t="shared" si="59"/>
        <v xml:space="preserve"> Q2 2.2</v>
      </c>
      <c r="R83" s="1637" t="str">
        <f t="shared" si="60"/>
        <v>空調換気ダクトの更新必要間隔</v>
      </c>
      <c r="S83" s="1518">
        <f t="shared" si="61"/>
        <v>0.1</v>
      </c>
      <c r="T83" s="1518">
        <f t="shared" si="62"/>
        <v>0.1</v>
      </c>
      <c r="U83" s="1518">
        <f t="shared" si="63"/>
        <v>0.1</v>
      </c>
      <c r="V83" s="1518">
        <f t="shared" si="64"/>
        <v>0.1</v>
      </c>
      <c r="W83" s="1518">
        <f t="shared" si="65"/>
        <v>0.1</v>
      </c>
      <c r="X83" s="1518">
        <f t="shared" si="66"/>
        <v>0.1</v>
      </c>
      <c r="Y83" s="1518">
        <f t="shared" si="67"/>
        <v>0.1</v>
      </c>
      <c r="Z83" s="1526">
        <f t="shared" si="68"/>
        <v>0.1</v>
      </c>
      <c r="AA83" s="1518">
        <f t="shared" si="69"/>
        <v>0.1</v>
      </c>
      <c r="AB83" s="1518">
        <f t="shared" si="70"/>
        <v>0.1</v>
      </c>
      <c r="AC83" s="1519">
        <f t="shared" si="71"/>
        <v>0</v>
      </c>
      <c r="AD83" s="1518">
        <f t="shared" si="72"/>
        <v>0</v>
      </c>
      <c r="AE83" s="1518">
        <f t="shared" si="73"/>
        <v>0</v>
      </c>
      <c r="AF83"/>
      <c r="AG83" s="1547" t="s">
        <v>1376</v>
      </c>
      <c r="AH83" s="1593" t="s">
        <v>289</v>
      </c>
      <c r="AI83" s="1964" t="s">
        <v>294</v>
      </c>
      <c r="AJ83" s="1519">
        <v>0.1</v>
      </c>
      <c r="AK83" s="1519">
        <v>0.1</v>
      </c>
      <c r="AL83" s="1519">
        <v>0.1</v>
      </c>
      <c r="AM83" s="1519">
        <v>0.1</v>
      </c>
      <c r="AN83" s="1519">
        <v>0.1</v>
      </c>
      <c r="AO83" s="1519">
        <v>0.1</v>
      </c>
      <c r="AP83" s="1519">
        <v>0.1</v>
      </c>
      <c r="AQ83" s="1519">
        <v>0.1</v>
      </c>
      <c r="AR83" s="1519">
        <v>0.1</v>
      </c>
      <c r="AS83" s="1523">
        <v>0.1</v>
      </c>
      <c r="AT83" s="1525">
        <v>0</v>
      </c>
      <c r="AU83" s="1523">
        <v>0</v>
      </c>
      <c r="AV83" s="1523">
        <v>0</v>
      </c>
      <c r="AW83"/>
      <c r="AX83" s="1547" t="s">
        <v>1376</v>
      </c>
      <c r="AY83" s="1593" t="s">
        <v>289</v>
      </c>
      <c r="AZ83" s="1964" t="s">
        <v>294</v>
      </c>
      <c r="BA83" s="1523">
        <v>0.1</v>
      </c>
      <c r="BB83" s="1523">
        <v>0.1</v>
      </c>
      <c r="BC83" s="1523">
        <v>0.1</v>
      </c>
      <c r="BD83" s="1523">
        <v>0.1</v>
      </c>
      <c r="BE83" s="1523">
        <v>0.1</v>
      </c>
      <c r="BF83" s="1523">
        <v>0.1</v>
      </c>
      <c r="BG83" s="1523">
        <v>0.1</v>
      </c>
      <c r="BH83" s="1523">
        <v>0.1</v>
      </c>
      <c r="BI83" s="1523">
        <v>0.1</v>
      </c>
      <c r="BJ83" s="1523">
        <v>0.1</v>
      </c>
      <c r="BK83" s="1525"/>
      <c r="BL83" s="1523"/>
      <c r="BM83" s="1523"/>
      <c r="BN83"/>
      <c r="BO83" s="1547" t="s">
        <v>1376</v>
      </c>
      <c r="BP83" s="1593" t="s">
        <v>289</v>
      </c>
      <c r="BQ83" s="1964" t="s">
        <v>294</v>
      </c>
      <c r="BR83" s="1523">
        <v>0.1</v>
      </c>
      <c r="BS83" s="1523">
        <v>0.1</v>
      </c>
      <c r="BT83" s="1523">
        <v>0.1</v>
      </c>
      <c r="BU83" s="1523">
        <v>0.1</v>
      </c>
      <c r="BV83" s="1523">
        <v>0.1</v>
      </c>
      <c r="BW83" s="1523">
        <v>0.1</v>
      </c>
      <c r="BX83" s="1523">
        <v>0.1</v>
      </c>
      <c r="BY83" s="1523">
        <v>0.1</v>
      </c>
      <c r="BZ83" s="1523">
        <v>0.1</v>
      </c>
      <c r="CA83" s="1523">
        <v>0.1</v>
      </c>
      <c r="CB83" s="1525"/>
      <c r="CC83" s="1523"/>
      <c r="CD83" s="1523"/>
      <c r="CE83"/>
      <c r="CF83" s="1458"/>
      <c r="CG83" s="1458"/>
      <c r="CH83" s="1458"/>
      <c r="CI83" s="1458"/>
      <c r="CJ83" s="1458"/>
      <c r="CK83" s="1458"/>
      <c r="CL83" s="1458"/>
      <c r="CM83" s="1458"/>
      <c r="CN83" s="1458"/>
      <c r="CO83" s="1458"/>
      <c r="CP83" s="1458"/>
    </row>
    <row r="84" spans="1:94" s="1982" customFormat="1">
      <c r="A84"/>
      <c r="B84" s="1497" t="str">
        <f t="shared" si="74"/>
        <v>2.2.5</v>
      </c>
      <c r="C84" s="1514" t="str">
        <f t="shared" si="53"/>
        <v>空調・給排水配管の更新必要間隔</v>
      </c>
      <c r="D84" s="1621">
        <f t="shared" si="75"/>
        <v>0.125</v>
      </c>
      <c r="E84" s="1591">
        <f t="shared" si="75"/>
        <v>0</v>
      </c>
      <c r="F84"/>
      <c r="G84" s="1591">
        <f t="shared" si="54"/>
        <v>0.10000000000000002</v>
      </c>
      <c r="H84" s="1591">
        <f t="shared" si="55"/>
        <v>0</v>
      </c>
      <c r="I84" s="1591"/>
      <c r="J84" s="1591"/>
      <c r="K84" s="1591">
        <f>IF(スコア表示!W84=0,0,1)</f>
        <v>1</v>
      </c>
      <c r="L84" s="1591">
        <f>IF(スコア表示!AA84=0,0,1)</f>
        <v>0</v>
      </c>
      <c r="M84" s="1591">
        <f t="shared" si="56"/>
        <v>0.10000000000000002</v>
      </c>
      <c r="N84" s="1591">
        <f t="shared" si="57"/>
        <v>0</v>
      </c>
      <c r="O84"/>
      <c r="P84" s="1547" t="str">
        <f t="shared" ref="P84:P115" si="76">IF($P$3=1,AX84,BO84)</f>
        <v>2.2.5</v>
      </c>
      <c r="Q84" s="1547" t="s">
        <v>289</v>
      </c>
      <c r="R84" s="1637" t="str">
        <f t="shared" si="60"/>
        <v>空調・給排水配管の更新必要間隔</v>
      </c>
      <c r="S84" s="1518">
        <f t="shared" si="61"/>
        <v>0.1</v>
      </c>
      <c r="T84" s="1518">
        <f t="shared" si="62"/>
        <v>0.1</v>
      </c>
      <c r="U84" s="1518">
        <f t="shared" si="63"/>
        <v>0.1</v>
      </c>
      <c r="V84" s="1518">
        <f t="shared" si="64"/>
        <v>0.1</v>
      </c>
      <c r="W84" s="1518">
        <f t="shared" si="65"/>
        <v>0.1</v>
      </c>
      <c r="X84" s="1518">
        <f t="shared" si="66"/>
        <v>0.1</v>
      </c>
      <c r="Y84" s="1518">
        <f t="shared" si="67"/>
        <v>0.1</v>
      </c>
      <c r="Z84" s="1526">
        <f t="shared" si="68"/>
        <v>0.1</v>
      </c>
      <c r="AA84" s="1518">
        <f t="shared" si="69"/>
        <v>0.1</v>
      </c>
      <c r="AB84" s="1518">
        <f t="shared" si="70"/>
        <v>0.1</v>
      </c>
      <c r="AC84" s="1519">
        <f t="shared" si="71"/>
        <v>0</v>
      </c>
      <c r="AD84" s="1518">
        <f t="shared" si="72"/>
        <v>0</v>
      </c>
      <c r="AE84" s="1518">
        <f t="shared" si="73"/>
        <v>0</v>
      </c>
      <c r="AF84"/>
      <c r="AG84" s="1547" t="s">
        <v>1377</v>
      </c>
      <c r="AH84" s="1593" t="s">
        <v>289</v>
      </c>
      <c r="AI84" s="1964" t="s">
        <v>295</v>
      </c>
      <c r="AJ84" s="1519">
        <v>0.1</v>
      </c>
      <c r="AK84" s="1519">
        <v>0.1</v>
      </c>
      <c r="AL84" s="1519">
        <v>0.1</v>
      </c>
      <c r="AM84" s="1519">
        <v>0.1</v>
      </c>
      <c r="AN84" s="1519">
        <v>0.1</v>
      </c>
      <c r="AO84" s="1519">
        <v>0.1</v>
      </c>
      <c r="AP84" s="1519">
        <v>0.1</v>
      </c>
      <c r="AQ84" s="1519">
        <v>0.1</v>
      </c>
      <c r="AR84" s="1519">
        <v>0.1</v>
      </c>
      <c r="AS84" s="1523">
        <v>0.1</v>
      </c>
      <c r="AT84" s="1525"/>
      <c r="AU84" s="1523"/>
      <c r="AV84" s="1523"/>
      <c r="AW84"/>
      <c r="AX84" s="1547" t="s">
        <v>1377</v>
      </c>
      <c r="AY84" s="1593" t="s">
        <v>289</v>
      </c>
      <c r="AZ84" s="1964" t="s">
        <v>295</v>
      </c>
      <c r="BA84" s="1523">
        <v>0.2</v>
      </c>
      <c r="BB84" s="1523">
        <v>0.2</v>
      </c>
      <c r="BC84" s="1523">
        <v>0.2</v>
      </c>
      <c r="BD84" s="1523">
        <v>0.2</v>
      </c>
      <c r="BE84" s="1523">
        <v>0.2</v>
      </c>
      <c r="BF84" s="1523">
        <v>0.2</v>
      </c>
      <c r="BG84" s="1523">
        <v>0.2</v>
      </c>
      <c r="BH84" s="1523">
        <v>0.2</v>
      </c>
      <c r="BI84" s="1523">
        <v>0.2</v>
      </c>
      <c r="BJ84" s="1523">
        <v>0.2</v>
      </c>
      <c r="BK84" s="1525"/>
      <c r="BL84" s="1523"/>
      <c r="BM84" s="1523"/>
      <c r="BN84"/>
      <c r="BO84" s="1547" t="s">
        <v>1377</v>
      </c>
      <c r="BP84" s="1593" t="s">
        <v>289</v>
      </c>
      <c r="BQ84" s="1964" t="s">
        <v>295</v>
      </c>
      <c r="BR84" s="1523">
        <v>0.2</v>
      </c>
      <c r="BS84" s="1523">
        <v>0.2</v>
      </c>
      <c r="BT84" s="1523">
        <v>0.2</v>
      </c>
      <c r="BU84" s="1523">
        <v>0.2</v>
      </c>
      <c r="BV84" s="1523">
        <v>0.2</v>
      </c>
      <c r="BW84" s="1523">
        <v>0.2</v>
      </c>
      <c r="BX84" s="1523">
        <v>0.2</v>
      </c>
      <c r="BY84" s="1523">
        <v>0.2</v>
      </c>
      <c r="BZ84" s="1523">
        <v>0.2</v>
      </c>
      <c r="CA84" s="1523">
        <v>0.2</v>
      </c>
      <c r="CB84" s="1525"/>
      <c r="CC84" s="1523"/>
      <c r="CD84" s="1523"/>
      <c r="CE84"/>
      <c r="CF84" s="1458"/>
      <c r="CG84" s="1458"/>
      <c r="CH84" s="1458"/>
      <c r="CI84" s="1458"/>
      <c r="CJ84" s="1458"/>
      <c r="CK84" s="1458"/>
      <c r="CL84" s="1458"/>
      <c r="CM84" s="1458"/>
      <c r="CN84" s="1458"/>
      <c r="CO84" s="1458"/>
      <c r="CP84" s="1458"/>
    </row>
    <row r="85" spans="1:94">
      <c r="B85" s="1497" t="str">
        <f t="shared" si="74"/>
        <v>2.2.6</v>
      </c>
      <c r="C85" s="1514" t="str">
        <f t="shared" si="53"/>
        <v>主要設備機器の更新必要間隔</v>
      </c>
      <c r="D85" s="1621">
        <f t="shared" si="75"/>
        <v>0.25</v>
      </c>
      <c r="E85" s="1591">
        <f t="shared" si="75"/>
        <v>0</v>
      </c>
      <c r="G85" s="1591">
        <f t="shared" si="54"/>
        <v>0.20000000000000004</v>
      </c>
      <c r="H85" s="1591">
        <f t="shared" si="55"/>
        <v>0</v>
      </c>
      <c r="I85" s="1591"/>
      <c r="J85" s="1591"/>
      <c r="K85" s="1591">
        <f>IF(スコア表示!W85=0,0,1)</f>
        <v>1</v>
      </c>
      <c r="L85" s="1591">
        <f>IF(スコア表示!AA85=0,0,1)</f>
        <v>0</v>
      </c>
      <c r="M85" s="1591">
        <f t="shared" si="56"/>
        <v>0.20000000000000004</v>
      </c>
      <c r="N85" s="1591">
        <f t="shared" si="57"/>
        <v>0</v>
      </c>
      <c r="P85" s="1547" t="str">
        <f t="shared" si="76"/>
        <v>2.2.6</v>
      </c>
      <c r="Q85" s="1547" t="str">
        <f t="shared" ref="Q85:Q116" si="77">IF($P$3=1,AY85,BP85)</f>
        <v xml:space="preserve"> Q2 2.2</v>
      </c>
      <c r="R85" s="1637" t="str">
        <f t="shared" si="60"/>
        <v>主要設備機器の更新必要間隔</v>
      </c>
      <c r="S85" s="1518">
        <f t="shared" si="61"/>
        <v>0.2</v>
      </c>
      <c r="T85" s="1518">
        <f t="shared" si="62"/>
        <v>0.2</v>
      </c>
      <c r="U85" s="1518">
        <f t="shared" si="63"/>
        <v>0.2</v>
      </c>
      <c r="V85" s="1518">
        <f t="shared" si="64"/>
        <v>0.2</v>
      </c>
      <c r="W85" s="1518">
        <f t="shared" si="65"/>
        <v>0.2</v>
      </c>
      <c r="X85" s="1518">
        <f t="shared" si="66"/>
        <v>0.2</v>
      </c>
      <c r="Y85" s="1518">
        <f t="shared" si="67"/>
        <v>0.2</v>
      </c>
      <c r="Z85" s="1526">
        <f t="shared" si="68"/>
        <v>0.2</v>
      </c>
      <c r="AA85" s="1518">
        <f t="shared" si="69"/>
        <v>0.2</v>
      </c>
      <c r="AB85" s="1518">
        <f t="shared" si="70"/>
        <v>0.25</v>
      </c>
      <c r="AC85" s="1519">
        <f t="shared" si="71"/>
        <v>0</v>
      </c>
      <c r="AD85" s="1518">
        <f t="shared" si="72"/>
        <v>0</v>
      </c>
      <c r="AE85" s="1518">
        <f t="shared" si="73"/>
        <v>0</v>
      </c>
      <c r="AG85" s="1547" t="s">
        <v>1378</v>
      </c>
      <c r="AH85" s="1593" t="s">
        <v>289</v>
      </c>
      <c r="AI85" s="1964" t="s">
        <v>296</v>
      </c>
      <c r="AJ85" s="1519">
        <v>0.2</v>
      </c>
      <c r="AK85" s="1519">
        <v>0.2</v>
      </c>
      <c r="AL85" s="1519">
        <v>0.2</v>
      </c>
      <c r="AM85" s="1519">
        <v>0.2</v>
      </c>
      <c r="AN85" s="1519">
        <v>0.2</v>
      </c>
      <c r="AO85" s="1519">
        <v>0.2</v>
      </c>
      <c r="AP85" s="1519">
        <v>0.2</v>
      </c>
      <c r="AQ85" s="1519">
        <v>0.2</v>
      </c>
      <c r="AR85" s="1519">
        <v>0.2</v>
      </c>
      <c r="AS85" s="1523">
        <v>0.25</v>
      </c>
      <c r="AT85" s="1525">
        <v>0</v>
      </c>
      <c r="AU85" s="1523">
        <v>0</v>
      </c>
      <c r="AV85" s="1523">
        <v>0</v>
      </c>
      <c r="AX85" s="1547" t="s">
        <v>1378</v>
      </c>
      <c r="AY85" s="1593" t="s">
        <v>289</v>
      </c>
      <c r="AZ85" s="1964" t="s">
        <v>296</v>
      </c>
      <c r="BA85" s="1523">
        <v>0.2</v>
      </c>
      <c r="BB85" s="1523">
        <v>0.2</v>
      </c>
      <c r="BC85" s="1523">
        <v>0.2</v>
      </c>
      <c r="BD85" s="1523">
        <v>0.2</v>
      </c>
      <c r="BE85" s="1523">
        <v>0.2</v>
      </c>
      <c r="BF85" s="1523">
        <v>0.2</v>
      </c>
      <c r="BG85" s="1523">
        <v>0.2</v>
      </c>
      <c r="BH85" s="1523">
        <v>0.2</v>
      </c>
      <c r="BI85" s="1523">
        <v>0.2</v>
      </c>
      <c r="BJ85" s="1523">
        <v>0.2</v>
      </c>
      <c r="BK85" s="1525"/>
      <c r="BL85" s="1523"/>
      <c r="BM85" s="1523"/>
      <c r="BO85" s="1547" t="s">
        <v>1378</v>
      </c>
      <c r="BP85" s="1593" t="s">
        <v>289</v>
      </c>
      <c r="BQ85" s="1964" t="s">
        <v>296</v>
      </c>
      <c r="BR85" s="1523">
        <v>0.2</v>
      </c>
      <c r="BS85" s="1523">
        <v>0.2</v>
      </c>
      <c r="BT85" s="1523">
        <v>0.2</v>
      </c>
      <c r="BU85" s="1523">
        <v>0.2</v>
      </c>
      <c r="BV85" s="1523">
        <v>0.2</v>
      </c>
      <c r="BW85" s="1523">
        <v>0.2</v>
      </c>
      <c r="BX85" s="1523">
        <v>0.2</v>
      </c>
      <c r="BY85" s="1523">
        <v>0.2</v>
      </c>
      <c r="BZ85" s="1523">
        <v>0.2</v>
      </c>
      <c r="CA85" s="1523">
        <v>0.2</v>
      </c>
      <c r="CB85" s="1525"/>
      <c r="CC85" s="1523"/>
      <c r="CD85" s="1523"/>
    </row>
    <row r="86" spans="1:94">
      <c r="B86" s="1497">
        <f t="shared" si="74"/>
        <v>2.2999999999999998</v>
      </c>
      <c r="C86" s="1641" t="str">
        <f t="shared" si="53"/>
        <v>適切な更新</v>
      </c>
      <c r="D86" s="1616">
        <f>IF(I$75=0,0,G86/I$75)</f>
        <v>0.25</v>
      </c>
      <c r="E86" s="1591">
        <f>IF(J$75=0,0,H86/J$75)</f>
        <v>0</v>
      </c>
      <c r="G86" s="1591">
        <f t="shared" si="54"/>
        <v>0.25000000000000006</v>
      </c>
      <c r="H86" s="1591">
        <f t="shared" si="55"/>
        <v>0</v>
      </c>
      <c r="I86" s="1591">
        <f>G87+G88+G89</f>
        <v>1</v>
      </c>
      <c r="J86" s="1591">
        <f>H87+H88+H89</f>
        <v>0</v>
      </c>
      <c r="K86" s="1591">
        <f>IF(スコア表示!W86=0,0,1)</f>
        <v>1</v>
      </c>
      <c r="L86" s="1591">
        <f>IF(スコア表示!AA86=0,0,1)</f>
        <v>0</v>
      </c>
      <c r="M86" s="1591">
        <f t="shared" si="56"/>
        <v>0.25000000000000006</v>
      </c>
      <c r="N86" s="1591">
        <f t="shared" si="57"/>
        <v>0</v>
      </c>
      <c r="P86" s="1547">
        <f t="shared" si="76"/>
        <v>2.2999999999999998</v>
      </c>
      <c r="Q86" s="1547" t="str">
        <f t="shared" si="77"/>
        <v xml:space="preserve"> Q2 2</v>
      </c>
      <c r="R86" s="1637" t="str">
        <f t="shared" si="60"/>
        <v>適切な更新</v>
      </c>
      <c r="S86" s="1518">
        <f t="shared" si="61"/>
        <v>0.25</v>
      </c>
      <c r="T86" s="1518">
        <f t="shared" si="62"/>
        <v>0.25</v>
      </c>
      <c r="U86" s="1518">
        <f t="shared" si="63"/>
        <v>0.25</v>
      </c>
      <c r="V86" s="1518">
        <f t="shared" si="64"/>
        <v>0.25</v>
      </c>
      <c r="W86" s="1518">
        <f t="shared" si="65"/>
        <v>0.25</v>
      </c>
      <c r="X86" s="1518">
        <f t="shared" si="66"/>
        <v>0.25</v>
      </c>
      <c r="Y86" s="1518">
        <f t="shared" si="67"/>
        <v>0.25</v>
      </c>
      <c r="Z86" s="1526">
        <f t="shared" si="68"/>
        <v>0.25</v>
      </c>
      <c r="AA86" s="1518">
        <f t="shared" si="69"/>
        <v>0.25</v>
      </c>
      <c r="AB86" s="1518">
        <f t="shared" si="70"/>
        <v>0.25</v>
      </c>
      <c r="AC86" s="1519">
        <f t="shared" si="71"/>
        <v>0</v>
      </c>
      <c r="AD86" s="1518">
        <f t="shared" si="72"/>
        <v>0</v>
      </c>
      <c r="AE86" s="1518">
        <f t="shared" si="73"/>
        <v>0</v>
      </c>
      <c r="AG86" s="1547">
        <v>2.2999999999999998</v>
      </c>
      <c r="AH86" s="1547" t="s">
        <v>1554</v>
      </c>
      <c r="AI86" s="1593" t="s">
        <v>374</v>
      </c>
      <c r="AJ86" s="1518">
        <v>0.25</v>
      </c>
      <c r="AK86" s="1518">
        <v>0.25</v>
      </c>
      <c r="AL86" s="1518">
        <v>0.25</v>
      </c>
      <c r="AM86" s="1518">
        <v>0.25</v>
      </c>
      <c r="AN86" s="1518">
        <v>0.25</v>
      </c>
      <c r="AO86" s="1518">
        <v>0.25</v>
      </c>
      <c r="AP86" s="1518">
        <v>0.25</v>
      </c>
      <c r="AQ86" s="1526">
        <v>0.25</v>
      </c>
      <c r="AR86" s="1518">
        <v>0.25</v>
      </c>
      <c r="AS86" s="1523">
        <v>0.25</v>
      </c>
      <c r="AT86" s="1523"/>
      <c r="AU86" s="1525"/>
      <c r="AV86" s="1523"/>
      <c r="AX86" s="1967">
        <v>2.2999999999999998</v>
      </c>
      <c r="AY86" s="1984" t="s">
        <v>286</v>
      </c>
      <c r="AZ86" s="1970" t="s">
        <v>374</v>
      </c>
      <c r="BA86" s="1972">
        <v>0</v>
      </c>
      <c r="BB86" s="1972">
        <v>0</v>
      </c>
      <c r="BC86" s="1972">
        <v>0</v>
      </c>
      <c r="BD86" s="1972">
        <v>0</v>
      </c>
      <c r="BE86" s="1972">
        <v>0</v>
      </c>
      <c r="BF86" s="1972">
        <v>0</v>
      </c>
      <c r="BG86" s="1972">
        <v>0</v>
      </c>
      <c r="BH86" s="1972">
        <v>0</v>
      </c>
      <c r="BI86" s="1972">
        <v>0</v>
      </c>
      <c r="BJ86" s="1972">
        <v>0</v>
      </c>
      <c r="BK86" s="1972"/>
      <c r="BL86" s="1972"/>
      <c r="BM86" s="1972"/>
      <c r="BO86" s="1967">
        <v>2.2999999999999998</v>
      </c>
      <c r="BP86" s="1984" t="s">
        <v>286</v>
      </c>
      <c r="BQ86" s="1970" t="s">
        <v>374</v>
      </c>
      <c r="BR86" s="1972">
        <v>0</v>
      </c>
      <c r="BS86" s="1972">
        <v>0</v>
      </c>
      <c r="BT86" s="1972">
        <v>0</v>
      </c>
      <c r="BU86" s="1972">
        <v>0</v>
      </c>
      <c r="BV86" s="1972">
        <v>0</v>
      </c>
      <c r="BW86" s="1972">
        <v>0</v>
      </c>
      <c r="BX86" s="1972">
        <v>0</v>
      </c>
      <c r="BY86" s="1972">
        <v>0</v>
      </c>
      <c r="BZ86" s="1972">
        <v>0</v>
      </c>
      <c r="CA86" s="1972">
        <v>0</v>
      </c>
      <c r="CB86" s="1972"/>
      <c r="CC86" s="1972"/>
      <c r="CD86" s="1972"/>
    </row>
    <row r="87" spans="1:94">
      <c r="B87" s="1497" t="str">
        <f t="shared" si="74"/>
        <v>2.3.1</v>
      </c>
      <c r="C87" s="1642" t="str">
        <f t="shared" si="53"/>
        <v>屋上（屋根）・外壁仕上げ材の更新</v>
      </c>
      <c r="D87" s="1621">
        <f t="shared" ref="D87:E89" si="78">IF(I$79&gt;0,G87/I$79,0)</f>
        <v>0.41666666666666663</v>
      </c>
      <c r="E87" s="1591">
        <f t="shared" si="78"/>
        <v>0</v>
      </c>
      <c r="G87" s="1591">
        <f t="shared" si="54"/>
        <v>0.33333333333333337</v>
      </c>
      <c r="H87" s="1591">
        <f t="shared" si="55"/>
        <v>0</v>
      </c>
      <c r="I87" s="1591"/>
      <c r="J87" s="1591"/>
      <c r="K87" s="1591">
        <f>IF(スコア表示!W87=0,0,1)</f>
        <v>1</v>
      </c>
      <c r="L87" s="1591">
        <f>IF(スコア表示!AA87=0,0,1)</f>
        <v>0</v>
      </c>
      <c r="M87" s="1591">
        <f t="shared" si="56"/>
        <v>0.33333333333333337</v>
      </c>
      <c r="N87" s="1591">
        <f t="shared" si="57"/>
        <v>0</v>
      </c>
      <c r="P87" s="1547" t="str">
        <f t="shared" si="76"/>
        <v>2.3.1</v>
      </c>
      <c r="Q87" s="1547" t="str">
        <f t="shared" si="77"/>
        <v xml:space="preserve"> Q2 2.3</v>
      </c>
      <c r="R87" s="1637" t="str">
        <f t="shared" si="60"/>
        <v>屋上（屋根）・外壁仕上げ材の更新</v>
      </c>
      <c r="S87" s="1518">
        <f t="shared" si="61"/>
        <v>0.33333333333333331</v>
      </c>
      <c r="T87" s="1518">
        <f t="shared" si="62"/>
        <v>0.33333333333333331</v>
      </c>
      <c r="U87" s="1518">
        <f t="shared" si="63"/>
        <v>0.33333333333333331</v>
      </c>
      <c r="V87" s="1518">
        <f t="shared" si="64"/>
        <v>0.33333333333333331</v>
      </c>
      <c r="W87" s="1518">
        <f t="shared" si="65"/>
        <v>0.33333333333333331</v>
      </c>
      <c r="X87" s="1518">
        <f t="shared" si="66"/>
        <v>0.33333333333333331</v>
      </c>
      <c r="Y87" s="1518">
        <f t="shared" si="67"/>
        <v>0.33333333333333331</v>
      </c>
      <c r="Z87" s="1526">
        <f t="shared" si="68"/>
        <v>0.33333333333333331</v>
      </c>
      <c r="AA87" s="1518">
        <f t="shared" si="69"/>
        <v>0.33333333333333331</v>
      </c>
      <c r="AB87" s="1518">
        <f t="shared" si="70"/>
        <v>0.33333333333333331</v>
      </c>
      <c r="AC87" s="1519">
        <f t="shared" si="71"/>
        <v>0</v>
      </c>
      <c r="AD87" s="1518">
        <f t="shared" si="72"/>
        <v>0</v>
      </c>
      <c r="AE87" s="1518">
        <f t="shared" si="73"/>
        <v>0</v>
      </c>
      <c r="AG87" s="1547" t="s">
        <v>1379</v>
      </c>
      <c r="AH87" s="1547" t="s">
        <v>1555</v>
      </c>
      <c r="AI87" s="1593" t="s">
        <v>375</v>
      </c>
      <c r="AJ87" s="1539">
        <v>0.33333333333333331</v>
      </c>
      <c r="AK87" s="1539">
        <v>0.33333333333333331</v>
      </c>
      <c r="AL87" s="1539">
        <v>0.33333333333333331</v>
      </c>
      <c r="AM87" s="1539">
        <v>0.33333333333333331</v>
      </c>
      <c r="AN87" s="1539">
        <v>0.33333333333333331</v>
      </c>
      <c r="AO87" s="1539">
        <v>0.33333333333333331</v>
      </c>
      <c r="AP87" s="1539">
        <v>0.33333333333333331</v>
      </c>
      <c r="AQ87" s="1539">
        <v>0.33333333333333331</v>
      </c>
      <c r="AR87" s="1539">
        <v>0.33333333333333331</v>
      </c>
      <c r="AS87" s="1523">
        <v>0.33333333333333331</v>
      </c>
      <c r="AT87" s="1523"/>
      <c r="AU87" s="1525"/>
      <c r="AV87" s="1523"/>
      <c r="AX87" s="1967" t="s">
        <v>1379</v>
      </c>
      <c r="AY87" s="1985" t="s">
        <v>297</v>
      </c>
      <c r="AZ87" s="1970" t="s">
        <v>375</v>
      </c>
      <c r="BA87" s="1972">
        <v>0</v>
      </c>
      <c r="BB87" s="1972">
        <v>0</v>
      </c>
      <c r="BC87" s="1972">
        <v>0</v>
      </c>
      <c r="BD87" s="1972">
        <v>0</v>
      </c>
      <c r="BE87" s="1972">
        <v>0</v>
      </c>
      <c r="BF87" s="1972">
        <v>0</v>
      </c>
      <c r="BG87" s="1972">
        <v>0</v>
      </c>
      <c r="BH87" s="1972">
        <v>0</v>
      </c>
      <c r="BI87" s="1972">
        <v>0</v>
      </c>
      <c r="BJ87" s="1972">
        <v>0</v>
      </c>
      <c r="BK87" s="1972"/>
      <c r="BL87" s="1972"/>
      <c r="BM87" s="1972"/>
      <c r="BO87" s="1967" t="s">
        <v>1379</v>
      </c>
      <c r="BP87" s="1985" t="s">
        <v>297</v>
      </c>
      <c r="BQ87" s="1970" t="s">
        <v>375</v>
      </c>
      <c r="BR87" s="1972">
        <v>0</v>
      </c>
      <c r="BS87" s="1972">
        <v>0</v>
      </c>
      <c r="BT87" s="1972">
        <v>0</v>
      </c>
      <c r="BU87" s="1972">
        <v>0</v>
      </c>
      <c r="BV87" s="1972">
        <v>0</v>
      </c>
      <c r="BW87" s="1972">
        <v>0</v>
      </c>
      <c r="BX87" s="1972">
        <v>0</v>
      </c>
      <c r="BY87" s="1972">
        <v>0</v>
      </c>
      <c r="BZ87" s="1972">
        <v>0</v>
      </c>
      <c r="CA87" s="1972">
        <v>0</v>
      </c>
      <c r="CB87" s="1972"/>
      <c r="CC87" s="1972"/>
      <c r="CD87" s="1972"/>
    </row>
    <row r="88" spans="1:94">
      <c r="B88" s="1497" t="str">
        <f t="shared" si="74"/>
        <v>2.3.2</v>
      </c>
      <c r="C88" s="1642" t="str">
        <f t="shared" si="53"/>
        <v>配管・配線材の更新</v>
      </c>
      <c r="D88" s="1621">
        <f t="shared" si="78"/>
        <v>0.41666666666666663</v>
      </c>
      <c r="E88" s="1591">
        <f t="shared" si="78"/>
        <v>0</v>
      </c>
      <c r="G88" s="1591">
        <f t="shared" si="54"/>
        <v>0.33333333333333337</v>
      </c>
      <c r="H88" s="1591">
        <f t="shared" si="55"/>
        <v>0</v>
      </c>
      <c r="I88" s="1591"/>
      <c r="J88" s="1591"/>
      <c r="K88" s="1591">
        <f>IF(スコア表示!W88=0,0,1)</f>
        <v>1</v>
      </c>
      <c r="L88" s="1591">
        <f>IF(スコア表示!AA88=0,0,1)</f>
        <v>0</v>
      </c>
      <c r="M88" s="1591">
        <f t="shared" si="56"/>
        <v>0.33333333333333337</v>
      </c>
      <c r="N88" s="1591">
        <f t="shared" si="57"/>
        <v>0</v>
      </c>
      <c r="P88" s="1547" t="str">
        <f t="shared" si="76"/>
        <v>2.3.2</v>
      </c>
      <c r="Q88" s="1547" t="str">
        <f t="shared" si="77"/>
        <v xml:space="preserve"> Q2 2.3</v>
      </c>
      <c r="R88" s="1637" t="str">
        <f t="shared" si="60"/>
        <v>配管・配線材の更新</v>
      </c>
      <c r="S88" s="1518">
        <f t="shared" si="61"/>
        <v>0.33333333333333331</v>
      </c>
      <c r="T88" s="1518">
        <f t="shared" si="62"/>
        <v>0.33333333333333331</v>
      </c>
      <c r="U88" s="1518">
        <f t="shared" si="63"/>
        <v>0.33333333333333331</v>
      </c>
      <c r="V88" s="1518">
        <f t="shared" si="64"/>
        <v>0.33333333333333331</v>
      </c>
      <c r="W88" s="1518">
        <f t="shared" si="65"/>
        <v>0.33333333333333331</v>
      </c>
      <c r="X88" s="1518">
        <f t="shared" si="66"/>
        <v>0.33333333333333331</v>
      </c>
      <c r="Y88" s="1518">
        <f t="shared" si="67"/>
        <v>0.33333333333333331</v>
      </c>
      <c r="Z88" s="1526">
        <f t="shared" si="68"/>
        <v>0.33333333333333331</v>
      </c>
      <c r="AA88" s="1518">
        <f t="shared" si="69"/>
        <v>0.33333333333333331</v>
      </c>
      <c r="AB88" s="1518">
        <f t="shared" si="70"/>
        <v>0.33333333333333331</v>
      </c>
      <c r="AC88" s="1519">
        <f t="shared" si="71"/>
        <v>0</v>
      </c>
      <c r="AD88" s="1518">
        <f t="shared" si="72"/>
        <v>0</v>
      </c>
      <c r="AE88" s="1518">
        <f t="shared" si="73"/>
        <v>0</v>
      </c>
      <c r="AG88" s="1547" t="s">
        <v>1380</v>
      </c>
      <c r="AH88" s="1547" t="s">
        <v>1555</v>
      </c>
      <c r="AI88" s="1593" t="s">
        <v>376</v>
      </c>
      <c r="AJ88" s="1539">
        <v>0.33333333333333331</v>
      </c>
      <c r="AK88" s="1539">
        <v>0.33333333333333331</v>
      </c>
      <c r="AL88" s="1539">
        <v>0.33333333333333331</v>
      </c>
      <c r="AM88" s="1539">
        <v>0.33333333333333331</v>
      </c>
      <c r="AN88" s="1539">
        <v>0.33333333333333331</v>
      </c>
      <c r="AO88" s="1539">
        <v>0.33333333333333331</v>
      </c>
      <c r="AP88" s="1539">
        <v>0.33333333333333331</v>
      </c>
      <c r="AQ88" s="1539">
        <v>0.33333333333333331</v>
      </c>
      <c r="AR88" s="1539">
        <v>0.33333333333333331</v>
      </c>
      <c r="AS88" s="1523">
        <v>0.33333333333333331</v>
      </c>
      <c r="AT88" s="1523"/>
      <c r="AU88" s="1525"/>
      <c r="AV88" s="1523"/>
      <c r="AX88" s="1967" t="s">
        <v>1380</v>
      </c>
      <c r="AY88" s="1985" t="s">
        <v>297</v>
      </c>
      <c r="AZ88" s="1970" t="s">
        <v>376</v>
      </c>
      <c r="BA88" s="1972">
        <v>0</v>
      </c>
      <c r="BB88" s="1972">
        <v>0</v>
      </c>
      <c r="BC88" s="1972">
        <v>0</v>
      </c>
      <c r="BD88" s="1972">
        <v>0</v>
      </c>
      <c r="BE88" s="1972">
        <v>0</v>
      </c>
      <c r="BF88" s="1972">
        <v>0</v>
      </c>
      <c r="BG88" s="1972">
        <v>0</v>
      </c>
      <c r="BH88" s="1972">
        <v>0</v>
      </c>
      <c r="BI88" s="1972">
        <v>0</v>
      </c>
      <c r="BJ88" s="1972">
        <v>0</v>
      </c>
      <c r="BK88" s="1972"/>
      <c r="BL88" s="1972"/>
      <c r="BM88" s="1972"/>
      <c r="BO88" s="1967" t="s">
        <v>1380</v>
      </c>
      <c r="BP88" s="1985" t="s">
        <v>297</v>
      </c>
      <c r="BQ88" s="1970" t="s">
        <v>376</v>
      </c>
      <c r="BR88" s="1972">
        <v>0</v>
      </c>
      <c r="BS88" s="1972">
        <v>0</v>
      </c>
      <c r="BT88" s="1972">
        <v>0</v>
      </c>
      <c r="BU88" s="1972">
        <v>0</v>
      </c>
      <c r="BV88" s="1972">
        <v>0</v>
      </c>
      <c r="BW88" s="1972">
        <v>0</v>
      </c>
      <c r="BX88" s="1972">
        <v>0</v>
      </c>
      <c r="BY88" s="1972">
        <v>0</v>
      </c>
      <c r="BZ88" s="1972">
        <v>0</v>
      </c>
      <c r="CA88" s="1972">
        <v>0</v>
      </c>
      <c r="CB88" s="1972"/>
      <c r="CC88" s="1972"/>
      <c r="CD88" s="1972"/>
    </row>
    <row r="89" spans="1:94">
      <c r="B89" s="1497" t="str">
        <f t="shared" si="74"/>
        <v>2.3.3</v>
      </c>
      <c r="C89" s="1642" t="str">
        <f t="shared" si="53"/>
        <v>主要設備機器の更新</v>
      </c>
      <c r="D89" s="1621">
        <f t="shared" si="78"/>
        <v>0.41666666666666663</v>
      </c>
      <c r="E89" s="1591">
        <f t="shared" si="78"/>
        <v>0</v>
      </c>
      <c r="G89" s="1591">
        <f t="shared" si="54"/>
        <v>0.33333333333333337</v>
      </c>
      <c r="H89" s="1591">
        <f t="shared" si="55"/>
        <v>0</v>
      </c>
      <c r="I89" s="1591"/>
      <c r="J89" s="1591"/>
      <c r="K89" s="1591">
        <f>IF(スコア表示!W89=0,0,1)</f>
        <v>1</v>
      </c>
      <c r="L89" s="1591">
        <f>IF(スコア表示!AA89=0,0,1)</f>
        <v>0</v>
      </c>
      <c r="M89" s="1591">
        <f t="shared" si="56"/>
        <v>0.33333333333333337</v>
      </c>
      <c r="N89" s="1591">
        <f t="shared" si="57"/>
        <v>0</v>
      </c>
      <c r="P89" s="1547" t="str">
        <f t="shared" si="76"/>
        <v>2.3.3</v>
      </c>
      <c r="Q89" s="1547" t="str">
        <f t="shared" si="77"/>
        <v xml:space="preserve"> Q2 2.3</v>
      </c>
      <c r="R89" s="1637" t="str">
        <f t="shared" si="60"/>
        <v>主要設備機器の更新</v>
      </c>
      <c r="S89" s="1518">
        <f t="shared" si="61"/>
        <v>0.33333333333333331</v>
      </c>
      <c r="T89" s="1518">
        <f t="shared" si="62"/>
        <v>0.33333333333333331</v>
      </c>
      <c r="U89" s="1518">
        <f t="shared" si="63"/>
        <v>0.33333333333333331</v>
      </c>
      <c r="V89" s="1518">
        <f t="shared" si="64"/>
        <v>0.33333333333333331</v>
      </c>
      <c r="W89" s="1518">
        <f t="shared" si="65"/>
        <v>0.33333333333333331</v>
      </c>
      <c r="X89" s="1518">
        <f t="shared" si="66"/>
        <v>0.33333333333333331</v>
      </c>
      <c r="Y89" s="1518">
        <f t="shared" si="67"/>
        <v>0.33333333333333331</v>
      </c>
      <c r="Z89" s="1526">
        <f t="shared" si="68"/>
        <v>0.33333333333333331</v>
      </c>
      <c r="AA89" s="1518">
        <f t="shared" si="69"/>
        <v>0.33333333333333331</v>
      </c>
      <c r="AB89" s="1518">
        <f t="shared" si="70"/>
        <v>0.33333333333333331</v>
      </c>
      <c r="AC89" s="1519">
        <f t="shared" si="71"/>
        <v>0</v>
      </c>
      <c r="AD89" s="1518">
        <f t="shared" si="72"/>
        <v>0</v>
      </c>
      <c r="AE89" s="1518">
        <f t="shared" si="73"/>
        <v>0</v>
      </c>
      <c r="AG89" s="1547" t="s">
        <v>1381</v>
      </c>
      <c r="AH89" s="1547" t="s">
        <v>1555</v>
      </c>
      <c r="AI89" s="1593" t="s">
        <v>377</v>
      </c>
      <c r="AJ89" s="1539">
        <v>0.33333333333333331</v>
      </c>
      <c r="AK89" s="1539">
        <v>0.33333333333333331</v>
      </c>
      <c r="AL89" s="1539">
        <v>0.33333333333333331</v>
      </c>
      <c r="AM89" s="1539">
        <v>0.33333333333333331</v>
      </c>
      <c r="AN89" s="1539">
        <v>0.33333333333333331</v>
      </c>
      <c r="AO89" s="1539">
        <v>0.33333333333333331</v>
      </c>
      <c r="AP89" s="1539">
        <v>0.33333333333333331</v>
      </c>
      <c r="AQ89" s="1539">
        <v>0.33333333333333331</v>
      </c>
      <c r="AR89" s="1539">
        <v>0.33333333333333331</v>
      </c>
      <c r="AS89" s="1523">
        <v>0.33333333333333331</v>
      </c>
      <c r="AT89" s="1523"/>
      <c r="AU89" s="1525"/>
      <c r="AV89" s="1523"/>
      <c r="AX89" s="1967" t="s">
        <v>1381</v>
      </c>
      <c r="AY89" s="1985" t="s">
        <v>297</v>
      </c>
      <c r="AZ89" s="1970" t="s">
        <v>377</v>
      </c>
      <c r="BA89" s="1972">
        <v>0</v>
      </c>
      <c r="BB89" s="1972">
        <v>0</v>
      </c>
      <c r="BC89" s="1972">
        <v>0</v>
      </c>
      <c r="BD89" s="1972">
        <v>0</v>
      </c>
      <c r="BE89" s="1972">
        <v>0</v>
      </c>
      <c r="BF89" s="1972">
        <v>0</v>
      </c>
      <c r="BG89" s="1972">
        <v>0</v>
      </c>
      <c r="BH89" s="1972">
        <v>0</v>
      </c>
      <c r="BI89" s="1972">
        <v>0</v>
      </c>
      <c r="BJ89" s="1972">
        <v>0</v>
      </c>
      <c r="BK89" s="1972"/>
      <c r="BL89" s="1972"/>
      <c r="BM89" s="1972"/>
      <c r="BO89" s="1967" t="s">
        <v>1381</v>
      </c>
      <c r="BP89" s="1985" t="s">
        <v>297</v>
      </c>
      <c r="BQ89" s="1970" t="s">
        <v>377</v>
      </c>
      <c r="BR89" s="1972">
        <v>0</v>
      </c>
      <c r="BS89" s="1972">
        <v>0</v>
      </c>
      <c r="BT89" s="1972">
        <v>0</v>
      </c>
      <c r="BU89" s="1972">
        <v>0</v>
      </c>
      <c r="BV89" s="1972">
        <v>0</v>
      </c>
      <c r="BW89" s="1972">
        <v>0</v>
      </c>
      <c r="BX89" s="1972">
        <v>0</v>
      </c>
      <c r="BY89" s="1972">
        <v>0</v>
      </c>
      <c r="BZ89" s="1972">
        <v>0</v>
      </c>
      <c r="CA89" s="1972">
        <v>0</v>
      </c>
      <c r="CB89" s="1972"/>
      <c r="CC89" s="1972"/>
      <c r="CD89" s="1972"/>
    </row>
    <row r="90" spans="1:94">
      <c r="B90" s="1497">
        <f t="shared" si="74"/>
        <v>2.4</v>
      </c>
      <c r="C90" s="1547" t="str">
        <f t="shared" si="53"/>
        <v>信頼性</v>
      </c>
      <c r="D90" s="1616">
        <f>IF(I$75=0,0,G90/I$75)</f>
        <v>0.25</v>
      </c>
      <c r="E90" s="1591">
        <f>IF(J$75=0,0,H90/J$75)</f>
        <v>0</v>
      </c>
      <c r="G90" s="1591">
        <f t="shared" si="54"/>
        <v>0.25000000000000006</v>
      </c>
      <c r="H90" s="1591">
        <f t="shared" si="55"/>
        <v>0</v>
      </c>
      <c r="I90" s="1591">
        <f>SUM(G91:G95)</f>
        <v>1.0000000000000002</v>
      </c>
      <c r="J90" s="1591">
        <f>SUM(H91:H95)</f>
        <v>0</v>
      </c>
      <c r="K90" s="1591">
        <f>IF(スコア表示!W90=0,0,1)</f>
        <v>1</v>
      </c>
      <c r="L90" s="1591">
        <f>IF(スコア表示!AA90=0,0,1)</f>
        <v>0</v>
      </c>
      <c r="M90" s="1591">
        <f t="shared" si="56"/>
        <v>0.25000000000000006</v>
      </c>
      <c r="N90" s="1591">
        <f t="shared" si="57"/>
        <v>0</v>
      </c>
      <c r="P90" s="1547">
        <f t="shared" si="76"/>
        <v>2.4</v>
      </c>
      <c r="Q90" s="1547" t="str">
        <f t="shared" si="77"/>
        <v xml:space="preserve"> Q2 2</v>
      </c>
      <c r="R90" s="1637" t="str">
        <f t="shared" si="60"/>
        <v>信頼性</v>
      </c>
      <c r="S90" s="1518">
        <f t="shared" si="61"/>
        <v>0.25</v>
      </c>
      <c r="T90" s="1518">
        <f t="shared" si="62"/>
        <v>0.25</v>
      </c>
      <c r="U90" s="1518">
        <f t="shared" si="63"/>
        <v>0.25</v>
      </c>
      <c r="V90" s="1518">
        <f t="shared" si="64"/>
        <v>0.25</v>
      </c>
      <c r="W90" s="1518">
        <f t="shared" si="65"/>
        <v>0.25</v>
      </c>
      <c r="X90" s="1518">
        <f t="shared" si="66"/>
        <v>0.25</v>
      </c>
      <c r="Y90" s="1518">
        <f t="shared" si="67"/>
        <v>0.25</v>
      </c>
      <c r="Z90" s="1526">
        <f t="shared" si="68"/>
        <v>0.25</v>
      </c>
      <c r="AA90" s="1518">
        <f t="shared" si="69"/>
        <v>0.25</v>
      </c>
      <c r="AB90" s="1518">
        <f t="shared" si="70"/>
        <v>0.25</v>
      </c>
      <c r="AC90" s="1519">
        <f t="shared" si="71"/>
        <v>0</v>
      </c>
      <c r="AD90" s="1518">
        <f t="shared" si="72"/>
        <v>0</v>
      </c>
      <c r="AE90" s="1518">
        <f t="shared" si="73"/>
        <v>0</v>
      </c>
      <c r="AG90" s="1547">
        <v>2.4</v>
      </c>
      <c r="AH90" s="1593" t="s">
        <v>286</v>
      </c>
      <c r="AI90" s="1637" t="s">
        <v>653</v>
      </c>
      <c r="AJ90" s="1518">
        <v>0.25</v>
      </c>
      <c r="AK90" s="1518">
        <v>0.25</v>
      </c>
      <c r="AL90" s="1518">
        <v>0.25</v>
      </c>
      <c r="AM90" s="1518">
        <v>0.25</v>
      </c>
      <c r="AN90" s="1518">
        <v>0.25</v>
      </c>
      <c r="AO90" s="1518">
        <v>0.25</v>
      </c>
      <c r="AP90" s="1518">
        <v>0.25</v>
      </c>
      <c r="AQ90" s="1526">
        <v>0.25</v>
      </c>
      <c r="AR90" s="1518">
        <v>0.25</v>
      </c>
      <c r="AS90" s="1523">
        <v>0.25</v>
      </c>
      <c r="AT90" s="1525">
        <v>0</v>
      </c>
      <c r="AU90" s="1523">
        <v>0</v>
      </c>
      <c r="AV90" s="1523">
        <v>0</v>
      </c>
      <c r="AX90" s="1547">
        <v>2.4</v>
      </c>
      <c r="AY90" s="1593" t="s">
        <v>286</v>
      </c>
      <c r="AZ90" s="1637" t="s">
        <v>653</v>
      </c>
      <c r="BA90" s="1523">
        <v>0.2</v>
      </c>
      <c r="BB90" s="1523">
        <v>0.2</v>
      </c>
      <c r="BC90" s="1523">
        <v>0.2</v>
      </c>
      <c r="BD90" s="1523">
        <v>0.2</v>
      </c>
      <c r="BE90" s="1523">
        <v>0.2</v>
      </c>
      <c r="BF90" s="1523">
        <v>0.2</v>
      </c>
      <c r="BG90" s="1523">
        <v>0.2</v>
      </c>
      <c r="BH90" s="1524">
        <v>0.2</v>
      </c>
      <c r="BI90" s="1523">
        <v>0.2</v>
      </c>
      <c r="BJ90" s="1523">
        <v>0.2</v>
      </c>
      <c r="BK90" s="1525"/>
      <c r="BL90" s="1523"/>
      <c r="BM90" s="1523"/>
      <c r="BO90" s="1547">
        <v>2.4</v>
      </c>
      <c r="BP90" s="1593" t="s">
        <v>286</v>
      </c>
      <c r="BQ90" s="1637" t="s">
        <v>653</v>
      </c>
      <c r="BR90" s="1523">
        <v>0.2</v>
      </c>
      <c r="BS90" s="1523">
        <v>0.2</v>
      </c>
      <c r="BT90" s="1523">
        <v>0.2</v>
      </c>
      <c r="BU90" s="1523">
        <v>0.2</v>
      </c>
      <c r="BV90" s="1523">
        <v>0.2</v>
      </c>
      <c r="BW90" s="1523">
        <v>0.2</v>
      </c>
      <c r="BX90" s="1523">
        <v>0.2</v>
      </c>
      <c r="BY90" s="1524">
        <v>0.2</v>
      </c>
      <c r="BZ90" s="1523">
        <v>0.2</v>
      </c>
      <c r="CA90" s="1523">
        <v>0.2</v>
      </c>
      <c r="CB90" s="1525"/>
      <c r="CC90" s="1523"/>
      <c r="CD90" s="1523"/>
    </row>
    <row r="91" spans="1:94">
      <c r="B91" s="1497" t="str">
        <f t="shared" si="74"/>
        <v>2.4.1</v>
      </c>
      <c r="C91" s="1514" t="str">
        <f t="shared" si="53"/>
        <v>空調・換気設備</v>
      </c>
      <c r="D91" s="1621">
        <f t="shared" ref="D91:E95" si="79">IF(I$90&gt;0,G91/I$90,0)</f>
        <v>0.19999999999999998</v>
      </c>
      <c r="E91" s="1591">
        <f t="shared" si="79"/>
        <v>0</v>
      </c>
      <c r="G91" s="1591">
        <f t="shared" si="54"/>
        <v>0.20000000000000004</v>
      </c>
      <c r="H91" s="1591">
        <f t="shared" si="55"/>
        <v>0</v>
      </c>
      <c r="I91" s="1591"/>
      <c r="J91" s="1591"/>
      <c r="K91" s="1591">
        <f>IF(スコア表示!W91=0,0,1)</f>
        <v>1</v>
      </c>
      <c r="L91" s="1591">
        <f>IF(スコア表示!AA91=0,0,1)</f>
        <v>0</v>
      </c>
      <c r="M91" s="1591">
        <f t="shared" si="56"/>
        <v>0.20000000000000004</v>
      </c>
      <c r="N91" s="1591">
        <f t="shared" si="57"/>
        <v>0</v>
      </c>
      <c r="P91" s="1547" t="str">
        <f t="shared" si="76"/>
        <v>2.4.1</v>
      </c>
      <c r="Q91" s="1547" t="str">
        <f t="shared" si="77"/>
        <v xml:space="preserve"> Q2 2.4</v>
      </c>
      <c r="R91" s="1637" t="str">
        <f t="shared" si="60"/>
        <v>空調・換気設備</v>
      </c>
      <c r="S91" s="1518">
        <f t="shared" si="61"/>
        <v>0.2</v>
      </c>
      <c r="T91" s="1518">
        <f t="shared" si="62"/>
        <v>0.2</v>
      </c>
      <c r="U91" s="1518">
        <f t="shared" si="63"/>
        <v>0.2</v>
      </c>
      <c r="V91" s="1518">
        <f t="shared" si="64"/>
        <v>0.2</v>
      </c>
      <c r="W91" s="1518">
        <f t="shared" si="65"/>
        <v>0.2</v>
      </c>
      <c r="X91" s="1518">
        <f t="shared" si="66"/>
        <v>0.2</v>
      </c>
      <c r="Y91" s="1518">
        <f t="shared" si="67"/>
        <v>0.2</v>
      </c>
      <c r="Z91" s="1526">
        <f t="shared" si="68"/>
        <v>0.2</v>
      </c>
      <c r="AA91" s="1518">
        <f t="shared" si="69"/>
        <v>0.2</v>
      </c>
      <c r="AB91" s="1518">
        <f t="shared" si="70"/>
        <v>0.2</v>
      </c>
      <c r="AC91" s="1519">
        <f t="shared" si="71"/>
        <v>0</v>
      </c>
      <c r="AD91" s="1518">
        <f t="shared" si="72"/>
        <v>0</v>
      </c>
      <c r="AE91" s="1518">
        <f t="shared" si="73"/>
        <v>0</v>
      </c>
      <c r="AG91" s="1547" t="s">
        <v>1382</v>
      </c>
      <c r="AH91" s="1593" t="s">
        <v>298</v>
      </c>
      <c r="AI91" s="1964" t="s">
        <v>299</v>
      </c>
      <c r="AJ91" s="1518">
        <v>0.2</v>
      </c>
      <c r="AK91" s="1518">
        <v>0.2</v>
      </c>
      <c r="AL91" s="1518">
        <v>0.2</v>
      </c>
      <c r="AM91" s="1518">
        <v>0.2</v>
      </c>
      <c r="AN91" s="1518">
        <v>0.2</v>
      </c>
      <c r="AO91" s="1518">
        <v>0.2</v>
      </c>
      <c r="AP91" s="1518">
        <v>0.2</v>
      </c>
      <c r="AQ91" s="1526">
        <v>0.2</v>
      </c>
      <c r="AR91" s="1518">
        <v>0.2</v>
      </c>
      <c r="AS91" s="1523">
        <v>0.2</v>
      </c>
      <c r="AT91" s="1525">
        <v>0</v>
      </c>
      <c r="AU91" s="1523">
        <v>0</v>
      </c>
      <c r="AV91" s="1523">
        <v>0</v>
      </c>
      <c r="AX91" s="1547" t="s">
        <v>1382</v>
      </c>
      <c r="AY91" s="1593" t="s">
        <v>298</v>
      </c>
      <c r="AZ91" s="1964" t="s">
        <v>299</v>
      </c>
      <c r="BA91" s="1523">
        <v>0.2</v>
      </c>
      <c r="BB91" s="1523">
        <v>0.2</v>
      </c>
      <c r="BC91" s="1523">
        <v>0.2</v>
      </c>
      <c r="BD91" s="1523">
        <v>0.2</v>
      </c>
      <c r="BE91" s="1523">
        <v>0.2</v>
      </c>
      <c r="BF91" s="1523">
        <v>0.2</v>
      </c>
      <c r="BG91" s="1523">
        <v>0.2</v>
      </c>
      <c r="BH91" s="1524">
        <v>0.2</v>
      </c>
      <c r="BI91" s="1523">
        <v>0.2</v>
      </c>
      <c r="BJ91" s="1523">
        <v>0.2</v>
      </c>
      <c r="BK91" s="1525"/>
      <c r="BL91" s="1523"/>
      <c r="BM91" s="1523"/>
      <c r="BO91" s="1547" t="s">
        <v>1382</v>
      </c>
      <c r="BP91" s="1593" t="s">
        <v>298</v>
      </c>
      <c r="BQ91" s="1964" t="s">
        <v>299</v>
      </c>
      <c r="BR91" s="1523">
        <v>0.2</v>
      </c>
      <c r="BS91" s="1523">
        <v>0.2</v>
      </c>
      <c r="BT91" s="1523">
        <v>0.2</v>
      </c>
      <c r="BU91" s="1523">
        <v>0.2</v>
      </c>
      <c r="BV91" s="1523">
        <v>0.2</v>
      </c>
      <c r="BW91" s="1523">
        <v>0.2</v>
      </c>
      <c r="BX91" s="1523">
        <v>0.2</v>
      </c>
      <c r="BY91" s="1524">
        <v>0.2</v>
      </c>
      <c r="BZ91" s="1523">
        <v>0.2</v>
      </c>
      <c r="CA91" s="1523">
        <v>0.2</v>
      </c>
      <c r="CB91" s="1525"/>
      <c r="CC91" s="1523"/>
      <c r="CD91" s="1523"/>
    </row>
    <row r="92" spans="1:94">
      <c r="B92" s="1497" t="str">
        <f t="shared" si="74"/>
        <v>2.4.2</v>
      </c>
      <c r="C92" s="1514" t="str">
        <f t="shared" si="53"/>
        <v>給排水・衛生設備</v>
      </c>
      <c r="D92" s="1621">
        <f t="shared" si="79"/>
        <v>0.19999999999999998</v>
      </c>
      <c r="E92" s="1591">
        <f t="shared" si="79"/>
        <v>0</v>
      </c>
      <c r="G92" s="1591">
        <f t="shared" si="54"/>
        <v>0.20000000000000004</v>
      </c>
      <c r="H92" s="1591">
        <f t="shared" si="55"/>
        <v>0</v>
      </c>
      <c r="I92" s="1591"/>
      <c r="J92" s="1591"/>
      <c r="K92" s="1591">
        <f>IF(スコア表示!W92=0,0,1)</f>
        <v>1</v>
      </c>
      <c r="L92" s="1591">
        <f>IF(スコア表示!AA92=0,0,1)</f>
        <v>0</v>
      </c>
      <c r="M92" s="1591">
        <f t="shared" si="56"/>
        <v>0.20000000000000004</v>
      </c>
      <c r="N92" s="1591">
        <f t="shared" si="57"/>
        <v>0</v>
      </c>
      <c r="P92" s="1547" t="str">
        <f t="shared" si="76"/>
        <v>2.4.2</v>
      </c>
      <c r="Q92" s="1547" t="str">
        <f t="shared" si="77"/>
        <v xml:space="preserve"> Q2 2.4</v>
      </c>
      <c r="R92" s="1637" t="str">
        <f t="shared" si="60"/>
        <v>給排水・衛生設備</v>
      </c>
      <c r="S92" s="1518">
        <f t="shared" si="61"/>
        <v>0.2</v>
      </c>
      <c r="T92" s="1518">
        <f t="shared" si="62"/>
        <v>0.2</v>
      </c>
      <c r="U92" s="1518">
        <f t="shared" si="63"/>
        <v>0.2</v>
      </c>
      <c r="V92" s="1518">
        <f t="shared" si="64"/>
        <v>0.2</v>
      </c>
      <c r="W92" s="1518">
        <f t="shared" si="65"/>
        <v>0.2</v>
      </c>
      <c r="X92" s="1518">
        <f t="shared" si="66"/>
        <v>0.2</v>
      </c>
      <c r="Y92" s="1518">
        <f t="shared" si="67"/>
        <v>0.2</v>
      </c>
      <c r="Z92" s="1526">
        <f t="shared" si="68"/>
        <v>0.2</v>
      </c>
      <c r="AA92" s="1518">
        <f t="shared" si="69"/>
        <v>0.2</v>
      </c>
      <c r="AB92" s="1518">
        <f t="shared" si="70"/>
        <v>0.2</v>
      </c>
      <c r="AC92" s="1519">
        <f t="shared" si="71"/>
        <v>0</v>
      </c>
      <c r="AD92" s="1518">
        <f t="shared" si="72"/>
        <v>0</v>
      </c>
      <c r="AE92" s="1518">
        <f t="shared" si="73"/>
        <v>0</v>
      </c>
      <c r="AG92" s="1547" t="s">
        <v>300</v>
      </c>
      <c r="AH92" s="1593" t="s">
        <v>298</v>
      </c>
      <c r="AI92" s="1964" t="s">
        <v>301</v>
      </c>
      <c r="AJ92" s="1518">
        <v>0.2</v>
      </c>
      <c r="AK92" s="1518">
        <v>0.2</v>
      </c>
      <c r="AL92" s="1518">
        <v>0.2</v>
      </c>
      <c r="AM92" s="1518">
        <v>0.2</v>
      </c>
      <c r="AN92" s="1518">
        <v>0.2</v>
      </c>
      <c r="AO92" s="1518">
        <v>0.2</v>
      </c>
      <c r="AP92" s="1518">
        <v>0.2</v>
      </c>
      <c r="AQ92" s="1526">
        <v>0.2</v>
      </c>
      <c r="AR92" s="1518">
        <v>0.2</v>
      </c>
      <c r="AS92" s="1523">
        <v>0.2</v>
      </c>
      <c r="AT92" s="1525">
        <v>0</v>
      </c>
      <c r="AU92" s="1523">
        <v>0</v>
      </c>
      <c r="AV92" s="1523">
        <v>0</v>
      </c>
      <c r="AX92" s="1547" t="s">
        <v>300</v>
      </c>
      <c r="AY92" s="1593" t="s">
        <v>298</v>
      </c>
      <c r="AZ92" s="1964" t="s">
        <v>301</v>
      </c>
      <c r="BA92" s="1523">
        <v>0.2</v>
      </c>
      <c r="BB92" s="1523">
        <v>0.2</v>
      </c>
      <c r="BC92" s="1523">
        <v>0.2</v>
      </c>
      <c r="BD92" s="1523">
        <v>0.2</v>
      </c>
      <c r="BE92" s="1523">
        <v>0.2</v>
      </c>
      <c r="BF92" s="1523">
        <v>0.2</v>
      </c>
      <c r="BG92" s="1523">
        <v>0.2</v>
      </c>
      <c r="BH92" s="1524">
        <v>0.2</v>
      </c>
      <c r="BI92" s="1523">
        <v>0.2</v>
      </c>
      <c r="BJ92" s="1523">
        <v>0.2</v>
      </c>
      <c r="BK92" s="1525"/>
      <c r="BL92" s="1523"/>
      <c r="BM92" s="1523"/>
      <c r="BO92" s="1547" t="s">
        <v>300</v>
      </c>
      <c r="BP92" s="1593" t="s">
        <v>298</v>
      </c>
      <c r="BQ92" s="1964" t="s">
        <v>301</v>
      </c>
      <c r="BR92" s="1523">
        <v>0.2</v>
      </c>
      <c r="BS92" s="1523">
        <v>0.2</v>
      </c>
      <c r="BT92" s="1523">
        <v>0.2</v>
      </c>
      <c r="BU92" s="1523">
        <v>0.2</v>
      </c>
      <c r="BV92" s="1523">
        <v>0.2</v>
      </c>
      <c r="BW92" s="1523">
        <v>0.2</v>
      </c>
      <c r="BX92" s="1523">
        <v>0.2</v>
      </c>
      <c r="BY92" s="1524">
        <v>0.2</v>
      </c>
      <c r="BZ92" s="1523">
        <v>0.2</v>
      </c>
      <c r="CA92" s="1523">
        <v>0.2</v>
      </c>
      <c r="CB92" s="1525"/>
      <c r="CC92" s="1523"/>
      <c r="CD92" s="1523"/>
    </row>
    <row r="93" spans="1:94">
      <c r="B93" s="1497" t="str">
        <f t="shared" si="74"/>
        <v>2.4.3</v>
      </c>
      <c r="C93" s="1514" t="str">
        <f t="shared" si="53"/>
        <v>電気設備</v>
      </c>
      <c r="D93" s="1621">
        <f t="shared" si="79"/>
        <v>0.19999999999999998</v>
      </c>
      <c r="E93" s="1591">
        <f t="shared" si="79"/>
        <v>0</v>
      </c>
      <c r="G93" s="1591">
        <f t="shared" si="54"/>
        <v>0.20000000000000004</v>
      </c>
      <c r="H93" s="1591">
        <f t="shared" si="55"/>
        <v>0</v>
      </c>
      <c r="I93" s="1591"/>
      <c r="J93" s="1591"/>
      <c r="K93" s="1591">
        <f>IF(スコア表示!W93=0,0,1)</f>
        <v>1</v>
      </c>
      <c r="L93" s="1591">
        <f>IF(スコア表示!AA93=0,0,1)</f>
        <v>0</v>
      </c>
      <c r="M93" s="1591">
        <f t="shared" si="56"/>
        <v>0.20000000000000004</v>
      </c>
      <c r="N93" s="1591">
        <f t="shared" si="57"/>
        <v>0</v>
      </c>
      <c r="P93" s="1547" t="str">
        <f t="shared" si="76"/>
        <v>2.4.3</v>
      </c>
      <c r="Q93" s="1547" t="str">
        <f t="shared" si="77"/>
        <v xml:space="preserve"> Q2 2.4</v>
      </c>
      <c r="R93" s="1637" t="str">
        <f t="shared" si="60"/>
        <v>電気設備</v>
      </c>
      <c r="S93" s="1518">
        <f t="shared" si="61"/>
        <v>0.2</v>
      </c>
      <c r="T93" s="1518">
        <f t="shared" si="62"/>
        <v>0.2</v>
      </c>
      <c r="U93" s="1518">
        <f t="shared" si="63"/>
        <v>0.2</v>
      </c>
      <c r="V93" s="1518">
        <f t="shared" si="64"/>
        <v>0.2</v>
      </c>
      <c r="W93" s="1518">
        <f t="shared" si="65"/>
        <v>0.2</v>
      </c>
      <c r="X93" s="1518">
        <f t="shared" si="66"/>
        <v>0.2</v>
      </c>
      <c r="Y93" s="1518">
        <f t="shared" si="67"/>
        <v>0.2</v>
      </c>
      <c r="Z93" s="1526">
        <f t="shared" si="68"/>
        <v>0.2</v>
      </c>
      <c r="AA93" s="1518">
        <f t="shared" si="69"/>
        <v>0.2</v>
      </c>
      <c r="AB93" s="1518">
        <f t="shared" si="70"/>
        <v>0.2</v>
      </c>
      <c r="AC93" s="1519">
        <f t="shared" si="71"/>
        <v>0</v>
      </c>
      <c r="AD93" s="1518">
        <f t="shared" si="72"/>
        <v>0</v>
      </c>
      <c r="AE93" s="1518">
        <f t="shared" si="73"/>
        <v>0</v>
      </c>
      <c r="AG93" s="1547" t="s">
        <v>302</v>
      </c>
      <c r="AH93" s="1593" t="s">
        <v>298</v>
      </c>
      <c r="AI93" s="1964" t="s">
        <v>303</v>
      </c>
      <c r="AJ93" s="1518">
        <v>0.2</v>
      </c>
      <c r="AK93" s="1518">
        <v>0.2</v>
      </c>
      <c r="AL93" s="1518">
        <v>0.2</v>
      </c>
      <c r="AM93" s="1518">
        <v>0.2</v>
      </c>
      <c r="AN93" s="1518">
        <v>0.2</v>
      </c>
      <c r="AO93" s="1518">
        <v>0.2</v>
      </c>
      <c r="AP93" s="1518">
        <v>0.2</v>
      </c>
      <c r="AQ93" s="1526">
        <v>0.2</v>
      </c>
      <c r="AR93" s="1518">
        <v>0.2</v>
      </c>
      <c r="AS93" s="1523">
        <v>0.2</v>
      </c>
      <c r="AT93" s="1525">
        <v>0</v>
      </c>
      <c r="AU93" s="1523">
        <v>0</v>
      </c>
      <c r="AV93" s="1523">
        <v>0</v>
      </c>
      <c r="AX93" s="1547" t="s">
        <v>302</v>
      </c>
      <c r="AY93" s="1593" t="s">
        <v>298</v>
      </c>
      <c r="AZ93" s="1964" t="s">
        <v>303</v>
      </c>
      <c r="BA93" s="1523">
        <v>0.2</v>
      </c>
      <c r="BB93" s="1523">
        <v>0.2</v>
      </c>
      <c r="BC93" s="1523">
        <v>0.2</v>
      </c>
      <c r="BD93" s="1523">
        <v>0.2</v>
      </c>
      <c r="BE93" s="1523">
        <v>0.2</v>
      </c>
      <c r="BF93" s="1523">
        <v>0.2</v>
      </c>
      <c r="BG93" s="1523">
        <v>0.2</v>
      </c>
      <c r="BH93" s="1524">
        <v>0.2</v>
      </c>
      <c r="BI93" s="1523">
        <v>0.2</v>
      </c>
      <c r="BJ93" s="1523">
        <v>0.2</v>
      </c>
      <c r="BK93" s="1525"/>
      <c r="BL93" s="1523"/>
      <c r="BM93" s="1523"/>
      <c r="BO93" s="1547" t="s">
        <v>302</v>
      </c>
      <c r="BP93" s="1593" t="s">
        <v>298</v>
      </c>
      <c r="BQ93" s="1964" t="s">
        <v>303</v>
      </c>
      <c r="BR93" s="1523">
        <v>0.2</v>
      </c>
      <c r="BS93" s="1523">
        <v>0.2</v>
      </c>
      <c r="BT93" s="1523">
        <v>0.2</v>
      </c>
      <c r="BU93" s="1523">
        <v>0.2</v>
      </c>
      <c r="BV93" s="1523">
        <v>0.2</v>
      </c>
      <c r="BW93" s="1523">
        <v>0.2</v>
      </c>
      <c r="BX93" s="1523">
        <v>0.2</v>
      </c>
      <c r="BY93" s="1524">
        <v>0.2</v>
      </c>
      <c r="BZ93" s="1523">
        <v>0.2</v>
      </c>
      <c r="CA93" s="1523">
        <v>0.2</v>
      </c>
      <c r="CB93" s="1525"/>
      <c r="CC93" s="1523"/>
      <c r="CD93" s="1523"/>
    </row>
    <row r="94" spans="1:94">
      <c r="B94" s="1497" t="str">
        <f t="shared" si="74"/>
        <v>2.4.4</v>
      </c>
      <c r="C94" s="1514" t="str">
        <f t="shared" si="53"/>
        <v>機械・配管支持方法</v>
      </c>
      <c r="D94" s="1621">
        <f t="shared" si="79"/>
        <v>0.19999999999999998</v>
      </c>
      <c r="E94" s="1591">
        <f t="shared" si="79"/>
        <v>0</v>
      </c>
      <c r="G94" s="1591">
        <f t="shared" si="54"/>
        <v>0.20000000000000004</v>
      </c>
      <c r="H94" s="1591">
        <f t="shared" si="55"/>
        <v>0</v>
      </c>
      <c r="I94" s="1591"/>
      <c r="J94" s="1591"/>
      <c r="K94" s="1591">
        <f>IF(スコア表示!W94=0,0,1)</f>
        <v>1</v>
      </c>
      <c r="L94" s="1591">
        <f>IF(スコア表示!AA94=0,0,1)</f>
        <v>0</v>
      </c>
      <c r="M94" s="1591">
        <f t="shared" si="56"/>
        <v>0.20000000000000004</v>
      </c>
      <c r="N94" s="1591">
        <f t="shared" si="57"/>
        <v>0</v>
      </c>
      <c r="P94" s="1547" t="str">
        <f t="shared" si="76"/>
        <v>2.4.4</v>
      </c>
      <c r="Q94" s="1547" t="str">
        <f t="shared" si="77"/>
        <v xml:space="preserve"> Q2 2.4</v>
      </c>
      <c r="R94" s="1637" t="str">
        <f t="shared" si="60"/>
        <v>機械・配管支持方法</v>
      </c>
      <c r="S94" s="1518">
        <f t="shared" si="61"/>
        <v>0.2</v>
      </c>
      <c r="T94" s="1518">
        <f t="shared" si="62"/>
        <v>0.2</v>
      </c>
      <c r="U94" s="1518">
        <f t="shared" si="63"/>
        <v>0.2</v>
      </c>
      <c r="V94" s="1518">
        <f t="shared" si="64"/>
        <v>0.2</v>
      </c>
      <c r="W94" s="1518">
        <f t="shared" si="65"/>
        <v>0.2</v>
      </c>
      <c r="X94" s="1518">
        <f t="shared" si="66"/>
        <v>0.2</v>
      </c>
      <c r="Y94" s="1518">
        <f t="shared" si="67"/>
        <v>0.2</v>
      </c>
      <c r="Z94" s="1526">
        <f t="shared" si="68"/>
        <v>0.2</v>
      </c>
      <c r="AA94" s="1518">
        <f t="shared" si="69"/>
        <v>0.2</v>
      </c>
      <c r="AB94" s="1518">
        <f t="shared" si="70"/>
        <v>0.2</v>
      </c>
      <c r="AC94" s="1519">
        <f t="shared" si="71"/>
        <v>0</v>
      </c>
      <c r="AD94" s="1518">
        <f t="shared" si="72"/>
        <v>0</v>
      </c>
      <c r="AE94" s="1518">
        <f t="shared" si="73"/>
        <v>0</v>
      </c>
      <c r="AG94" s="1547" t="s">
        <v>304</v>
      </c>
      <c r="AH94" s="1593" t="s">
        <v>298</v>
      </c>
      <c r="AI94" s="1964" t="s">
        <v>305</v>
      </c>
      <c r="AJ94" s="1518">
        <v>0.2</v>
      </c>
      <c r="AK94" s="1518">
        <v>0.2</v>
      </c>
      <c r="AL94" s="1518">
        <v>0.2</v>
      </c>
      <c r="AM94" s="1518">
        <v>0.2</v>
      </c>
      <c r="AN94" s="1518">
        <v>0.2</v>
      </c>
      <c r="AO94" s="1518">
        <v>0.2</v>
      </c>
      <c r="AP94" s="1518">
        <v>0.2</v>
      </c>
      <c r="AQ94" s="1526">
        <v>0.2</v>
      </c>
      <c r="AR94" s="1518">
        <v>0.2</v>
      </c>
      <c r="AS94" s="1523">
        <v>0.2</v>
      </c>
      <c r="AT94" s="1525">
        <v>0</v>
      </c>
      <c r="AU94" s="1523">
        <v>0</v>
      </c>
      <c r="AV94" s="1523">
        <v>0</v>
      </c>
      <c r="AX94" s="1547" t="s">
        <v>304</v>
      </c>
      <c r="AY94" s="1593" t="s">
        <v>298</v>
      </c>
      <c r="AZ94" s="1964" t="s">
        <v>305</v>
      </c>
      <c r="BA94" s="1523">
        <v>0.2</v>
      </c>
      <c r="BB94" s="1523">
        <v>0.2</v>
      </c>
      <c r="BC94" s="1523">
        <v>0.2</v>
      </c>
      <c r="BD94" s="1523">
        <v>0.2</v>
      </c>
      <c r="BE94" s="1523">
        <v>0.2</v>
      </c>
      <c r="BF94" s="1523">
        <v>0.2</v>
      </c>
      <c r="BG94" s="1523">
        <v>0.2</v>
      </c>
      <c r="BH94" s="1524">
        <v>0.2</v>
      </c>
      <c r="BI94" s="1523">
        <v>0.2</v>
      </c>
      <c r="BJ94" s="1523">
        <v>0.2</v>
      </c>
      <c r="BK94" s="1525"/>
      <c r="BL94" s="1523"/>
      <c r="BM94" s="1523"/>
      <c r="BO94" s="1547" t="s">
        <v>304</v>
      </c>
      <c r="BP94" s="1593" t="s">
        <v>298</v>
      </c>
      <c r="BQ94" s="1964" t="s">
        <v>305</v>
      </c>
      <c r="BR94" s="1523">
        <v>0.2</v>
      </c>
      <c r="BS94" s="1523">
        <v>0.2</v>
      </c>
      <c r="BT94" s="1523">
        <v>0.2</v>
      </c>
      <c r="BU94" s="1523">
        <v>0.2</v>
      </c>
      <c r="BV94" s="1523">
        <v>0.2</v>
      </c>
      <c r="BW94" s="1523">
        <v>0.2</v>
      </c>
      <c r="BX94" s="1523">
        <v>0.2</v>
      </c>
      <c r="BY94" s="1524">
        <v>0.2</v>
      </c>
      <c r="BZ94" s="1523">
        <v>0.2</v>
      </c>
      <c r="CA94" s="1523">
        <v>0.2</v>
      </c>
      <c r="CB94" s="1525"/>
      <c r="CC94" s="1523"/>
      <c r="CD94" s="1523"/>
    </row>
    <row r="95" spans="1:94">
      <c r="B95" s="1497" t="str">
        <f t="shared" si="74"/>
        <v>2.4.5</v>
      </c>
      <c r="C95" s="1514" t="str">
        <f t="shared" si="53"/>
        <v>通信・情報設備</v>
      </c>
      <c r="D95" s="1621">
        <f t="shared" si="79"/>
        <v>0.19999999999999998</v>
      </c>
      <c r="E95" s="1591">
        <f t="shared" si="79"/>
        <v>0</v>
      </c>
      <c r="G95" s="1591">
        <f t="shared" si="54"/>
        <v>0.20000000000000004</v>
      </c>
      <c r="H95" s="1591">
        <f t="shared" si="55"/>
        <v>0</v>
      </c>
      <c r="I95" s="1591"/>
      <c r="J95" s="1591"/>
      <c r="K95" s="1591">
        <f>IF(スコア表示!W95=0,0,1)</f>
        <v>1</v>
      </c>
      <c r="L95" s="1591">
        <f>IF(スコア表示!AA95=0,0,1)</f>
        <v>0</v>
      </c>
      <c r="M95" s="1591">
        <f t="shared" si="56"/>
        <v>0.20000000000000004</v>
      </c>
      <c r="N95" s="1591">
        <f t="shared" si="57"/>
        <v>0</v>
      </c>
      <c r="P95" s="1547" t="str">
        <f t="shared" si="76"/>
        <v>2.4.5</v>
      </c>
      <c r="Q95" s="1547" t="str">
        <f t="shared" si="77"/>
        <v xml:space="preserve"> Q2 2.4</v>
      </c>
      <c r="R95" s="1637" t="str">
        <f t="shared" si="60"/>
        <v>通信・情報設備</v>
      </c>
      <c r="S95" s="1518">
        <f t="shared" si="61"/>
        <v>0.2</v>
      </c>
      <c r="T95" s="1518">
        <f t="shared" si="62"/>
        <v>0.2</v>
      </c>
      <c r="U95" s="1518">
        <f t="shared" si="63"/>
        <v>0.2</v>
      </c>
      <c r="V95" s="1518">
        <f t="shared" si="64"/>
        <v>0.2</v>
      </c>
      <c r="W95" s="1518">
        <f t="shared" si="65"/>
        <v>0.2</v>
      </c>
      <c r="X95" s="1518">
        <f t="shared" si="66"/>
        <v>0.2</v>
      </c>
      <c r="Y95" s="1518">
        <f t="shared" si="67"/>
        <v>0.2</v>
      </c>
      <c r="Z95" s="1526">
        <f t="shared" si="68"/>
        <v>0.2</v>
      </c>
      <c r="AA95" s="1518">
        <f t="shared" si="69"/>
        <v>0.2</v>
      </c>
      <c r="AB95" s="1518">
        <f t="shared" si="70"/>
        <v>0.2</v>
      </c>
      <c r="AC95" s="1519">
        <f t="shared" si="71"/>
        <v>0</v>
      </c>
      <c r="AD95" s="1518">
        <f t="shared" si="72"/>
        <v>0</v>
      </c>
      <c r="AE95" s="1518">
        <f t="shared" si="73"/>
        <v>0</v>
      </c>
      <c r="AG95" s="1547" t="s">
        <v>306</v>
      </c>
      <c r="AH95" s="1593" t="s">
        <v>298</v>
      </c>
      <c r="AI95" s="1964" t="s">
        <v>307</v>
      </c>
      <c r="AJ95" s="1518">
        <v>0.2</v>
      </c>
      <c r="AK95" s="1518">
        <v>0.2</v>
      </c>
      <c r="AL95" s="1518">
        <v>0.2</v>
      </c>
      <c r="AM95" s="1518">
        <v>0.2</v>
      </c>
      <c r="AN95" s="1518">
        <v>0.2</v>
      </c>
      <c r="AO95" s="1518">
        <v>0.2</v>
      </c>
      <c r="AP95" s="1518">
        <v>0.2</v>
      </c>
      <c r="AQ95" s="1526">
        <v>0.2</v>
      </c>
      <c r="AR95" s="1518">
        <v>0.2</v>
      </c>
      <c r="AS95" s="1523">
        <v>0.2</v>
      </c>
      <c r="AT95" s="1525">
        <v>0</v>
      </c>
      <c r="AU95" s="1523">
        <v>0</v>
      </c>
      <c r="AV95" s="1523">
        <v>0</v>
      </c>
      <c r="AX95" s="1547" t="s">
        <v>306</v>
      </c>
      <c r="AY95" s="1593" t="s">
        <v>298</v>
      </c>
      <c r="AZ95" s="1964" t="s">
        <v>307</v>
      </c>
      <c r="BA95" s="1523">
        <v>0.2</v>
      </c>
      <c r="BB95" s="1523">
        <v>0.2</v>
      </c>
      <c r="BC95" s="1523">
        <v>0.2</v>
      </c>
      <c r="BD95" s="1523">
        <v>0.2</v>
      </c>
      <c r="BE95" s="1523">
        <v>0.2</v>
      </c>
      <c r="BF95" s="1523">
        <v>0.2</v>
      </c>
      <c r="BG95" s="1523">
        <v>0.2</v>
      </c>
      <c r="BH95" s="1524">
        <v>0.2</v>
      </c>
      <c r="BI95" s="1523">
        <v>0.2</v>
      </c>
      <c r="BJ95" s="1523">
        <v>0.2</v>
      </c>
      <c r="BK95" s="1525"/>
      <c r="BL95" s="1523"/>
      <c r="BM95" s="1523"/>
      <c r="BO95" s="1547" t="s">
        <v>306</v>
      </c>
      <c r="BP95" s="1593" t="s">
        <v>298</v>
      </c>
      <c r="BQ95" s="1964" t="s">
        <v>307</v>
      </c>
      <c r="BR95" s="1523">
        <v>0.2</v>
      </c>
      <c r="BS95" s="1523">
        <v>0.2</v>
      </c>
      <c r="BT95" s="1523">
        <v>0.2</v>
      </c>
      <c r="BU95" s="1523">
        <v>0.2</v>
      </c>
      <c r="BV95" s="1523">
        <v>0.2</v>
      </c>
      <c r="BW95" s="1523">
        <v>0.2</v>
      </c>
      <c r="BX95" s="1523">
        <v>0.2</v>
      </c>
      <c r="BY95" s="1524">
        <v>0.2</v>
      </c>
      <c r="BZ95" s="1523">
        <v>0.2</v>
      </c>
      <c r="CA95" s="1523">
        <v>0.2</v>
      </c>
      <c r="CB95" s="1525"/>
      <c r="CC95" s="1523"/>
      <c r="CD95" s="1523"/>
    </row>
    <row r="96" spans="1:94" hidden="1">
      <c r="B96" s="1497">
        <f t="shared" si="74"/>
        <v>0</v>
      </c>
      <c r="C96" s="1550">
        <f t="shared" si="53"/>
        <v>0</v>
      </c>
      <c r="D96" s="1621"/>
      <c r="E96" s="1591"/>
      <c r="G96" s="1591">
        <f t="shared" si="54"/>
        <v>0</v>
      </c>
      <c r="H96" s="1591">
        <f t="shared" si="55"/>
        <v>0</v>
      </c>
      <c r="I96" s="1591"/>
      <c r="J96" s="1591"/>
      <c r="K96" s="1591">
        <f>IF(スコア表示!W96=0,0,1)</f>
        <v>0</v>
      </c>
      <c r="L96" s="1591">
        <f>IF(スコア表示!AA96=0,0,1)</f>
        <v>0</v>
      </c>
      <c r="M96" s="1591">
        <f t="shared" si="56"/>
        <v>0</v>
      </c>
      <c r="N96" s="1591"/>
      <c r="P96" s="1547">
        <f t="shared" si="76"/>
        <v>0</v>
      </c>
      <c r="Q96" s="1547" t="str">
        <f t="shared" si="77"/>
        <v xml:space="preserve"> Q</v>
      </c>
      <c r="R96" s="1637">
        <f t="shared" si="60"/>
        <v>0</v>
      </c>
      <c r="S96" s="1518">
        <f t="shared" si="61"/>
        <v>0</v>
      </c>
      <c r="T96" s="1518">
        <f t="shared" si="62"/>
        <v>0</v>
      </c>
      <c r="U96" s="1518">
        <f t="shared" si="63"/>
        <v>0</v>
      </c>
      <c r="V96" s="1518">
        <f t="shared" si="64"/>
        <v>0</v>
      </c>
      <c r="W96" s="1518">
        <f t="shared" si="65"/>
        <v>0</v>
      </c>
      <c r="X96" s="1518">
        <f t="shared" si="66"/>
        <v>0</v>
      </c>
      <c r="Y96" s="1518">
        <f t="shared" si="67"/>
        <v>0</v>
      </c>
      <c r="Z96" s="1526">
        <f t="shared" si="68"/>
        <v>0</v>
      </c>
      <c r="AA96" s="1518">
        <f t="shared" si="69"/>
        <v>0</v>
      </c>
      <c r="AB96" s="1518">
        <f t="shared" si="70"/>
        <v>0</v>
      </c>
      <c r="AC96" s="1519">
        <f t="shared" si="71"/>
        <v>0</v>
      </c>
      <c r="AD96" s="1518">
        <f t="shared" si="72"/>
        <v>0</v>
      </c>
      <c r="AE96" s="1518">
        <f t="shared" si="73"/>
        <v>0</v>
      </c>
      <c r="AG96" s="1547"/>
      <c r="AH96" s="1593" t="s">
        <v>229</v>
      </c>
      <c r="AI96" s="1964"/>
      <c r="AJ96" s="1554">
        <v>0</v>
      </c>
      <c r="AK96" s="1554">
        <v>0</v>
      </c>
      <c r="AL96" s="1554">
        <v>0</v>
      </c>
      <c r="AM96" s="1554">
        <v>0</v>
      </c>
      <c r="AN96" s="1554">
        <v>0</v>
      </c>
      <c r="AO96" s="1554">
        <v>0</v>
      </c>
      <c r="AP96" s="1554">
        <v>0</v>
      </c>
      <c r="AQ96" s="1555">
        <v>0</v>
      </c>
      <c r="AR96" s="1554">
        <v>0</v>
      </c>
      <c r="AS96" s="1523"/>
      <c r="AT96" s="1525">
        <v>0</v>
      </c>
      <c r="AU96" s="1523">
        <v>0</v>
      </c>
      <c r="AV96" s="1523">
        <v>0</v>
      </c>
      <c r="AX96" s="1547"/>
      <c r="AY96" s="1593" t="s">
        <v>229</v>
      </c>
      <c r="AZ96" s="1964"/>
      <c r="BA96" s="1523"/>
      <c r="BB96" s="1523"/>
      <c r="BC96" s="1523"/>
      <c r="BD96" s="1523"/>
      <c r="BE96" s="1523"/>
      <c r="BF96" s="1523"/>
      <c r="BG96" s="1523"/>
      <c r="BH96" s="1524"/>
      <c r="BI96" s="1523"/>
      <c r="BJ96" s="1523"/>
      <c r="BK96" s="1525"/>
      <c r="BL96" s="1523"/>
      <c r="BM96" s="1523"/>
      <c r="BO96" s="1547"/>
      <c r="BP96" s="1593" t="s">
        <v>229</v>
      </c>
      <c r="BQ96" s="1964"/>
      <c r="BR96" s="1523"/>
      <c r="BS96" s="1523"/>
      <c r="BT96" s="1523"/>
      <c r="BU96" s="1523"/>
      <c r="BV96" s="1523"/>
      <c r="BW96" s="1523"/>
      <c r="BX96" s="1523"/>
      <c r="BY96" s="1524"/>
      <c r="BZ96" s="1523"/>
      <c r="CA96" s="1523"/>
      <c r="CB96" s="1525"/>
      <c r="CC96" s="1523"/>
      <c r="CD96" s="1523"/>
    </row>
    <row r="97" spans="1:83" s="1505" customFormat="1">
      <c r="A97"/>
      <c r="B97" s="1497">
        <f t="shared" si="74"/>
        <v>3</v>
      </c>
      <c r="C97" s="1557" t="str">
        <f t="shared" si="53"/>
        <v>対応性・更新性</v>
      </c>
      <c r="D97" s="1962">
        <f>IF(I$61=0,0,G97/I$61)</f>
        <v>0.3</v>
      </c>
      <c r="E97" s="1643">
        <f>IF(J$61=0,0,H97/J$61)</f>
        <v>0.5</v>
      </c>
      <c r="F97"/>
      <c r="G97" s="1643">
        <f t="shared" si="54"/>
        <v>0.3</v>
      </c>
      <c r="H97" s="1643">
        <f t="shared" si="55"/>
        <v>1</v>
      </c>
      <c r="I97" s="1643">
        <f>G98+G101+G102</f>
        <v>1</v>
      </c>
      <c r="J97" s="1643">
        <f>H98+H101+H102</f>
        <v>2.0887728459530026E-2</v>
      </c>
      <c r="K97" s="1643">
        <f>IF(スコア表示!W97=0,0,1)</f>
        <v>1</v>
      </c>
      <c r="L97" s="1643">
        <f>IF(スコア表示!AA97=0,0,1)</f>
        <v>1</v>
      </c>
      <c r="M97" s="1643">
        <f t="shared" si="56"/>
        <v>0.3</v>
      </c>
      <c r="N97" s="1643">
        <v>1</v>
      </c>
      <c r="O97"/>
      <c r="P97" s="1541">
        <f t="shared" si="76"/>
        <v>3</v>
      </c>
      <c r="Q97" s="1541" t="str">
        <f t="shared" si="77"/>
        <v xml:space="preserve"> Q2</v>
      </c>
      <c r="R97" s="1680" t="str">
        <f t="shared" si="60"/>
        <v>対応性・更新性</v>
      </c>
      <c r="S97" s="1510">
        <f t="shared" si="61"/>
        <v>0.3</v>
      </c>
      <c r="T97" s="1510">
        <f t="shared" si="62"/>
        <v>0.3</v>
      </c>
      <c r="U97" s="1510">
        <f t="shared" si="63"/>
        <v>0.3</v>
      </c>
      <c r="V97" s="1510">
        <f t="shared" si="64"/>
        <v>0.3</v>
      </c>
      <c r="W97" s="1510">
        <f t="shared" si="65"/>
        <v>0.3</v>
      </c>
      <c r="X97" s="1510">
        <f t="shared" si="66"/>
        <v>0.3</v>
      </c>
      <c r="Y97" s="1510">
        <f t="shared" si="67"/>
        <v>0.3</v>
      </c>
      <c r="Z97" s="1546">
        <f t="shared" si="68"/>
        <v>0.3</v>
      </c>
      <c r="AA97" s="1510">
        <f t="shared" si="69"/>
        <v>0.3</v>
      </c>
      <c r="AB97" s="1510">
        <f t="shared" si="70"/>
        <v>0.3</v>
      </c>
      <c r="AC97" s="1559">
        <f t="shared" si="71"/>
        <v>0</v>
      </c>
      <c r="AD97" s="1510">
        <f t="shared" si="72"/>
        <v>0</v>
      </c>
      <c r="AE97" s="1510">
        <f t="shared" si="73"/>
        <v>0</v>
      </c>
      <c r="AF97"/>
      <c r="AG97" s="1541">
        <v>3</v>
      </c>
      <c r="AH97" s="1644" t="s">
        <v>271</v>
      </c>
      <c r="AI97" s="1687" t="s">
        <v>308</v>
      </c>
      <c r="AJ97" s="1510">
        <v>0.3</v>
      </c>
      <c r="AK97" s="1510">
        <v>0.3</v>
      </c>
      <c r="AL97" s="1510">
        <v>0.3</v>
      </c>
      <c r="AM97" s="1510">
        <v>0.3</v>
      </c>
      <c r="AN97" s="1510">
        <v>0.3</v>
      </c>
      <c r="AO97" s="1510">
        <v>0.3</v>
      </c>
      <c r="AP97" s="1510">
        <v>0.3</v>
      </c>
      <c r="AQ97" s="1546">
        <v>0.3</v>
      </c>
      <c r="AR97" s="1510">
        <v>0.3</v>
      </c>
      <c r="AS97" s="1611">
        <v>0.3</v>
      </c>
      <c r="AT97" s="1963"/>
      <c r="AU97" s="1611"/>
      <c r="AV97" s="1611"/>
      <c r="AW97"/>
      <c r="AX97" s="1541">
        <v>3</v>
      </c>
      <c r="AY97" s="1644" t="s">
        <v>271</v>
      </c>
      <c r="AZ97" s="1687" t="s">
        <v>308</v>
      </c>
      <c r="BA97" s="1611">
        <v>0.3</v>
      </c>
      <c r="BB97" s="1611">
        <v>0.3</v>
      </c>
      <c r="BC97" s="1611">
        <v>0.3</v>
      </c>
      <c r="BD97" s="1611">
        <v>0.3</v>
      </c>
      <c r="BE97" s="1611">
        <v>0.3</v>
      </c>
      <c r="BF97" s="1611">
        <v>0.3</v>
      </c>
      <c r="BG97" s="1611">
        <v>0.3</v>
      </c>
      <c r="BH97" s="1983">
        <v>0.3</v>
      </c>
      <c r="BI97" s="1611">
        <v>0.3</v>
      </c>
      <c r="BJ97" s="1611">
        <v>0.3</v>
      </c>
      <c r="BK97" s="1963"/>
      <c r="BL97" s="1611"/>
      <c r="BM97" s="1611"/>
      <c r="BN97"/>
      <c r="BO97" s="1541">
        <v>3</v>
      </c>
      <c r="BP97" s="1644" t="s">
        <v>271</v>
      </c>
      <c r="BQ97" s="1687" t="s">
        <v>308</v>
      </c>
      <c r="BR97" s="1611">
        <v>0.3</v>
      </c>
      <c r="BS97" s="1611">
        <v>0.3</v>
      </c>
      <c r="BT97" s="1611">
        <v>0.3</v>
      </c>
      <c r="BU97" s="1611">
        <v>0.3</v>
      </c>
      <c r="BV97" s="1611">
        <v>0.3</v>
      </c>
      <c r="BW97" s="1611">
        <v>0.3</v>
      </c>
      <c r="BX97" s="1611">
        <v>0.3</v>
      </c>
      <c r="BY97" s="1983">
        <v>0.3</v>
      </c>
      <c r="BZ97" s="1611">
        <v>0.3</v>
      </c>
      <c r="CA97" s="1611">
        <v>0.3</v>
      </c>
      <c r="CB97" s="1963"/>
      <c r="CC97" s="1611"/>
      <c r="CD97" s="1611"/>
      <c r="CE97"/>
    </row>
    <row r="98" spans="1:83">
      <c r="B98" s="1497">
        <f t="shared" si="74"/>
        <v>3.1</v>
      </c>
      <c r="C98" s="1547" t="str">
        <f t="shared" si="53"/>
        <v>空間のゆとり</v>
      </c>
      <c r="D98" s="1616">
        <f>IF(I$97=0,0,G98/I$97)</f>
        <v>0.29373368146214096</v>
      </c>
      <c r="E98" s="1591">
        <f>IF(J$97=0,0,H98/J$97)</f>
        <v>0.5</v>
      </c>
      <c r="G98" s="1591">
        <f t="shared" si="54"/>
        <v>0.29373368146214096</v>
      </c>
      <c r="H98" s="1591">
        <f t="shared" si="55"/>
        <v>1.0443864229765013E-2</v>
      </c>
      <c r="I98" s="1591">
        <f>SUM(G99:G100)</f>
        <v>0.97911227154046998</v>
      </c>
      <c r="J98" s="1591">
        <f>SUM(H99:H100)</f>
        <v>2.0887728459530026E-2</v>
      </c>
      <c r="K98" s="1591">
        <f>IF(スコア表示!W98=0,0,1)</f>
        <v>1</v>
      </c>
      <c r="L98" s="1591">
        <f>IF(スコア表示!AA98=0,0,1)</f>
        <v>1</v>
      </c>
      <c r="M98" s="1591">
        <f t="shared" si="56"/>
        <v>0.29373368146214096</v>
      </c>
      <c r="N98" s="1591">
        <f t="shared" ref="N98:N114" si="80">(AC$7*AC98)+(AD$7*AD98)+(AE$7*AE98)</f>
        <v>1.0443864229765013E-2</v>
      </c>
      <c r="P98" s="1547">
        <f t="shared" si="76"/>
        <v>3.1</v>
      </c>
      <c r="Q98" s="1547" t="str">
        <f t="shared" si="77"/>
        <v xml:space="preserve"> Q2 3</v>
      </c>
      <c r="R98" s="1637" t="str">
        <f t="shared" si="60"/>
        <v>空間のゆとり</v>
      </c>
      <c r="S98" s="1518">
        <f t="shared" si="61"/>
        <v>0.3</v>
      </c>
      <c r="T98" s="1518">
        <f t="shared" si="62"/>
        <v>0.3</v>
      </c>
      <c r="U98" s="1518">
        <f t="shared" si="63"/>
        <v>0.3</v>
      </c>
      <c r="V98" s="1518">
        <f t="shared" si="64"/>
        <v>0.3</v>
      </c>
      <c r="W98" s="1518">
        <f t="shared" si="65"/>
        <v>0.3</v>
      </c>
      <c r="X98" s="1518">
        <f t="shared" si="66"/>
        <v>0</v>
      </c>
      <c r="Y98" s="1518">
        <f t="shared" si="67"/>
        <v>0</v>
      </c>
      <c r="Z98" s="1526">
        <f t="shared" si="68"/>
        <v>0.3</v>
      </c>
      <c r="AA98" s="1518">
        <f t="shared" si="69"/>
        <v>0.3</v>
      </c>
      <c r="AB98" s="1518">
        <f t="shared" si="70"/>
        <v>0.3</v>
      </c>
      <c r="AC98" s="1519">
        <f t="shared" si="71"/>
        <v>0.5</v>
      </c>
      <c r="AD98" s="1518">
        <f t="shared" si="72"/>
        <v>0.5</v>
      </c>
      <c r="AE98" s="1518">
        <f t="shared" si="73"/>
        <v>0.5</v>
      </c>
      <c r="AG98" s="1547">
        <v>3.1</v>
      </c>
      <c r="AH98" s="1593" t="s">
        <v>309</v>
      </c>
      <c r="AI98" s="1637" t="s">
        <v>662</v>
      </c>
      <c r="AJ98" s="1518">
        <v>0.3</v>
      </c>
      <c r="AK98" s="1518">
        <v>0.3</v>
      </c>
      <c r="AL98" s="1518">
        <v>0.3</v>
      </c>
      <c r="AM98" s="1518">
        <v>0.3</v>
      </c>
      <c r="AN98" s="1518">
        <v>0.3</v>
      </c>
      <c r="AO98" s="1518"/>
      <c r="AP98" s="1518"/>
      <c r="AQ98" s="1526">
        <v>0.3</v>
      </c>
      <c r="AR98" s="1518">
        <v>0.3</v>
      </c>
      <c r="AS98" s="1523">
        <v>0.3</v>
      </c>
      <c r="AT98" s="1525">
        <v>0.5</v>
      </c>
      <c r="AU98" s="1523">
        <v>0.5</v>
      </c>
      <c r="AV98" s="1523">
        <v>0.5</v>
      </c>
      <c r="AX98" s="1547">
        <v>3.1</v>
      </c>
      <c r="AY98" s="1593" t="s">
        <v>309</v>
      </c>
      <c r="AZ98" s="1637" t="s">
        <v>662</v>
      </c>
      <c r="BA98" s="1523">
        <v>0.3</v>
      </c>
      <c r="BB98" s="1523">
        <v>0.3</v>
      </c>
      <c r="BC98" s="1523">
        <v>0.3</v>
      </c>
      <c r="BD98" s="1523">
        <v>0.3</v>
      </c>
      <c r="BE98" s="1523">
        <v>0.3</v>
      </c>
      <c r="BF98" s="1523"/>
      <c r="BG98" s="1523"/>
      <c r="BH98" s="1524">
        <v>0.3</v>
      </c>
      <c r="BI98" s="1523">
        <v>0.3</v>
      </c>
      <c r="BJ98" s="1523">
        <v>0.3</v>
      </c>
      <c r="BK98" s="1525">
        <v>0.5</v>
      </c>
      <c r="BL98" s="1523">
        <v>0.5</v>
      </c>
      <c r="BM98" s="1523">
        <v>0.5</v>
      </c>
      <c r="BO98" s="1547">
        <v>3.1</v>
      </c>
      <c r="BP98" s="1593" t="s">
        <v>309</v>
      </c>
      <c r="BQ98" s="1637" t="s">
        <v>662</v>
      </c>
      <c r="BR98" s="1523">
        <v>0.3</v>
      </c>
      <c r="BS98" s="1523">
        <v>0.3</v>
      </c>
      <c r="BT98" s="1523">
        <v>0.3</v>
      </c>
      <c r="BU98" s="1523">
        <v>0.3</v>
      </c>
      <c r="BV98" s="1523">
        <v>0.3</v>
      </c>
      <c r="BW98" s="1523"/>
      <c r="BX98" s="1523"/>
      <c r="BY98" s="1524">
        <v>0.3</v>
      </c>
      <c r="BZ98" s="1523">
        <v>0.3</v>
      </c>
      <c r="CA98" s="1523">
        <v>0.3</v>
      </c>
      <c r="CB98" s="1525">
        <v>0.5</v>
      </c>
      <c r="CC98" s="1523">
        <v>0.5</v>
      </c>
      <c r="CD98" s="1523">
        <v>0.5</v>
      </c>
    </row>
    <row r="99" spans="1:83">
      <c r="B99" s="1497" t="str">
        <f t="shared" si="74"/>
        <v>3.1.1</v>
      </c>
      <c r="C99" s="1514" t="str">
        <f t="shared" si="53"/>
        <v>階高のゆとり</v>
      </c>
      <c r="D99" s="1621">
        <f>IF(I$98&gt;0,G99/I$98,0)</f>
        <v>0.6</v>
      </c>
      <c r="E99" s="1591">
        <f>IF(J$98&gt;0,H99/J$98,0)</f>
        <v>0.6</v>
      </c>
      <c r="G99" s="1591">
        <f t="shared" si="54"/>
        <v>0.58746736292428192</v>
      </c>
      <c r="H99" s="1591">
        <f t="shared" si="55"/>
        <v>1.2532637075718016E-2</v>
      </c>
      <c r="I99" s="1591"/>
      <c r="J99" s="1591"/>
      <c r="K99" s="1591">
        <f>IF(スコア表示!W99=0,0,1)</f>
        <v>1</v>
      </c>
      <c r="L99" s="1591">
        <f>IF(スコア表示!AA99=0,0,1)</f>
        <v>1</v>
      </c>
      <c r="M99" s="1591">
        <f t="shared" si="56"/>
        <v>0.58746736292428192</v>
      </c>
      <c r="N99" s="1591">
        <f t="shared" si="80"/>
        <v>1.2532637075718016E-2</v>
      </c>
      <c r="P99" s="1547" t="str">
        <f t="shared" si="76"/>
        <v>3.1.1</v>
      </c>
      <c r="Q99" s="1547" t="str">
        <f t="shared" si="77"/>
        <v xml:space="preserve"> Q2 3.1</v>
      </c>
      <c r="R99" s="1637" t="str">
        <f t="shared" si="60"/>
        <v>階高のゆとり</v>
      </c>
      <c r="S99" s="1518">
        <f t="shared" si="61"/>
        <v>0.6</v>
      </c>
      <c r="T99" s="1518">
        <f t="shared" si="62"/>
        <v>0.6</v>
      </c>
      <c r="U99" s="1518">
        <f t="shared" si="63"/>
        <v>0.6</v>
      </c>
      <c r="V99" s="1518">
        <f t="shared" si="64"/>
        <v>0.6</v>
      </c>
      <c r="W99" s="1518">
        <f t="shared" si="65"/>
        <v>0.6</v>
      </c>
      <c r="X99" s="1518">
        <f t="shared" si="66"/>
        <v>0</v>
      </c>
      <c r="Y99" s="1518">
        <f t="shared" si="67"/>
        <v>0</v>
      </c>
      <c r="Z99" s="1526">
        <f t="shared" si="68"/>
        <v>0</v>
      </c>
      <c r="AA99" s="1518">
        <f t="shared" si="69"/>
        <v>0.6</v>
      </c>
      <c r="AB99" s="1518">
        <f t="shared" si="70"/>
        <v>0.6</v>
      </c>
      <c r="AC99" s="1519">
        <f t="shared" si="71"/>
        <v>0.6</v>
      </c>
      <c r="AD99" s="1518">
        <f t="shared" si="72"/>
        <v>0.6</v>
      </c>
      <c r="AE99" s="1518">
        <f t="shared" si="73"/>
        <v>0.6</v>
      </c>
      <c r="AG99" s="1547" t="s">
        <v>1383</v>
      </c>
      <c r="AH99" s="1593" t="s">
        <v>310</v>
      </c>
      <c r="AI99" s="1964" t="s">
        <v>311</v>
      </c>
      <c r="AJ99" s="1518">
        <v>0.6</v>
      </c>
      <c r="AK99" s="1518">
        <v>0.6</v>
      </c>
      <c r="AL99" s="1518">
        <v>0.6</v>
      </c>
      <c r="AM99" s="1518">
        <v>0.6</v>
      </c>
      <c r="AN99" s="1518">
        <v>0.6</v>
      </c>
      <c r="AO99" s="1518"/>
      <c r="AP99" s="1518"/>
      <c r="AQ99" s="1526">
        <v>0</v>
      </c>
      <c r="AR99" s="1518">
        <v>0.6</v>
      </c>
      <c r="AS99" s="1523">
        <v>0.6</v>
      </c>
      <c r="AT99" s="1525">
        <v>0.6</v>
      </c>
      <c r="AU99" s="1523">
        <v>0.6</v>
      </c>
      <c r="AV99" s="1523">
        <v>0.6</v>
      </c>
      <c r="AX99" s="1547" t="s">
        <v>1383</v>
      </c>
      <c r="AY99" s="1593" t="s">
        <v>310</v>
      </c>
      <c r="AZ99" s="1964" t="s">
        <v>311</v>
      </c>
      <c r="BA99" s="1523">
        <v>0.6</v>
      </c>
      <c r="BB99" s="1523">
        <v>0.6</v>
      </c>
      <c r="BC99" s="1523">
        <v>0.6</v>
      </c>
      <c r="BD99" s="1523">
        <v>0.6</v>
      </c>
      <c r="BE99" s="1523">
        <v>0.6</v>
      </c>
      <c r="BF99" s="1523"/>
      <c r="BG99" s="1523"/>
      <c r="BH99" s="1524">
        <v>0</v>
      </c>
      <c r="BI99" s="1523">
        <v>0.6</v>
      </c>
      <c r="BJ99" s="1523">
        <v>0.6</v>
      </c>
      <c r="BK99" s="1525">
        <v>0.6</v>
      </c>
      <c r="BL99" s="1523">
        <v>0.6</v>
      </c>
      <c r="BM99" s="1523">
        <v>0.6</v>
      </c>
      <c r="BO99" s="1547" t="s">
        <v>1383</v>
      </c>
      <c r="BP99" s="1593" t="s">
        <v>310</v>
      </c>
      <c r="BQ99" s="1964" t="s">
        <v>311</v>
      </c>
      <c r="BR99" s="1523">
        <v>0.6</v>
      </c>
      <c r="BS99" s="1523">
        <v>0.6</v>
      </c>
      <c r="BT99" s="1523">
        <v>0.6</v>
      </c>
      <c r="BU99" s="1523">
        <v>0.6</v>
      </c>
      <c r="BV99" s="1523">
        <v>0.6</v>
      </c>
      <c r="BW99" s="1523"/>
      <c r="BX99" s="1523"/>
      <c r="BY99" s="1524">
        <v>0</v>
      </c>
      <c r="BZ99" s="1523">
        <v>0.6</v>
      </c>
      <c r="CA99" s="1523">
        <v>0.6</v>
      </c>
      <c r="CB99" s="1525">
        <v>0.6</v>
      </c>
      <c r="CC99" s="1523">
        <v>0.6</v>
      </c>
      <c r="CD99" s="1523">
        <v>0.6</v>
      </c>
    </row>
    <row r="100" spans="1:83">
      <c r="B100" s="1497" t="str">
        <f t="shared" si="74"/>
        <v>3.1.2</v>
      </c>
      <c r="C100" s="1514" t="str">
        <f t="shared" si="53"/>
        <v>空間の形状・自由さ</v>
      </c>
      <c r="D100" s="1621">
        <f>IF(I$98&gt;0,G100/I$98,0)</f>
        <v>0.40000000000000008</v>
      </c>
      <c r="E100" s="1591">
        <f>IF(J$98&gt;0,H100/J$98,0)</f>
        <v>0.39999999999999997</v>
      </c>
      <c r="G100" s="1591">
        <f t="shared" si="54"/>
        <v>0.39164490861618806</v>
      </c>
      <c r="H100" s="1591">
        <f t="shared" si="55"/>
        <v>8.3550913838120102E-3</v>
      </c>
      <c r="I100" s="1591"/>
      <c r="J100" s="1591"/>
      <c r="K100" s="1591">
        <f>IF(スコア表示!W100=0,0,1)</f>
        <v>1</v>
      </c>
      <c r="L100" s="1591">
        <f>IF(スコア表示!AA100=0,0,1)</f>
        <v>1</v>
      </c>
      <c r="M100" s="1591">
        <f t="shared" si="56"/>
        <v>0.39164490861618806</v>
      </c>
      <c r="N100" s="1591">
        <f t="shared" si="80"/>
        <v>8.3550913838120102E-3</v>
      </c>
      <c r="P100" s="1547" t="str">
        <f t="shared" si="76"/>
        <v>3.1.2</v>
      </c>
      <c r="Q100" s="1547" t="str">
        <f t="shared" si="77"/>
        <v xml:space="preserve"> Q2 3.1</v>
      </c>
      <c r="R100" s="1637" t="str">
        <f t="shared" si="60"/>
        <v>空間の形状・自由さ</v>
      </c>
      <c r="S100" s="1518">
        <f t="shared" si="61"/>
        <v>0.4</v>
      </c>
      <c r="T100" s="1518">
        <f t="shared" si="62"/>
        <v>0.4</v>
      </c>
      <c r="U100" s="1518">
        <f t="shared" si="63"/>
        <v>0.4</v>
      </c>
      <c r="V100" s="1518">
        <f t="shared" si="64"/>
        <v>0.4</v>
      </c>
      <c r="W100" s="1518">
        <f t="shared" si="65"/>
        <v>0.4</v>
      </c>
      <c r="X100" s="1518">
        <f t="shared" si="66"/>
        <v>0</v>
      </c>
      <c r="Y100" s="1518">
        <f t="shared" si="67"/>
        <v>0</v>
      </c>
      <c r="Z100" s="1526">
        <f t="shared" si="68"/>
        <v>1</v>
      </c>
      <c r="AA100" s="1518">
        <f t="shared" si="69"/>
        <v>0.4</v>
      </c>
      <c r="AB100" s="1518">
        <f t="shared" si="70"/>
        <v>0.4</v>
      </c>
      <c r="AC100" s="1519">
        <f t="shared" si="71"/>
        <v>0.4</v>
      </c>
      <c r="AD100" s="1518">
        <f t="shared" si="72"/>
        <v>0.4</v>
      </c>
      <c r="AE100" s="1518">
        <f t="shared" si="73"/>
        <v>0.4</v>
      </c>
      <c r="AG100" s="1547" t="s">
        <v>1332</v>
      </c>
      <c r="AH100" s="1593" t="s">
        <v>310</v>
      </c>
      <c r="AI100" s="1964" t="s">
        <v>312</v>
      </c>
      <c r="AJ100" s="1518">
        <v>0.4</v>
      </c>
      <c r="AK100" s="1518">
        <v>0.4</v>
      </c>
      <c r="AL100" s="1518">
        <v>0.4</v>
      </c>
      <c r="AM100" s="1518">
        <v>0.4</v>
      </c>
      <c r="AN100" s="1518">
        <v>0.4</v>
      </c>
      <c r="AO100" s="1518"/>
      <c r="AP100" s="1518"/>
      <c r="AQ100" s="1526">
        <v>1</v>
      </c>
      <c r="AR100" s="1518">
        <v>0.4</v>
      </c>
      <c r="AS100" s="1523">
        <v>0.4</v>
      </c>
      <c r="AT100" s="1525">
        <v>0.4</v>
      </c>
      <c r="AU100" s="1523">
        <v>0.4</v>
      </c>
      <c r="AV100" s="1523">
        <v>0.4</v>
      </c>
      <c r="AX100" s="1547" t="s">
        <v>1384</v>
      </c>
      <c r="AY100" s="1593" t="s">
        <v>310</v>
      </c>
      <c r="AZ100" s="1964" t="s">
        <v>312</v>
      </c>
      <c r="BA100" s="1523">
        <v>0.4</v>
      </c>
      <c r="BB100" s="1523">
        <v>0.4</v>
      </c>
      <c r="BC100" s="1523">
        <v>0.4</v>
      </c>
      <c r="BD100" s="1523">
        <v>0.4</v>
      </c>
      <c r="BE100" s="1523">
        <v>0.4</v>
      </c>
      <c r="BF100" s="1523"/>
      <c r="BG100" s="1523"/>
      <c r="BH100" s="1524">
        <v>1</v>
      </c>
      <c r="BI100" s="1523">
        <v>0.4</v>
      </c>
      <c r="BJ100" s="1523">
        <v>0.4</v>
      </c>
      <c r="BK100" s="1525">
        <v>0.4</v>
      </c>
      <c r="BL100" s="1523">
        <v>0.4</v>
      </c>
      <c r="BM100" s="1523">
        <v>0.4</v>
      </c>
      <c r="BO100" s="1547" t="s">
        <v>1384</v>
      </c>
      <c r="BP100" s="1593" t="s">
        <v>310</v>
      </c>
      <c r="BQ100" s="1964" t="s">
        <v>312</v>
      </c>
      <c r="BR100" s="1523">
        <v>0.4</v>
      </c>
      <c r="BS100" s="1523">
        <v>0.4</v>
      </c>
      <c r="BT100" s="1523">
        <v>0.4</v>
      </c>
      <c r="BU100" s="1523">
        <v>0.4</v>
      </c>
      <c r="BV100" s="1523">
        <v>0.4</v>
      </c>
      <c r="BW100" s="1523"/>
      <c r="BX100" s="1523"/>
      <c r="BY100" s="1524">
        <v>1</v>
      </c>
      <c r="BZ100" s="1523">
        <v>0.4</v>
      </c>
      <c r="CA100" s="1523">
        <v>0.4</v>
      </c>
      <c r="CB100" s="1525">
        <v>0.4</v>
      </c>
      <c r="CC100" s="1523">
        <v>0.4</v>
      </c>
      <c r="CD100" s="1523">
        <v>0.4</v>
      </c>
    </row>
    <row r="101" spans="1:83">
      <c r="B101" s="1497">
        <f t="shared" si="74"/>
        <v>3.2</v>
      </c>
      <c r="C101" s="1547" t="str">
        <f t="shared" si="53"/>
        <v>荷重のゆとり</v>
      </c>
      <c r="D101" s="1616">
        <f>IF(I$97=0,0,G101/I$97)</f>
        <v>0.29373368146214096</v>
      </c>
      <c r="E101" s="1591">
        <f>IF(J$97=0,0,H101/J$97)</f>
        <v>0.5</v>
      </c>
      <c r="G101" s="1591">
        <f t="shared" si="54"/>
        <v>0.29373368146214096</v>
      </c>
      <c r="H101" s="1591">
        <f t="shared" si="55"/>
        <v>1.0443864229765013E-2</v>
      </c>
      <c r="I101" s="1591"/>
      <c r="J101" s="1591"/>
      <c r="K101" s="1591">
        <f>IF(スコア表示!W101=0,0,1)</f>
        <v>1</v>
      </c>
      <c r="L101" s="1591">
        <f>IF(スコア表示!AA101=0,0,1)</f>
        <v>1</v>
      </c>
      <c r="M101" s="1591">
        <f t="shared" si="56"/>
        <v>0.29373368146214096</v>
      </c>
      <c r="N101" s="1591">
        <f t="shared" si="80"/>
        <v>1.0443864229765013E-2</v>
      </c>
      <c r="P101" s="1547">
        <f t="shared" si="76"/>
        <v>3.2</v>
      </c>
      <c r="Q101" s="1547" t="str">
        <f t="shared" si="77"/>
        <v xml:space="preserve"> Q2 3</v>
      </c>
      <c r="R101" s="1637" t="str">
        <f t="shared" si="60"/>
        <v>荷重のゆとり</v>
      </c>
      <c r="S101" s="1518">
        <f t="shared" si="61"/>
        <v>0.3</v>
      </c>
      <c r="T101" s="1518">
        <f t="shared" si="62"/>
        <v>0.3</v>
      </c>
      <c r="U101" s="1518">
        <f t="shared" si="63"/>
        <v>0.3</v>
      </c>
      <c r="V101" s="1518">
        <f t="shared" si="64"/>
        <v>0.3</v>
      </c>
      <c r="W101" s="1518">
        <f t="shared" si="65"/>
        <v>0.3</v>
      </c>
      <c r="X101" s="1518">
        <f t="shared" si="66"/>
        <v>0</v>
      </c>
      <c r="Y101" s="1518">
        <f t="shared" si="67"/>
        <v>0</v>
      </c>
      <c r="Z101" s="1526">
        <f t="shared" si="68"/>
        <v>0.3</v>
      </c>
      <c r="AA101" s="1518">
        <f t="shared" si="69"/>
        <v>0.3</v>
      </c>
      <c r="AB101" s="1518">
        <f t="shared" si="70"/>
        <v>0.3</v>
      </c>
      <c r="AC101" s="1519">
        <f t="shared" si="71"/>
        <v>0.5</v>
      </c>
      <c r="AD101" s="1518">
        <f t="shared" si="72"/>
        <v>0.5</v>
      </c>
      <c r="AE101" s="1518">
        <f t="shared" si="73"/>
        <v>0.5</v>
      </c>
      <c r="AG101" s="1547">
        <v>3.2</v>
      </c>
      <c r="AH101" s="1593" t="s">
        <v>309</v>
      </c>
      <c r="AI101" s="1637" t="s">
        <v>666</v>
      </c>
      <c r="AJ101" s="1518">
        <v>0.3</v>
      </c>
      <c r="AK101" s="1518">
        <v>0.3</v>
      </c>
      <c r="AL101" s="1518">
        <v>0.3</v>
      </c>
      <c r="AM101" s="1518">
        <v>0.3</v>
      </c>
      <c r="AN101" s="1518">
        <v>0.3</v>
      </c>
      <c r="AO101" s="1518"/>
      <c r="AP101" s="1518"/>
      <c r="AQ101" s="1526">
        <v>0.3</v>
      </c>
      <c r="AR101" s="1518">
        <v>0.3</v>
      </c>
      <c r="AS101" s="1523">
        <v>0.3</v>
      </c>
      <c r="AT101" s="1525">
        <v>0.5</v>
      </c>
      <c r="AU101" s="1523">
        <v>0.5</v>
      </c>
      <c r="AV101" s="1523">
        <v>0.5</v>
      </c>
      <c r="AX101" s="1547">
        <v>3.2</v>
      </c>
      <c r="AY101" s="1593" t="s">
        <v>309</v>
      </c>
      <c r="AZ101" s="1637" t="s">
        <v>666</v>
      </c>
      <c r="BA101" s="1523">
        <v>0.3</v>
      </c>
      <c r="BB101" s="1523">
        <v>0.3</v>
      </c>
      <c r="BC101" s="1523">
        <v>0.3</v>
      </c>
      <c r="BD101" s="1523">
        <v>0.3</v>
      </c>
      <c r="BE101" s="1523">
        <v>0.3</v>
      </c>
      <c r="BF101" s="1523"/>
      <c r="BG101" s="1523"/>
      <c r="BH101" s="1524">
        <v>0.3</v>
      </c>
      <c r="BI101" s="1523">
        <v>0.3</v>
      </c>
      <c r="BJ101" s="1523">
        <v>0.3</v>
      </c>
      <c r="BK101" s="1525">
        <v>0.5</v>
      </c>
      <c r="BL101" s="1523">
        <v>0.5</v>
      </c>
      <c r="BM101" s="1523">
        <v>0.5</v>
      </c>
      <c r="BO101" s="1547">
        <v>3.2</v>
      </c>
      <c r="BP101" s="1593" t="s">
        <v>309</v>
      </c>
      <c r="BQ101" s="1637" t="s">
        <v>666</v>
      </c>
      <c r="BR101" s="1523">
        <v>0.3</v>
      </c>
      <c r="BS101" s="1523">
        <v>0.3</v>
      </c>
      <c r="BT101" s="1523">
        <v>0.3</v>
      </c>
      <c r="BU101" s="1523">
        <v>0.3</v>
      </c>
      <c r="BV101" s="1523">
        <v>0.3</v>
      </c>
      <c r="BW101" s="1523"/>
      <c r="BX101" s="1523"/>
      <c r="BY101" s="1524">
        <v>0.3</v>
      </c>
      <c r="BZ101" s="1523">
        <v>0.3</v>
      </c>
      <c r="CA101" s="1523">
        <v>0.3</v>
      </c>
      <c r="CB101" s="1525">
        <v>0.5</v>
      </c>
      <c r="CC101" s="1523">
        <v>0.5</v>
      </c>
      <c r="CD101" s="1523">
        <v>0.5</v>
      </c>
    </row>
    <row r="102" spans="1:83">
      <c r="B102" s="1497">
        <f t="shared" si="74"/>
        <v>3.3</v>
      </c>
      <c r="C102" s="1547" t="str">
        <f t="shared" si="53"/>
        <v>設備の更新性</v>
      </c>
      <c r="D102" s="1616">
        <f>IF(I$97=0,0,G102/I$97)</f>
        <v>0.41253263707571808</v>
      </c>
      <c r="E102" s="1591">
        <f>IF(J$97=0,0,H102/J$97)</f>
        <v>0</v>
      </c>
      <c r="G102" s="1591">
        <f t="shared" si="54"/>
        <v>0.41253263707571808</v>
      </c>
      <c r="H102" s="1591">
        <f t="shared" si="55"/>
        <v>0</v>
      </c>
      <c r="I102" s="1591">
        <f>SUM(G103:G108)</f>
        <v>1.0000000000000002</v>
      </c>
      <c r="J102" s="1591">
        <f>SUM(H103:H108)</f>
        <v>0</v>
      </c>
      <c r="K102" s="1591">
        <f>IF(スコア表示!W102=0,0,1)</f>
        <v>1</v>
      </c>
      <c r="L102" s="1591">
        <f>IF(スコア表示!AA102=0,0,1)</f>
        <v>0</v>
      </c>
      <c r="M102" s="1591">
        <f t="shared" si="56"/>
        <v>0.41253263707571808</v>
      </c>
      <c r="N102" s="1591">
        <f t="shared" si="80"/>
        <v>0</v>
      </c>
      <c r="P102" s="1547">
        <f t="shared" si="76"/>
        <v>3.3</v>
      </c>
      <c r="Q102" s="1547" t="str">
        <f t="shared" si="77"/>
        <v xml:space="preserve"> Q2 3</v>
      </c>
      <c r="R102" s="1637" t="str">
        <f t="shared" si="60"/>
        <v>設備の更新性</v>
      </c>
      <c r="S102" s="1518">
        <f t="shared" si="61"/>
        <v>0.4</v>
      </c>
      <c r="T102" s="1518">
        <f t="shared" si="62"/>
        <v>0.4</v>
      </c>
      <c r="U102" s="1518">
        <f t="shared" si="63"/>
        <v>0.4</v>
      </c>
      <c r="V102" s="1518">
        <f t="shared" si="64"/>
        <v>0.4</v>
      </c>
      <c r="W102" s="1518">
        <f t="shared" si="65"/>
        <v>0.4</v>
      </c>
      <c r="X102" s="1518">
        <f t="shared" si="66"/>
        <v>1</v>
      </c>
      <c r="Y102" s="1518">
        <f t="shared" si="67"/>
        <v>1</v>
      </c>
      <c r="Z102" s="1526">
        <f t="shared" si="68"/>
        <v>0.4</v>
      </c>
      <c r="AA102" s="1518">
        <f t="shared" si="69"/>
        <v>0.4</v>
      </c>
      <c r="AB102" s="1518">
        <f t="shared" si="70"/>
        <v>0.4</v>
      </c>
      <c r="AC102" s="1519">
        <f t="shared" si="71"/>
        <v>0</v>
      </c>
      <c r="AD102" s="1518">
        <f t="shared" si="72"/>
        <v>0</v>
      </c>
      <c r="AE102" s="1518">
        <f t="shared" si="73"/>
        <v>0</v>
      </c>
      <c r="AG102" s="1547">
        <v>3.3</v>
      </c>
      <c r="AH102" s="1593" t="s">
        <v>309</v>
      </c>
      <c r="AI102" s="1637" t="s">
        <v>667</v>
      </c>
      <c r="AJ102" s="1518">
        <v>0.4</v>
      </c>
      <c r="AK102" s="1518">
        <v>0.4</v>
      </c>
      <c r="AL102" s="1518">
        <v>0.4</v>
      </c>
      <c r="AM102" s="1518">
        <v>0.4</v>
      </c>
      <c r="AN102" s="1518">
        <v>0.4</v>
      </c>
      <c r="AO102" s="1518">
        <v>1</v>
      </c>
      <c r="AP102" s="1518">
        <v>1</v>
      </c>
      <c r="AQ102" s="1526">
        <v>0.4</v>
      </c>
      <c r="AR102" s="1518">
        <v>0.4</v>
      </c>
      <c r="AS102" s="1523">
        <v>0.4</v>
      </c>
      <c r="AT102" s="1525"/>
      <c r="AU102" s="1523"/>
      <c r="AV102" s="1523"/>
      <c r="AX102" s="1547">
        <v>3.3</v>
      </c>
      <c r="AY102" s="1593" t="s">
        <v>309</v>
      </c>
      <c r="AZ102" s="1637" t="s">
        <v>667</v>
      </c>
      <c r="BA102" s="1523">
        <v>0.4</v>
      </c>
      <c r="BB102" s="1523">
        <v>0.4</v>
      </c>
      <c r="BC102" s="1523">
        <v>0.4</v>
      </c>
      <c r="BD102" s="1523">
        <v>0.4</v>
      </c>
      <c r="BE102" s="1523">
        <v>0.4</v>
      </c>
      <c r="BF102" s="1523">
        <v>1</v>
      </c>
      <c r="BG102" s="1523">
        <v>1</v>
      </c>
      <c r="BH102" s="1524">
        <v>0.4</v>
      </c>
      <c r="BI102" s="1523">
        <v>0.4</v>
      </c>
      <c r="BJ102" s="1523">
        <v>0.4</v>
      </c>
      <c r="BK102" s="1525"/>
      <c r="BL102" s="1523"/>
      <c r="BM102" s="1523"/>
      <c r="BO102" s="1547">
        <v>3.3</v>
      </c>
      <c r="BP102" s="1593" t="s">
        <v>309</v>
      </c>
      <c r="BQ102" s="1637" t="s">
        <v>667</v>
      </c>
      <c r="BR102" s="1523">
        <v>0.4</v>
      </c>
      <c r="BS102" s="1523">
        <v>0.4</v>
      </c>
      <c r="BT102" s="1523">
        <v>0.4</v>
      </c>
      <c r="BU102" s="1523">
        <v>0.4</v>
      </c>
      <c r="BV102" s="1523">
        <v>0.4</v>
      </c>
      <c r="BW102" s="1523">
        <v>1</v>
      </c>
      <c r="BX102" s="1523">
        <v>1</v>
      </c>
      <c r="BY102" s="1524">
        <v>0.4</v>
      </c>
      <c r="BZ102" s="1523">
        <v>0.4</v>
      </c>
      <c r="CA102" s="1523">
        <v>0.4</v>
      </c>
      <c r="CB102" s="1525"/>
      <c r="CC102" s="1523"/>
      <c r="CD102" s="1523"/>
    </row>
    <row r="103" spans="1:83">
      <c r="B103" s="1497" t="str">
        <f t="shared" si="74"/>
        <v>3.3.1</v>
      </c>
      <c r="C103" s="1514" t="str">
        <f t="shared" si="53"/>
        <v>空調配管の更新性</v>
      </c>
      <c r="D103" s="1621">
        <f t="shared" ref="D103:E108" si="81">IF(I$102&gt;0,G103/I$102,0)</f>
        <v>0.19999999999999998</v>
      </c>
      <c r="E103" s="1591">
        <f t="shared" si="81"/>
        <v>0</v>
      </c>
      <c r="G103" s="1591">
        <f t="shared" si="54"/>
        <v>0.20000000000000004</v>
      </c>
      <c r="H103" s="1591">
        <f t="shared" si="55"/>
        <v>0</v>
      </c>
      <c r="I103" s="1591"/>
      <c r="J103" s="1591"/>
      <c r="K103" s="1591">
        <f>IF(スコア表示!W103=0,0,1)</f>
        <v>1</v>
      </c>
      <c r="L103" s="1591">
        <f>IF(スコア表示!AA103=0,0,1)</f>
        <v>0</v>
      </c>
      <c r="M103" s="1591">
        <f t="shared" si="56"/>
        <v>0.20000000000000004</v>
      </c>
      <c r="N103" s="1591">
        <f t="shared" si="80"/>
        <v>0</v>
      </c>
      <c r="P103" s="1547" t="str">
        <f t="shared" si="76"/>
        <v>3.3.1</v>
      </c>
      <c r="Q103" s="1547" t="str">
        <f t="shared" si="77"/>
        <v xml:space="preserve"> Q2 3.3</v>
      </c>
      <c r="R103" s="1637" t="str">
        <f t="shared" si="60"/>
        <v>空調配管の更新性</v>
      </c>
      <c r="S103" s="1518">
        <f t="shared" si="61"/>
        <v>0.2</v>
      </c>
      <c r="T103" s="1518">
        <f t="shared" si="62"/>
        <v>0.2</v>
      </c>
      <c r="U103" s="1518">
        <f t="shared" si="63"/>
        <v>0.2</v>
      </c>
      <c r="V103" s="1518">
        <f t="shared" si="64"/>
        <v>0.2</v>
      </c>
      <c r="W103" s="1518">
        <f t="shared" si="65"/>
        <v>0.2</v>
      </c>
      <c r="X103" s="1518">
        <f t="shared" si="66"/>
        <v>0.2</v>
      </c>
      <c r="Y103" s="1518">
        <f t="shared" si="67"/>
        <v>0.2</v>
      </c>
      <c r="Z103" s="1526">
        <f t="shared" si="68"/>
        <v>0.2</v>
      </c>
      <c r="AA103" s="1518">
        <f t="shared" si="69"/>
        <v>0.2</v>
      </c>
      <c r="AB103" s="1518">
        <f t="shared" si="70"/>
        <v>0.2</v>
      </c>
      <c r="AC103" s="1519">
        <f t="shared" si="71"/>
        <v>0</v>
      </c>
      <c r="AD103" s="1518">
        <f t="shared" si="72"/>
        <v>0</v>
      </c>
      <c r="AE103" s="1518">
        <f t="shared" si="73"/>
        <v>0</v>
      </c>
      <c r="AG103" s="1547" t="s">
        <v>1340</v>
      </c>
      <c r="AH103" s="1593" t="s">
        <v>313</v>
      </c>
      <c r="AI103" s="1964" t="s">
        <v>314</v>
      </c>
      <c r="AJ103" s="1518">
        <v>0.2</v>
      </c>
      <c r="AK103" s="1518">
        <v>0.2</v>
      </c>
      <c r="AL103" s="1518">
        <v>0.2</v>
      </c>
      <c r="AM103" s="1518">
        <v>0.2</v>
      </c>
      <c r="AN103" s="1518">
        <v>0.2</v>
      </c>
      <c r="AO103" s="1518">
        <v>0.2</v>
      </c>
      <c r="AP103" s="1518">
        <v>0.2</v>
      </c>
      <c r="AQ103" s="1526">
        <v>0.2</v>
      </c>
      <c r="AR103" s="1518">
        <v>0.2</v>
      </c>
      <c r="AS103" s="1523">
        <v>0.2</v>
      </c>
      <c r="AT103" s="1525"/>
      <c r="AU103" s="1523"/>
      <c r="AV103" s="1523"/>
      <c r="AX103" s="1547" t="s">
        <v>1385</v>
      </c>
      <c r="AY103" s="1593" t="s">
        <v>313</v>
      </c>
      <c r="AZ103" s="1964" t="s">
        <v>314</v>
      </c>
      <c r="BA103" s="1523">
        <v>0.2</v>
      </c>
      <c r="BB103" s="1523">
        <v>0.2</v>
      </c>
      <c r="BC103" s="1523">
        <v>0.2</v>
      </c>
      <c r="BD103" s="1523">
        <v>0.2</v>
      </c>
      <c r="BE103" s="1523">
        <v>0.2</v>
      </c>
      <c r="BF103" s="1523">
        <v>0.2</v>
      </c>
      <c r="BG103" s="1523">
        <v>0.2</v>
      </c>
      <c r="BH103" s="1524">
        <v>0.2</v>
      </c>
      <c r="BI103" s="1523">
        <v>0.2</v>
      </c>
      <c r="BJ103" s="1523">
        <v>0.2</v>
      </c>
      <c r="BK103" s="1525"/>
      <c r="BL103" s="1523"/>
      <c r="BM103" s="1523"/>
      <c r="BO103" s="1547" t="s">
        <v>1385</v>
      </c>
      <c r="BP103" s="1593" t="s">
        <v>313</v>
      </c>
      <c r="BQ103" s="1964" t="s">
        <v>314</v>
      </c>
      <c r="BR103" s="1523">
        <v>0.2</v>
      </c>
      <c r="BS103" s="1523">
        <v>0.2</v>
      </c>
      <c r="BT103" s="1523">
        <v>0.2</v>
      </c>
      <c r="BU103" s="1523">
        <v>0.2</v>
      </c>
      <c r="BV103" s="1523">
        <v>0.2</v>
      </c>
      <c r="BW103" s="1523">
        <v>0.2</v>
      </c>
      <c r="BX103" s="1523">
        <v>0.2</v>
      </c>
      <c r="BY103" s="1524">
        <v>0.2</v>
      </c>
      <c r="BZ103" s="1523">
        <v>0.2</v>
      </c>
      <c r="CA103" s="1523">
        <v>0.2</v>
      </c>
      <c r="CB103" s="1525"/>
      <c r="CC103" s="1523"/>
      <c r="CD103" s="1523"/>
    </row>
    <row r="104" spans="1:83">
      <c r="B104" s="1497" t="str">
        <f t="shared" si="74"/>
        <v>3.3.2</v>
      </c>
      <c r="C104" s="1514" t="str">
        <f t="shared" si="53"/>
        <v>給排水管の更新性</v>
      </c>
      <c r="D104" s="1621">
        <f t="shared" si="81"/>
        <v>0.19999999999999998</v>
      </c>
      <c r="E104" s="1591">
        <f t="shared" si="81"/>
        <v>0</v>
      </c>
      <c r="G104" s="1591">
        <f t="shared" si="54"/>
        <v>0.20000000000000004</v>
      </c>
      <c r="H104" s="1591">
        <f t="shared" si="55"/>
        <v>0</v>
      </c>
      <c r="I104" s="1591"/>
      <c r="J104" s="1591"/>
      <c r="K104" s="1591">
        <f>IF(スコア表示!W104=0,0,1)</f>
        <v>1</v>
      </c>
      <c r="L104" s="1591">
        <f>IF(スコア表示!AA104=0,0,1)</f>
        <v>0</v>
      </c>
      <c r="M104" s="1591">
        <f t="shared" si="56"/>
        <v>0.20000000000000004</v>
      </c>
      <c r="N104" s="1591">
        <f t="shared" si="80"/>
        <v>0</v>
      </c>
      <c r="P104" s="1547" t="str">
        <f t="shared" si="76"/>
        <v>3.3.2</v>
      </c>
      <c r="Q104" s="1547" t="str">
        <f t="shared" si="77"/>
        <v xml:space="preserve"> Q2 3.3</v>
      </c>
      <c r="R104" s="1637" t="str">
        <f t="shared" si="60"/>
        <v>給排水管の更新性</v>
      </c>
      <c r="S104" s="1518">
        <f t="shared" si="61"/>
        <v>0.2</v>
      </c>
      <c r="T104" s="1518">
        <f t="shared" si="62"/>
        <v>0.2</v>
      </c>
      <c r="U104" s="1518">
        <f t="shared" si="63"/>
        <v>0.2</v>
      </c>
      <c r="V104" s="1518">
        <f t="shared" si="64"/>
        <v>0.2</v>
      </c>
      <c r="W104" s="1518">
        <f t="shared" si="65"/>
        <v>0.2</v>
      </c>
      <c r="X104" s="1518">
        <f t="shared" si="66"/>
        <v>0.2</v>
      </c>
      <c r="Y104" s="1518">
        <f t="shared" si="67"/>
        <v>0.2</v>
      </c>
      <c r="Z104" s="1526">
        <f t="shared" si="68"/>
        <v>0.2</v>
      </c>
      <c r="AA104" s="1518">
        <f t="shared" si="69"/>
        <v>0.2</v>
      </c>
      <c r="AB104" s="1518">
        <f t="shared" si="70"/>
        <v>0.2</v>
      </c>
      <c r="AC104" s="1519">
        <f t="shared" si="71"/>
        <v>0</v>
      </c>
      <c r="AD104" s="1518">
        <f t="shared" si="72"/>
        <v>0</v>
      </c>
      <c r="AE104" s="1518">
        <f t="shared" si="73"/>
        <v>0</v>
      </c>
      <c r="AG104" s="1547" t="s">
        <v>1386</v>
      </c>
      <c r="AH104" s="1593" t="s">
        <v>313</v>
      </c>
      <c r="AI104" s="1964" t="s">
        <v>315</v>
      </c>
      <c r="AJ104" s="1518">
        <v>0.2</v>
      </c>
      <c r="AK104" s="1518">
        <v>0.2</v>
      </c>
      <c r="AL104" s="1518">
        <v>0.2</v>
      </c>
      <c r="AM104" s="1518">
        <v>0.2</v>
      </c>
      <c r="AN104" s="1518">
        <v>0.2</v>
      </c>
      <c r="AO104" s="1518">
        <v>0.2</v>
      </c>
      <c r="AP104" s="1518">
        <v>0.2</v>
      </c>
      <c r="AQ104" s="1526">
        <v>0.2</v>
      </c>
      <c r="AR104" s="1518">
        <v>0.2</v>
      </c>
      <c r="AS104" s="1523">
        <v>0.2</v>
      </c>
      <c r="AT104" s="1525"/>
      <c r="AU104" s="1523"/>
      <c r="AV104" s="1523"/>
      <c r="AX104" s="1547" t="s">
        <v>1387</v>
      </c>
      <c r="AY104" s="1593" t="s">
        <v>313</v>
      </c>
      <c r="AZ104" s="1964" t="s">
        <v>315</v>
      </c>
      <c r="BA104" s="1523">
        <v>0.2</v>
      </c>
      <c r="BB104" s="1523">
        <v>0.2</v>
      </c>
      <c r="BC104" s="1523">
        <v>0.2</v>
      </c>
      <c r="BD104" s="1523">
        <v>0.2</v>
      </c>
      <c r="BE104" s="1523">
        <v>0.2</v>
      </c>
      <c r="BF104" s="1523">
        <v>0.2</v>
      </c>
      <c r="BG104" s="1523">
        <v>0.2</v>
      </c>
      <c r="BH104" s="1524">
        <v>0.2</v>
      </c>
      <c r="BI104" s="1523">
        <v>0.2</v>
      </c>
      <c r="BJ104" s="1523">
        <v>0.2</v>
      </c>
      <c r="BK104" s="1525"/>
      <c r="BL104" s="1523"/>
      <c r="BM104" s="1523"/>
      <c r="BO104" s="1547" t="s">
        <v>1387</v>
      </c>
      <c r="BP104" s="1593" t="s">
        <v>313</v>
      </c>
      <c r="BQ104" s="1964" t="s">
        <v>315</v>
      </c>
      <c r="BR104" s="1523">
        <v>0.2</v>
      </c>
      <c r="BS104" s="1523">
        <v>0.2</v>
      </c>
      <c r="BT104" s="1523">
        <v>0.2</v>
      </c>
      <c r="BU104" s="1523">
        <v>0.2</v>
      </c>
      <c r="BV104" s="1523">
        <v>0.2</v>
      </c>
      <c r="BW104" s="1523">
        <v>0.2</v>
      </c>
      <c r="BX104" s="1523">
        <v>0.2</v>
      </c>
      <c r="BY104" s="1524">
        <v>0.2</v>
      </c>
      <c r="BZ104" s="1523">
        <v>0.2</v>
      </c>
      <c r="CA104" s="1523">
        <v>0.2</v>
      </c>
      <c r="CB104" s="1525"/>
      <c r="CC104" s="1523"/>
      <c r="CD104" s="1523"/>
    </row>
    <row r="105" spans="1:83">
      <c r="B105" s="1497" t="str">
        <f t="shared" si="74"/>
        <v>3.3.3</v>
      </c>
      <c r="C105" s="1514" t="str">
        <f t="shared" ref="C105:C140" si="82">R105</f>
        <v>電気配線の更新性</v>
      </c>
      <c r="D105" s="1621">
        <f t="shared" si="81"/>
        <v>9.9999999999999992E-2</v>
      </c>
      <c r="E105" s="1591">
        <f t="shared" si="81"/>
        <v>0</v>
      </c>
      <c r="G105" s="1591">
        <f t="shared" ref="G105:G136" si="83">K105*M105</f>
        <v>0.10000000000000002</v>
      </c>
      <c r="H105" s="1591">
        <f t="shared" ref="H105:H136" si="84">L105*N105</f>
        <v>0</v>
      </c>
      <c r="I105" s="1591"/>
      <c r="J105" s="1591"/>
      <c r="K105" s="1591">
        <f>IF(スコア表示!W105=0,0,1)</f>
        <v>1</v>
      </c>
      <c r="L105" s="1591">
        <f>IF(スコア表示!AA105=0,0,1)</f>
        <v>0</v>
      </c>
      <c r="M105" s="1591">
        <f t="shared" ref="M105:M140" si="85">SUMPRODUCT($S$7:$AB$7,S105:AB105)</f>
        <v>0.10000000000000002</v>
      </c>
      <c r="N105" s="1591">
        <f t="shared" si="80"/>
        <v>0</v>
      </c>
      <c r="P105" s="1547" t="str">
        <f t="shared" si="76"/>
        <v>3.3.3</v>
      </c>
      <c r="Q105" s="1547" t="str">
        <f t="shared" si="77"/>
        <v xml:space="preserve"> Q2 3.3</v>
      </c>
      <c r="R105" s="1637" t="str">
        <f t="shared" ref="R105:R140" si="86">AI105</f>
        <v>電気配線の更新性</v>
      </c>
      <c r="S105" s="1518">
        <f t="shared" ref="S105:S119" si="87">IF($P$3=1,BA105,IF($P$3=2,BR105,AJ105))</f>
        <v>0.1</v>
      </c>
      <c r="T105" s="1518">
        <f t="shared" ref="T105:T119" si="88">IF($P$3=1,BB105,IF($P$3=2,BS105,AK105))</f>
        <v>0.1</v>
      </c>
      <c r="U105" s="1518">
        <f t="shared" ref="U105:U119" si="89">IF($P$3=1,BC105,IF($P$3=2,BT105,AL105))</f>
        <v>0.1</v>
      </c>
      <c r="V105" s="1518">
        <f t="shared" ref="V105:V119" si="90">IF($P$3=1,BD105,IF($P$3=2,BU105,AM105))</f>
        <v>0.1</v>
      </c>
      <c r="W105" s="1518">
        <f t="shared" ref="W105:W119" si="91">IF($P$3=1,BE105,IF($P$3=2,BV105,AN105))</f>
        <v>0.1</v>
      </c>
      <c r="X105" s="1518">
        <f t="shared" ref="X105:X119" si="92">IF($P$3=1,BF105,IF($P$3=2,BW105,AO105))</f>
        <v>0.1</v>
      </c>
      <c r="Y105" s="1518">
        <f t="shared" ref="Y105:Y119" si="93">IF($P$3=1,BG105,IF($P$3=2,BX105,AP105))</f>
        <v>0.1</v>
      </c>
      <c r="Z105" s="1526">
        <f t="shared" ref="Z105:Z119" si="94">IF($P$3=1,BH105,IF($P$3=2,BY105,AQ105))</f>
        <v>0.1</v>
      </c>
      <c r="AA105" s="1518">
        <f t="shared" ref="AA105:AA119" si="95">IF($P$3=1,BI105,IF($P$3=2,BZ105,AR105))</f>
        <v>0.1</v>
      </c>
      <c r="AB105" s="1518">
        <f t="shared" ref="AB105:AB119" si="96">IF($P$3=1,BJ105,IF($P$3=2,CA105,AS105))</f>
        <v>0.1</v>
      </c>
      <c r="AC105" s="1519">
        <f t="shared" ref="AC105:AC119" si="97">IF($P$3=1,BK105,IF($P$3=2,CB105,AT105))</f>
        <v>0</v>
      </c>
      <c r="AD105" s="1518">
        <f t="shared" ref="AD105:AD119" si="98">IF($P$3=1,BL105,IF($P$3=2,CC105,AU105))</f>
        <v>0</v>
      </c>
      <c r="AE105" s="1518">
        <f t="shared" ref="AE105:AE119" si="99">IF($P$3=1,BM105,IF($P$3=2,CD105,AV105))</f>
        <v>0</v>
      </c>
      <c r="AG105" s="1547" t="s">
        <v>1388</v>
      </c>
      <c r="AH105" s="1593" t="s">
        <v>313</v>
      </c>
      <c r="AI105" s="1964" t="s">
        <v>316</v>
      </c>
      <c r="AJ105" s="1518">
        <v>0.1</v>
      </c>
      <c r="AK105" s="1518">
        <v>0.1</v>
      </c>
      <c r="AL105" s="1518">
        <v>0.1</v>
      </c>
      <c r="AM105" s="1518">
        <v>0.1</v>
      </c>
      <c r="AN105" s="1518">
        <v>0.1</v>
      </c>
      <c r="AO105" s="1518">
        <v>0.1</v>
      </c>
      <c r="AP105" s="1518">
        <v>0.1</v>
      </c>
      <c r="AQ105" s="1526">
        <v>0.1</v>
      </c>
      <c r="AR105" s="1518">
        <v>0.1</v>
      </c>
      <c r="AS105" s="1523">
        <v>0.1</v>
      </c>
      <c r="AT105" s="1525"/>
      <c r="AU105" s="1523"/>
      <c r="AV105" s="1523"/>
      <c r="AX105" s="1547" t="s">
        <v>1389</v>
      </c>
      <c r="AY105" s="1593" t="s">
        <v>313</v>
      </c>
      <c r="AZ105" s="1964" t="s">
        <v>316</v>
      </c>
      <c r="BA105" s="1523">
        <v>0.1</v>
      </c>
      <c r="BB105" s="1523">
        <v>0.1</v>
      </c>
      <c r="BC105" s="1523">
        <v>0.1</v>
      </c>
      <c r="BD105" s="1523">
        <v>0.1</v>
      </c>
      <c r="BE105" s="1523">
        <v>0.1</v>
      </c>
      <c r="BF105" s="1523">
        <v>0.1</v>
      </c>
      <c r="BG105" s="1523">
        <v>0.1</v>
      </c>
      <c r="BH105" s="1524">
        <v>0.1</v>
      </c>
      <c r="BI105" s="1523">
        <v>0.1</v>
      </c>
      <c r="BJ105" s="1523">
        <v>0.1</v>
      </c>
      <c r="BK105" s="1525"/>
      <c r="BL105" s="1523"/>
      <c r="BM105" s="1523"/>
      <c r="BO105" s="1547" t="s">
        <v>1389</v>
      </c>
      <c r="BP105" s="1593" t="s">
        <v>313</v>
      </c>
      <c r="BQ105" s="1964" t="s">
        <v>316</v>
      </c>
      <c r="BR105" s="1523">
        <v>0.1</v>
      </c>
      <c r="BS105" s="1523">
        <v>0.1</v>
      </c>
      <c r="BT105" s="1523">
        <v>0.1</v>
      </c>
      <c r="BU105" s="1523">
        <v>0.1</v>
      </c>
      <c r="BV105" s="1523">
        <v>0.1</v>
      </c>
      <c r="BW105" s="1523">
        <v>0.1</v>
      </c>
      <c r="BX105" s="1523">
        <v>0.1</v>
      </c>
      <c r="BY105" s="1524">
        <v>0.1</v>
      </c>
      <c r="BZ105" s="1523">
        <v>0.1</v>
      </c>
      <c r="CA105" s="1523">
        <v>0.1</v>
      </c>
      <c r="CB105" s="1525"/>
      <c r="CC105" s="1523"/>
      <c r="CD105" s="1523"/>
    </row>
    <row r="106" spans="1:83">
      <c r="B106" s="1497" t="str">
        <f t="shared" si="74"/>
        <v>3.3.4</v>
      </c>
      <c r="C106" s="1514" t="str">
        <f t="shared" si="82"/>
        <v>通信配線の更新性</v>
      </c>
      <c r="D106" s="1621">
        <f t="shared" si="81"/>
        <v>9.9999999999999992E-2</v>
      </c>
      <c r="E106" s="1591">
        <f t="shared" si="81"/>
        <v>0</v>
      </c>
      <c r="G106" s="1591">
        <f t="shared" si="83"/>
        <v>0.10000000000000002</v>
      </c>
      <c r="H106" s="1591">
        <f t="shared" si="84"/>
        <v>0</v>
      </c>
      <c r="I106" s="1591"/>
      <c r="J106" s="1591"/>
      <c r="K106" s="1591">
        <f>IF(スコア表示!W106=0,0,1)</f>
        <v>1</v>
      </c>
      <c r="L106" s="1591">
        <f>IF(スコア表示!AA106=0,0,1)</f>
        <v>0</v>
      </c>
      <c r="M106" s="1591">
        <f t="shared" si="85"/>
        <v>0.10000000000000002</v>
      </c>
      <c r="N106" s="1591">
        <f t="shared" si="80"/>
        <v>0</v>
      </c>
      <c r="P106" s="1547" t="str">
        <f t="shared" si="76"/>
        <v>3.3.4</v>
      </c>
      <c r="Q106" s="1547" t="str">
        <f t="shared" si="77"/>
        <v xml:space="preserve"> Q2 3.3</v>
      </c>
      <c r="R106" s="1637" t="str">
        <f t="shared" si="86"/>
        <v>通信配線の更新性</v>
      </c>
      <c r="S106" s="1518">
        <f t="shared" si="87"/>
        <v>0.1</v>
      </c>
      <c r="T106" s="1518">
        <f t="shared" si="88"/>
        <v>0.1</v>
      </c>
      <c r="U106" s="1518">
        <f t="shared" si="89"/>
        <v>0.1</v>
      </c>
      <c r="V106" s="1518">
        <f t="shared" si="90"/>
        <v>0.1</v>
      </c>
      <c r="W106" s="1518">
        <f t="shared" si="91"/>
        <v>0.1</v>
      </c>
      <c r="X106" s="1518">
        <f t="shared" si="92"/>
        <v>0.1</v>
      </c>
      <c r="Y106" s="1518">
        <f t="shared" si="93"/>
        <v>0.1</v>
      </c>
      <c r="Z106" s="1526">
        <f t="shared" si="94"/>
        <v>0.1</v>
      </c>
      <c r="AA106" s="1518">
        <f t="shared" si="95"/>
        <v>0.1</v>
      </c>
      <c r="AB106" s="1518">
        <f t="shared" si="96"/>
        <v>0.1</v>
      </c>
      <c r="AC106" s="1519">
        <f t="shared" si="97"/>
        <v>0</v>
      </c>
      <c r="AD106" s="1518">
        <f t="shared" si="98"/>
        <v>0</v>
      </c>
      <c r="AE106" s="1518">
        <f t="shared" si="99"/>
        <v>0</v>
      </c>
      <c r="AG106" s="1547" t="s">
        <v>1556</v>
      </c>
      <c r="AH106" s="1593" t="s">
        <v>313</v>
      </c>
      <c r="AI106" s="1964" t="s">
        <v>317</v>
      </c>
      <c r="AJ106" s="1518">
        <v>0.1</v>
      </c>
      <c r="AK106" s="1518">
        <v>0.1</v>
      </c>
      <c r="AL106" s="1518">
        <v>0.1</v>
      </c>
      <c r="AM106" s="1518">
        <v>0.1</v>
      </c>
      <c r="AN106" s="1518">
        <v>0.1</v>
      </c>
      <c r="AO106" s="1518">
        <v>0.1</v>
      </c>
      <c r="AP106" s="1518">
        <v>0.1</v>
      </c>
      <c r="AQ106" s="1526">
        <v>0.1</v>
      </c>
      <c r="AR106" s="1518">
        <v>0.1</v>
      </c>
      <c r="AS106" s="1523">
        <v>0.1</v>
      </c>
      <c r="AT106" s="1525"/>
      <c r="AU106" s="1523"/>
      <c r="AV106" s="1523"/>
      <c r="AX106" s="1547" t="s">
        <v>1390</v>
      </c>
      <c r="AY106" s="1593" t="s">
        <v>313</v>
      </c>
      <c r="AZ106" s="1964" t="s">
        <v>317</v>
      </c>
      <c r="BA106" s="1523">
        <v>0.1</v>
      </c>
      <c r="BB106" s="1523">
        <v>0.1</v>
      </c>
      <c r="BC106" s="1523">
        <v>0.1</v>
      </c>
      <c r="BD106" s="1523">
        <v>0.1</v>
      </c>
      <c r="BE106" s="1523">
        <v>0.1</v>
      </c>
      <c r="BF106" s="1523">
        <v>0.1</v>
      </c>
      <c r="BG106" s="1523">
        <v>0.1</v>
      </c>
      <c r="BH106" s="1524">
        <v>0.1</v>
      </c>
      <c r="BI106" s="1523">
        <v>0.1</v>
      </c>
      <c r="BJ106" s="1523">
        <v>0.1</v>
      </c>
      <c r="BK106" s="1525"/>
      <c r="BL106" s="1523"/>
      <c r="BM106" s="1523"/>
      <c r="BO106" s="1547" t="s">
        <v>1390</v>
      </c>
      <c r="BP106" s="1593" t="s">
        <v>313</v>
      </c>
      <c r="BQ106" s="1964" t="s">
        <v>317</v>
      </c>
      <c r="BR106" s="1523">
        <v>0.1</v>
      </c>
      <c r="BS106" s="1523">
        <v>0.1</v>
      </c>
      <c r="BT106" s="1523">
        <v>0.1</v>
      </c>
      <c r="BU106" s="1523">
        <v>0.1</v>
      </c>
      <c r="BV106" s="1523">
        <v>0.1</v>
      </c>
      <c r="BW106" s="1523">
        <v>0.1</v>
      </c>
      <c r="BX106" s="1523">
        <v>0.1</v>
      </c>
      <c r="BY106" s="1524">
        <v>0.1</v>
      </c>
      <c r="BZ106" s="1523">
        <v>0.1</v>
      </c>
      <c r="CA106" s="1523">
        <v>0.1</v>
      </c>
      <c r="CB106" s="1525"/>
      <c r="CC106" s="1523"/>
      <c r="CD106" s="1523"/>
    </row>
    <row r="107" spans="1:83">
      <c r="B107" s="1497" t="str">
        <f t="shared" ref="B107:B142" si="100">P107</f>
        <v>3.3.5</v>
      </c>
      <c r="C107" s="1514" t="str">
        <f t="shared" si="82"/>
        <v>設備機器の更新性</v>
      </c>
      <c r="D107" s="1621">
        <f t="shared" si="81"/>
        <v>0.19999999999999998</v>
      </c>
      <c r="E107" s="1591">
        <f t="shared" si="81"/>
        <v>0</v>
      </c>
      <c r="G107" s="1591">
        <f t="shared" si="83"/>
        <v>0.20000000000000004</v>
      </c>
      <c r="H107" s="1591">
        <f t="shared" si="84"/>
        <v>0</v>
      </c>
      <c r="I107" s="1591"/>
      <c r="J107" s="1591"/>
      <c r="K107" s="1591">
        <f>IF(スコア表示!W107=0,0,1)</f>
        <v>1</v>
      </c>
      <c r="L107" s="1591">
        <f>IF(スコア表示!AA107=0,0,1)</f>
        <v>0</v>
      </c>
      <c r="M107" s="1591">
        <f t="shared" si="85"/>
        <v>0.20000000000000004</v>
      </c>
      <c r="N107" s="1591">
        <f t="shared" si="80"/>
        <v>0</v>
      </c>
      <c r="P107" s="1547" t="str">
        <f t="shared" si="76"/>
        <v>3.3.5</v>
      </c>
      <c r="Q107" s="1547" t="str">
        <f t="shared" si="77"/>
        <v xml:space="preserve"> Q2 3.3</v>
      </c>
      <c r="R107" s="1637" t="str">
        <f t="shared" si="86"/>
        <v>設備機器の更新性</v>
      </c>
      <c r="S107" s="1518">
        <f t="shared" si="87"/>
        <v>0.2</v>
      </c>
      <c r="T107" s="1518">
        <f t="shared" si="88"/>
        <v>0.2</v>
      </c>
      <c r="U107" s="1518">
        <f t="shared" si="89"/>
        <v>0.2</v>
      </c>
      <c r="V107" s="1518">
        <f t="shared" si="90"/>
        <v>0.2</v>
      </c>
      <c r="W107" s="1518">
        <f t="shared" si="91"/>
        <v>0.2</v>
      </c>
      <c r="X107" s="1518">
        <f t="shared" si="92"/>
        <v>0.2</v>
      </c>
      <c r="Y107" s="1518">
        <f t="shared" si="93"/>
        <v>0.2</v>
      </c>
      <c r="Z107" s="1526">
        <f t="shared" si="94"/>
        <v>0.2</v>
      </c>
      <c r="AA107" s="1518">
        <f t="shared" si="95"/>
        <v>0.2</v>
      </c>
      <c r="AB107" s="1518">
        <f t="shared" si="96"/>
        <v>0.2</v>
      </c>
      <c r="AC107" s="1519">
        <f t="shared" si="97"/>
        <v>0</v>
      </c>
      <c r="AD107" s="1518">
        <f t="shared" si="98"/>
        <v>0</v>
      </c>
      <c r="AE107" s="1518">
        <f t="shared" si="99"/>
        <v>0</v>
      </c>
      <c r="AG107" s="1547" t="s">
        <v>1391</v>
      </c>
      <c r="AH107" s="1593" t="s">
        <v>313</v>
      </c>
      <c r="AI107" s="1964" t="s">
        <v>318</v>
      </c>
      <c r="AJ107" s="1518">
        <v>0.2</v>
      </c>
      <c r="AK107" s="1518">
        <v>0.2</v>
      </c>
      <c r="AL107" s="1518">
        <v>0.2</v>
      </c>
      <c r="AM107" s="1518">
        <v>0.2</v>
      </c>
      <c r="AN107" s="1518">
        <v>0.2</v>
      </c>
      <c r="AO107" s="1518">
        <v>0.2</v>
      </c>
      <c r="AP107" s="1518">
        <v>0.2</v>
      </c>
      <c r="AQ107" s="1526">
        <v>0.2</v>
      </c>
      <c r="AR107" s="1518">
        <v>0.2</v>
      </c>
      <c r="AS107" s="1523">
        <v>0.2</v>
      </c>
      <c r="AT107" s="1525"/>
      <c r="AU107" s="1523"/>
      <c r="AV107" s="1523"/>
      <c r="AX107" s="1547" t="s">
        <v>1392</v>
      </c>
      <c r="AY107" s="1593" t="s">
        <v>313</v>
      </c>
      <c r="AZ107" s="1964" t="s">
        <v>318</v>
      </c>
      <c r="BA107" s="1523">
        <v>0.2</v>
      </c>
      <c r="BB107" s="1523">
        <v>0.2</v>
      </c>
      <c r="BC107" s="1523">
        <v>0.2</v>
      </c>
      <c r="BD107" s="1523">
        <v>0.2</v>
      </c>
      <c r="BE107" s="1523">
        <v>0.2</v>
      </c>
      <c r="BF107" s="1523">
        <v>0.2</v>
      </c>
      <c r="BG107" s="1523">
        <v>0.2</v>
      </c>
      <c r="BH107" s="1524">
        <v>0.2</v>
      </c>
      <c r="BI107" s="1523">
        <v>0.2</v>
      </c>
      <c r="BJ107" s="1523">
        <v>0.2</v>
      </c>
      <c r="BK107" s="1525"/>
      <c r="BL107" s="1523"/>
      <c r="BM107" s="1523"/>
      <c r="BO107" s="1547" t="s">
        <v>1392</v>
      </c>
      <c r="BP107" s="1593" t="s">
        <v>313</v>
      </c>
      <c r="BQ107" s="1964" t="s">
        <v>318</v>
      </c>
      <c r="BR107" s="1523">
        <v>0.2</v>
      </c>
      <c r="BS107" s="1523">
        <v>0.2</v>
      </c>
      <c r="BT107" s="1523">
        <v>0.2</v>
      </c>
      <c r="BU107" s="1523">
        <v>0.2</v>
      </c>
      <c r="BV107" s="1523">
        <v>0.2</v>
      </c>
      <c r="BW107" s="1523">
        <v>0.2</v>
      </c>
      <c r="BX107" s="1523">
        <v>0.2</v>
      </c>
      <c r="BY107" s="1524">
        <v>0.2</v>
      </c>
      <c r="BZ107" s="1523">
        <v>0.2</v>
      </c>
      <c r="CA107" s="1523">
        <v>0.2</v>
      </c>
      <c r="CB107" s="1525"/>
      <c r="CC107" s="1523"/>
      <c r="CD107" s="1523"/>
    </row>
    <row r="108" spans="1:83">
      <c r="B108" s="1497" t="str">
        <f t="shared" si="100"/>
        <v>3.3.6</v>
      </c>
      <c r="C108" s="1514" t="str">
        <f t="shared" si="82"/>
        <v>バックアップスペースの確保</v>
      </c>
      <c r="D108" s="1621">
        <f t="shared" si="81"/>
        <v>0.19999999999999998</v>
      </c>
      <c r="E108" s="1591">
        <f t="shared" si="81"/>
        <v>0</v>
      </c>
      <c r="G108" s="1591">
        <f t="shared" si="83"/>
        <v>0.20000000000000004</v>
      </c>
      <c r="H108" s="1591">
        <f t="shared" si="84"/>
        <v>0</v>
      </c>
      <c r="I108" s="1591"/>
      <c r="J108" s="1591"/>
      <c r="K108" s="1591">
        <f>IF(スコア表示!W108=0,0,1)</f>
        <v>1</v>
      </c>
      <c r="L108" s="1591">
        <f>IF(スコア表示!AA108=0,0,1)</f>
        <v>0</v>
      </c>
      <c r="M108" s="1591">
        <f t="shared" si="85"/>
        <v>0.20000000000000004</v>
      </c>
      <c r="N108" s="1591">
        <f t="shared" si="80"/>
        <v>0</v>
      </c>
      <c r="P108" s="1547" t="str">
        <f t="shared" si="76"/>
        <v>3.3.6</v>
      </c>
      <c r="Q108" s="1547" t="str">
        <f t="shared" si="77"/>
        <v xml:space="preserve"> Q2 3.3</v>
      </c>
      <c r="R108" s="1637" t="str">
        <f t="shared" si="86"/>
        <v>バックアップスペースの確保</v>
      </c>
      <c r="S108" s="1518">
        <f t="shared" si="87"/>
        <v>0.2</v>
      </c>
      <c r="T108" s="1518">
        <f t="shared" si="88"/>
        <v>0.2</v>
      </c>
      <c r="U108" s="1518">
        <f t="shared" si="89"/>
        <v>0.2</v>
      </c>
      <c r="V108" s="1518">
        <f t="shared" si="90"/>
        <v>0.2</v>
      </c>
      <c r="W108" s="1518">
        <f t="shared" si="91"/>
        <v>0.2</v>
      </c>
      <c r="X108" s="1518">
        <f t="shared" si="92"/>
        <v>0.2</v>
      </c>
      <c r="Y108" s="1518">
        <f t="shared" si="93"/>
        <v>0.2</v>
      </c>
      <c r="Z108" s="1526">
        <f t="shared" si="94"/>
        <v>0.2</v>
      </c>
      <c r="AA108" s="1518">
        <f t="shared" si="95"/>
        <v>0.2</v>
      </c>
      <c r="AB108" s="1518">
        <f t="shared" si="96"/>
        <v>0.2</v>
      </c>
      <c r="AC108" s="1519">
        <f t="shared" si="97"/>
        <v>0</v>
      </c>
      <c r="AD108" s="1518">
        <f t="shared" si="98"/>
        <v>0</v>
      </c>
      <c r="AE108" s="1518">
        <f t="shared" si="99"/>
        <v>0</v>
      </c>
      <c r="AG108" s="1547" t="s">
        <v>1557</v>
      </c>
      <c r="AH108" s="1593" t="s">
        <v>313</v>
      </c>
      <c r="AI108" s="1964" t="s">
        <v>675</v>
      </c>
      <c r="AJ108" s="1518">
        <v>0.2</v>
      </c>
      <c r="AK108" s="1518">
        <v>0.2</v>
      </c>
      <c r="AL108" s="1518">
        <v>0.2</v>
      </c>
      <c r="AM108" s="1518">
        <v>0.2</v>
      </c>
      <c r="AN108" s="1518">
        <v>0.2</v>
      </c>
      <c r="AO108" s="1518">
        <v>0.2</v>
      </c>
      <c r="AP108" s="1518">
        <v>0.2</v>
      </c>
      <c r="AQ108" s="1526">
        <v>0.2</v>
      </c>
      <c r="AR108" s="1518">
        <v>0.2</v>
      </c>
      <c r="AS108" s="1523">
        <v>0.2</v>
      </c>
      <c r="AT108" s="1525"/>
      <c r="AU108" s="1523"/>
      <c r="AV108" s="1523"/>
      <c r="AX108" s="1547" t="s">
        <v>1393</v>
      </c>
      <c r="AY108" s="1593" t="s">
        <v>313</v>
      </c>
      <c r="AZ108" s="1964" t="s">
        <v>675</v>
      </c>
      <c r="BA108" s="1523">
        <v>0.2</v>
      </c>
      <c r="BB108" s="1523">
        <v>0.2</v>
      </c>
      <c r="BC108" s="1523">
        <v>0.2</v>
      </c>
      <c r="BD108" s="1523">
        <v>0.2</v>
      </c>
      <c r="BE108" s="1523">
        <v>0.2</v>
      </c>
      <c r="BF108" s="1523">
        <v>0.2</v>
      </c>
      <c r="BG108" s="1523">
        <v>0.2</v>
      </c>
      <c r="BH108" s="1524">
        <v>0.2</v>
      </c>
      <c r="BI108" s="1523">
        <v>0.2</v>
      </c>
      <c r="BJ108" s="1523">
        <v>0.2</v>
      </c>
      <c r="BK108" s="1525"/>
      <c r="BL108" s="1523"/>
      <c r="BM108" s="1523"/>
      <c r="BO108" s="1547" t="s">
        <v>1393</v>
      </c>
      <c r="BP108" s="1593" t="s">
        <v>313</v>
      </c>
      <c r="BQ108" s="1964" t="s">
        <v>675</v>
      </c>
      <c r="BR108" s="1523">
        <v>0.2</v>
      </c>
      <c r="BS108" s="1523">
        <v>0.2</v>
      </c>
      <c r="BT108" s="1523">
        <v>0.2</v>
      </c>
      <c r="BU108" s="1523">
        <v>0.2</v>
      </c>
      <c r="BV108" s="1523">
        <v>0.2</v>
      </c>
      <c r="BW108" s="1523">
        <v>0.2</v>
      </c>
      <c r="BX108" s="1523">
        <v>0.2</v>
      </c>
      <c r="BY108" s="1524">
        <v>0.2</v>
      </c>
      <c r="BZ108" s="1523">
        <v>0.2</v>
      </c>
      <c r="CA108" s="1523">
        <v>0.2</v>
      </c>
      <c r="CB108" s="1525"/>
      <c r="CC108" s="1523"/>
      <c r="CD108" s="1523"/>
    </row>
    <row r="109" spans="1:83" s="1505" customFormat="1">
      <c r="A109"/>
      <c r="B109" s="1497" t="str">
        <f t="shared" si="100"/>
        <v>Q3</v>
      </c>
      <c r="C109" s="1497" t="str">
        <f t="shared" si="82"/>
        <v>室外環境（敷地内）</v>
      </c>
      <c r="D109" s="1956">
        <f>IF(I$8=0,0,G109/I$8)</f>
        <v>0.3</v>
      </c>
      <c r="E109" s="1957">
        <f>IF(J$8=0,0,H109/J$8)</f>
        <v>0</v>
      </c>
      <c r="F109"/>
      <c r="G109" s="1957">
        <f t="shared" si="83"/>
        <v>0.3</v>
      </c>
      <c r="H109" s="1957">
        <f t="shared" si="84"/>
        <v>0</v>
      </c>
      <c r="I109" s="1957">
        <f>G110+G111+G112</f>
        <v>1</v>
      </c>
      <c r="J109" s="1957">
        <f>H110+H111+H112</f>
        <v>0</v>
      </c>
      <c r="K109" s="1957">
        <f>IF(スコア表示!W109=0,0,1)</f>
        <v>1</v>
      </c>
      <c r="L109" s="1957">
        <f>IF(スコア表示!AA109=0,0,1)</f>
        <v>0</v>
      </c>
      <c r="M109" s="1957">
        <f t="shared" si="85"/>
        <v>0.3</v>
      </c>
      <c r="N109" s="1957">
        <f t="shared" si="80"/>
        <v>0</v>
      </c>
      <c r="O109"/>
      <c r="P109" s="1497" t="str">
        <f t="shared" si="76"/>
        <v>Q3</v>
      </c>
      <c r="Q109" s="1497" t="str">
        <f t="shared" si="77"/>
        <v xml:space="preserve"> Q</v>
      </c>
      <c r="R109" s="1958" t="str">
        <f t="shared" si="86"/>
        <v>室外環境（敷地内）</v>
      </c>
      <c r="S109" s="1503">
        <f t="shared" si="87"/>
        <v>0.3</v>
      </c>
      <c r="T109" s="1503">
        <f t="shared" si="88"/>
        <v>0.3</v>
      </c>
      <c r="U109" s="1503">
        <f t="shared" si="89"/>
        <v>0.3</v>
      </c>
      <c r="V109" s="1503">
        <f t="shared" si="90"/>
        <v>0.3</v>
      </c>
      <c r="W109" s="1503">
        <f t="shared" si="91"/>
        <v>0.3</v>
      </c>
      <c r="X109" s="1503">
        <f t="shared" si="92"/>
        <v>0.3</v>
      </c>
      <c r="Y109" s="1503">
        <f t="shared" si="93"/>
        <v>0.3</v>
      </c>
      <c r="Z109" s="1503">
        <f t="shared" si="94"/>
        <v>0.3</v>
      </c>
      <c r="AA109" s="1503">
        <f t="shared" si="95"/>
        <v>0.4</v>
      </c>
      <c r="AB109" s="1503">
        <f t="shared" si="96"/>
        <v>0.3</v>
      </c>
      <c r="AC109" s="1558">
        <f t="shared" si="97"/>
        <v>0</v>
      </c>
      <c r="AD109" s="1503">
        <f t="shared" si="98"/>
        <v>0</v>
      </c>
      <c r="AE109" s="1503">
        <f t="shared" si="99"/>
        <v>0</v>
      </c>
      <c r="AF109"/>
      <c r="AG109" s="1497" t="s">
        <v>1394</v>
      </c>
      <c r="AH109" s="1959" t="s">
        <v>229</v>
      </c>
      <c r="AI109" s="1958" t="s">
        <v>1396</v>
      </c>
      <c r="AJ109" s="1503">
        <v>0.3</v>
      </c>
      <c r="AK109" s="1503">
        <v>0.3</v>
      </c>
      <c r="AL109" s="1503">
        <v>0.3</v>
      </c>
      <c r="AM109" s="1503">
        <v>0.3</v>
      </c>
      <c r="AN109" s="1503">
        <v>0.3</v>
      </c>
      <c r="AO109" s="1503">
        <v>0.3</v>
      </c>
      <c r="AP109" s="1503">
        <v>0.3</v>
      </c>
      <c r="AQ109" s="1503">
        <v>0.3</v>
      </c>
      <c r="AR109" s="1503">
        <v>0.4</v>
      </c>
      <c r="AS109" s="1960">
        <v>0.3</v>
      </c>
      <c r="AT109" s="1961">
        <v>0</v>
      </c>
      <c r="AU109" s="1960">
        <v>0</v>
      </c>
      <c r="AV109" s="1960">
        <v>0</v>
      </c>
      <c r="AW109"/>
      <c r="AX109" s="1497" t="s">
        <v>1395</v>
      </c>
      <c r="AY109" s="1959" t="s">
        <v>229</v>
      </c>
      <c r="AZ109" s="1958" t="s">
        <v>1397</v>
      </c>
      <c r="BA109" s="1960">
        <v>0.3</v>
      </c>
      <c r="BB109" s="1960">
        <v>0.3</v>
      </c>
      <c r="BC109" s="1960">
        <v>0.3</v>
      </c>
      <c r="BD109" s="1960">
        <v>0.3</v>
      </c>
      <c r="BE109" s="1960">
        <v>0.3</v>
      </c>
      <c r="BF109" s="1960">
        <v>0.3</v>
      </c>
      <c r="BG109" s="1960">
        <v>0.3</v>
      </c>
      <c r="BH109" s="1960">
        <v>0.3</v>
      </c>
      <c r="BI109" s="1960">
        <v>0.4</v>
      </c>
      <c r="BJ109" s="1960">
        <v>0.3</v>
      </c>
      <c r="BK109" s="1961"/>
      <c r="BL109" s="1960"/>
      <c r="BM109" s="1960"/>
      <c r="BN109"/>
      <c r="BO109" s="1497" t="s">
        <v>1395</v>
      </c>
      <c r="BP109" s="1959" t="s">
        <v>229</v>
      </c>
      <c r="BQ109" s="1958" t="s">
        <v>1397</v>
      </c>
      <c r="BR109" s="1960">
        <v>0.3</v>
      </c>
      <c r="BS109" s="1960">
        <v>0.3</v>
      </c>
      <c r="BT109" s="1960">
        <v>0.3</v>
      </c>
      <c r="BU109" s="1960">
        <v>0.3</v>
      </c>
      <c r="BV109" s="1960">
        <v>0.3</v>
      </c>
      <c r="BW109" s="1960">
        <v>0.3</v>
      </c>
      <c r="BX109" s="1960">
        <v>0.3</v>
      </c>
      <c r="BY109" s="1960">
        <v>0.3</v>
      </c>
      <c r="BZ109" s="1960">
        <v>0.4</v>
      </c>
      <c r="CA109" s="1960">
        <v>0.3</v>
      </c>
      <c r="CB109" s="1961"/>
      <c r="CC109" s="1960"/>
      <c r="CD109" s="1960"/>
      <c r="CE109"/>
    </row>
    <row r="110" spans="1:83" s="1505" customFormat="1">
      <c r="A110"/>
      <c r="B110" s="1497">
        <f t="shared" si="100"/>
        <v>1</v>
      </c>
      <c r="C110" s="1528" t="str">
        <f t="shared" si="82"/>
        <v>生物資源の保全と創出</v>
      </c>
      <c r="D110" s="1962">
        <f t="shared" ref="D110:E112" si="101">IF(I$109=0,0,G110/I$109)</f>
        <v>0.3</v>
      </c>
      <c r="E110" s="1643">
        <f t="shared" si="101"/>
        <v>0</v>
      </c>
      <c r="F110"/>
      <c r="G110" s="1643">
        <f t="shared" si="83"/>
        <v>0.3</v>
      </c>
      <c r="H110" s="1643">
        <f t="shared" si="84"/>
        <v>0</v>
      </c>
      <c r="I110" s="1643"/>
      <c r="J110" s="1643"/>
      <c r="K110" s="1643">
        <f>IF(スコア表示!W110=0,0,1)</f>
        <v>1</v>
      </c>
      <c r="L110" s="1643">
        <f>IF(スコア表示!AA110=0,0,1)</f>
        <v>0</v>
      </c>
      <c r="M110" s="1643">
        <f t="shared" si="85"/>
        <v>0.3</v>
      </c>
      <c r="N110" s="1643">
        <f t="shared" si="80"/>
        <v>0</v>
      </c>
      <c r="O110"/>
      <c r="P110" s="1541">
        <f t="shared" si="76"/>
        <v>1</v>
      </c>
      <c r="Q110" s="1541" t="str">
        <f t="shared" si="77"/>
        <v xml:space="preserve"> Q3</v>
      </c>
      <c r="R110" s="1680" t="str">
        <f t="shared" si="86"/>
        <v>生物資源の保全と創出</v>
      </c>
      <c r="S110" s="1510">
        <f t="shared" si="87"/>
        <v>0.3</v>
      </c>
      <c r="T110" s="1510">
        <f t="shared" si="88"/>
        <v>0.3</v>
      </c>
      <c r="U110" s="1510">
        <f t="shared" si="89"/>
        <v>0.3</v>
      </c>
      <c r="V110" s="1510">
        <f t="shared" si="90"/>
        <v>0.3</v>
      </c>
      <c r="W110" s="1510">
        <f t="shared" si="91"/>
        <v>0.3</v>
      </c>
      <c r="X110" s="1510">
        <f t="shared" si="92"/>
        <v>0.3</v>
      </c>
      <c r="Y110" s="1510">
        <f t="shared" si="93"/>
        <v>0.3</v>
      </c>
      <c r="Z110" s="1546">
        <f t="shared" si="94"/>
        <v>0.3</v>
      </c>
      <c r="AA110" s="1510">
        <f t="shared" si="95"/>
        <v>0.3</v>
      </c>
      <c r="AB110" s="1510">
        <f t="shared" si="96"/>
        <v>0.3</v>
      </c>
      <c r="AC110" s="1559">
        <f t="shared" si="97"/>
        <v>0</v>
      </c>
      <c r="AD110" s="1510">
        <f t="shared" si="98"/>
        <v>0</v>
      </c>
      <c r="AE110" s="1510">
        <f t="shared" si="99"/>
        <v>0</v>
      </c>
      <c r="AF110"/>
      <c r="AG110" s="1541">
        <v>1</v>
      </c>
      <c r="AH110" s="1644" t="s">
        <v>319</v>
      </c>
      <c r="AI110" s="1687" t="s">
        <v>846</v>
      </c>
      <c r="AJ110" s="1510">
        <v>0.3</v>
      </c>
      <c r="AK110" s="1510">
        <v>0.3</v>
      </c>
      <c r="AL110" s="1510">
        <v>0.3</v>
      </c>
      <c r="AM110" s="1510">
        <v>0.3</v>
      </c>
      <c r="AN110" s="1510">
        <v>0.3</v>
      </c>
      <c r="AO110" s="1510">
        <v>0.3</v>
      </c>
      <c r="AP110" s="1510">
        <v>0.3</v>
      </c>
      <c r="AQ110" s="1546">
        <v>0.3</v>
      </c>
      <c r="AR110" s="1510">
        <v>0.3</v>
      </c>
      <c r="AS110" s="1611">
        <v>0.3</v>
      </c>
      <c r="AT110" s="1963">
        <v>0</v>
      </c>
      <c r="AU110" s="1611">
        <v>0</v>
      </c>
      <c r="AV110" s="1611">
        <v>0</v>
      </c>
      <c r="AW110"/>
      <c r="AX110" s="1541">
        <v>1</v>
      </c>
      <c r="AY110" s="1644" t="s">
        <v>319</v>
      </c>
      <c r="AZ110" s="1687" t="s">
        <v>846</v>
      </c>
      <c r="BA110" s="1611">
        <v>0.3</v>
      </c>
      <c r="BB110" s="1611">
        <v>0.3</v>
      </c>
      <c r="BC110" s="1611">
        <v>0.3</v>
      </c>
      <c r="BD110" s="1611">
        <v>0.3</v>
      </c>
      <c r="BE110" s="1611">
        <v>0.3</v>
      </c>
      <c r="BF110" s="1611">
        <v>0.3</v>
      </c>
      <c r="BG110" s="1611">
        <v>0.3</v>
      </c>
      <c r="BH110" s="1983">
        <v>0.3</v>
      </c>
      <c r="BI110" s="1611">
        <v>0.3</v>
      </c>
      <c r="BJ110" s="1611">
        <v>0.3</v>
      </c>
      <c r="BK110" s="1963"/>
      <c r="BL110" s="1611"/>
      <c r="BM110" s="1611"/>
      <c r="BN110"/>
      <c r="BO110" s="1541">
        <v>1</v>
      </c>
      <c r="BP110" s="1644" t="s">
        <v>319</v>
      </c>
      <c r="BQ110" s="1687" t="s">
        <v>846</v>
      </c>
      <c r="BR110" s="1611">
        <v>0.3</v>
      </c>
      <c r="BS110" s="1611">
        <v>0.3</v>
      </c>
      <c r="BT110" s="1611">
        <v>0.3</v>
      </c>
      <c r="BU110" s="1611">
        <v>0.3</v>
      </c>
      <c r="BV110" s="1611">
        <v>0.3</v>
      </c>
      <c r="BW110" s="1611">
        <v>0.3</v>
      </c>
      <c r="BX110" s="1611">
        <v>0.3</v>
      </c>
      <c r="BY110" s="1983">
        <v>0.3</v>
      </c>
      <c r="BZ110" s="1611">
        <v>0.3</v>
      </c>
      <c r="CA110" s="1611">
        <v>0.3</v>
      </c>
      <c r="CB110" s="1963"/>
      <c r="CC110" s="1611"/>
      <c r="CD110" s="1611"/>
      <c r="CE110"/>
    </row>
    <row r="111" spans="1:83" s="1505" customFormat="1">
      <c r="A111"/>
      <c r="B111" s="1497">
        <f t="shared" si="100"/>
        <v>2</v>
      </c>
      <c r="C111" s="1528" t="str">
        <f t="shared" si="82"/>
        <v>まちなみ・景観への配慮</v>
      </c>
      <c r="D111" s="1962">
        <f t="shared" si="101"/>
        <v>0.40000000000000008</v>
      </c>
      <c r="E111" s="1643">
        <f t="shared" si="101"/>
        <v>0</v>
      </c>
      <c r="F111"/>
      <c r="G111" s="1643">
        <f t="shared" si="83"/>
        <v>0.40000000000000008</v>
      </c>
      <c r="H111" s="1643">
        <f t="shared" si="84"/>
        <v>0</v>
      </c>
      <c r="I111" s="1643"/>
      <c r="J111" s="1643"/>
      <c r="K111" s="1643">
        <f>IF(スコア表示!W111=0,0,1)</f>
        <v>1</v>
      </c>
      <c r="L111" s="1643">
        <f>IF(スコア表示!AA111=0,0,1)</f>
        <v>0</v>
      </c>
      <c r="M111" s="1643">
        <f t="shared" si="85"/>
        <v>0.40000000000000008</v>
      </c>
      <c r="N111" s="1643">
        <f t="shared" si="80"/>
        <v>0</v>
      </c>
      <c r="O111"/>
      <c r="P111" s="1541">
        <f t="shared" si="76"/>
        <v>2</v>
      </c>
      <c r="Q111" s="1541" t="str">
        <f t="shared" si="77"/>
        <v xml:space="preserve"> Q3</v>
      </c>
      <c r="R111" s="1680" t="str">
        <f t="shared" si="86"/>
        <v>まちなみ・景観への配慮</v>
      </c>
      <c r="S111" s="1510">
        <f t="shared" si="87"/>
        <v>0.4</v>
      </c>
      <c r="T111" s="1510">
        <f t="shared" si="88"/>
        <v>0.4</v>
      </c>
      <c r="U111" s="1510">
        <f t="shared" si="89"/>
        <v>0.4</v>
      </c>
      <c r="V111" s="1510">
        <f t="shared" si="90"/>
        <v>0.4</v>
      </c>
      <c r="W111" s="1510">
        <f t="shared" si="91"/>
        <v>0.4</v>
      </c>
      <c r="X111" s="1510">
        <f t="shared" si="92"/>
        <v>0.4</v>
      </c>
      <c r="Y111" s="1510">
        <f t="shared" si="93"/>
        <v>0.4</v>
      </c>
      <c r="Z111" s="1546">
        <f t="shared" si="94"/>
        <v>0.4</v>
      </c>
      <c r="AA111" s="1510">
        <f t="shared" si="95"/>
        <v>0.4</v>
      </c>
      <c r="AB111" s="1510">
        <f t="shared" si="96"/>
        <v>0.4</v>
      </c>
      <c r="AC111" s="1559">
        <f t="shared" si="97"/>
        <v>0</v>
      </c>
      <c r="AD111" s="1510">
        <f t="shared" si="98"/>
        <v>0</v>
      </c>
      <c r="AE111" s="1510">
        <f t="shared" si="99"/>
        <v>0</v>
      </c>
      <c r="AF111"/>
      <c r="AG111" s="1541">
        <v>2</v>
      </c>
      <c r="AH111" s="1644" t="s">
        <v>319</v>
      </c>
      <c r="AI111" s="1687" t="s">
        <v>1398</v>
      </c>
      <c r="AJ111" s="1510">
        <v>0.4</v>
      </c>
      <c r="AK111" s="1510">
        <v>0.4</v>
      </c>
      <c r="AL111" s="1510">
        <v>0.4</v>
      </c>
      <c r="AM111" s="1510">
        <v>0.4</v>
      </c>
      <c r="AN111" s="1510">
        <v>0.4</v>
      </c>
      <c r="AO111" s="1510">
        <v>0.4</v>
      </c>
      <c r="AP111" s="1510">
        <v>0.4</v>
      </c>
      <c r="AQ111" s="1546">
        <v>0.4</v>
      </c>
      <c r="AR111" s="1510">
        <v>0.4</v>
      </c>
      <c r="AS111" s="1611">
        <v>0.4</v>
      </c>
      <c r="AT111" s="1963">
        <v>0</v>
      </c>
      <c r="AU111" s="1611">
        <v>0</v>
      </c>
      <c r="AV111" s="1611">
        <v>0</v>
      </c>
      <c r="AW111"/>
      <c r="AX111" s="1541">
        <v>2</v>
      </c>
      <c r="AY111" s="1644" t="s">
        <v>319</v>
      </c>
      <c r="AZ111" s="1687" t="s">
        <v>1399</v>
      </c>
      <c r="BA111" s="1611">
        <v>0.4</v>
      </c>
      <c r="BB111" s="1611">
        <v>0.4</v>
      </c>
      <c r="BC111" s="1611">
        <v>0.4</v>
      </c>
      <c r="BD111" s="1611">
        <v>0.4</v>
      </c>
      <c r="BE111" s="1611">
        <v>0.4</v>
      </c>
      <c r="BF111" s="1611">
        <v>0.4</v>
      </c>
      <c r="BG111" s="1611">
        <v>0.4</v>
      </c>
      <c r="BH111" s="1983">
        <v>0.4</v>
      </c>
      <c r="BI111" s="1611">
        <v>0.4</v>
      </c>
      <c r="BJ111" s="1611">
        <v>0.4</v>
      </c>
      <c r="BK111" s="1963"/>
      <c r="BL111" s="1611"/>
      <c r="BM111" s="1611"/>
      <c r="BN111"/>
      <c r="BO111" s="1541">
        <v>2</v>
      </c>
      <c r="BP111" s="1644" t="s">
        <v>319</v>
      </c>
      <c r="BQ111" s="1687" t="s">
        <v>1399</v>
      </c>
      <c r="BR111" s="1611">
        <v>0.4</v>
      </c>
      <c r="BS111" s="1611">
        <v>0.4</v>
      </c>
      <c r="BT111" s="1611">
        <v>0.4</v>
      </c>
      <c r="BU111" s="1611">
        <v>0.4</v>
      </c>
      <c r="BV111" s="1611">
        <v>0.4</v>
      </c>
      <c r="BW111" s="1611">
        <v>0.4</v>
      </c>
      <c r="BX111" s="1611">
        <v>0.4</v>
      </c>
      <c r="BY111" s="1983">
        <v>0.4</v>
      </c>
      <c r="BZ111" s="1611">
        <v>0.4</v>
      </c>
      <c r="CA111" s="1611">
        <v>0.4</v>
      </c>
      <c r="CB111" s="1963"/>
      <c r="CC111" s="1611"/>
      <c r="CD111" s="1611"/>
      <c r="CE111"/>
    </row>
    <row r="112" spans="1:83" s="1505" customFormat="1">
      <c r="A112"/>
      <c r="B112" s="1497">
        <f t="shared" si="100"/>
        <v>3</v>
      </c>
      <c r="C112" s="1528" t="str">
        <f t="shared" si="82"/>
        <v>地域性・アメニティへの配慮</v>
      </c>
      <c r="D112" s="1962">
        <f t="shared" si="101"/>
        <v>0.3</v>
      </c>
      <c r="E112" s="1643">
        <f t="shared" si="101"/>
        <v>0</v>
      </c>
      <c r="F112"/>
      <c r="G112" s="1643">
        <f t="shared" si="83"/>
        <v>0.3</v>
      </c>
      <c r="H112" s="1643">
        <f t="shared" si="84"/>
        <v>0</v>
      </c>
      <c r="I112" s="1625">
        <f>SUM(G113:G114)</f>
        <v>1.0000000000000002</v>
      </c>
      <c r="J112" s="1625">
        <f>SUM(H113:H114)</f>
        <v>0</v>
      </c>
      <c r="K112" s="1643">
        <f>IF(スコア表示!W112=0,0,1)</f>
        <v>1</v>
      </c>
      <c r="L112" s="1643">
        <f>IF(スコア表示!AA112=0,0,1)</f>
        <v>0</v>
      </c>
      <c r="M112" s="1643">
        <f t="shared" si="85"/>
        <v>0.3</v>
      </c>
      <c r="N112" s="1643">
        <f t="shared" si="80"/>
        <v>0</v>
      </c>
      <c r="O112"/>
      <c r="P112" s="1541">
        <f t="shared" si="76"/>
        <v>3</v>
      </c>
      <c r="Q112" s="1541" t="str">
        <f t="shared" si="77"/>
        <v xml:space="preserve"> Q3</v>
      </c>
      <c r="R112" s="1680" t="str">
        <f t="shared" si="86"/>
        <v>地域性・アメニティへの配慮</v>
      </c>
      <c r="S112" s="1510">
        <f t="shared" si="87"/>
        <v>0.3</v>
      </c>
      <c r="T112" s="1510">
        <f t="shared" si="88"/>
        <v>0.3</v>
      </c>
      <c r="U112" s="1510">
        <f t="shared" si="89"/>
        <v>0.3</v>
      </c>
      <c r="V112" s="1510">
        <f t="shared" si="90"/>
        <v>0.3</v>
      </c>
      <c r="W112" s="1510">
        <f t="shared" si="91"/>
        <v>0.3</v>
      </c>
      <c r="X112" s="1510">
        <f t="shared" si="92"/>
        <v>0.3</v>
      </c>
      <c r="Y112" s="1510">
        <f t="shared" si="93"/>
        <v>0.3</v>
      </c>
      <c r="Z112" s="1546">
        <f t="shared" si="94"/>
        <v>0.3</v>
      </c>
      <c r="AA112" s="1510">
        <f t="shared" si="95"/>
        <v>0.3</v>
      </c>
      <c r="AB112" s="1510">
        <f t="shared" si="96"/>
        <v>0.3</v>
      </c>
      <c r="AC112" s="1559">
        <f t="shared" si="97"/>
        <v>0</v>
      </c>
      <c r="AD112" s="1510">
        <f t="shared" si="98"/>
        <v>0</v>
      </c>
      <c r="AE112" s="1510">
        <f t="shared" si="99"/>
        <v>0</v>
      </c>
      <c r="AF112"/>
      <c r="AG112" s="1541">
        <v>3</v>
      </c>
      <c r="AH112" s="1644" t="s">
        <v>319</v>
      </c>
      <c r="AI112" s="1687" t="s">
        <v>1558</v>
      </c>
      <c r="AJ112" s="1510">
        <v>0.3</v>
      </c>
      <c r="AK112" s="1510">
        <v>0.3</v>
      </c>
      <c r="AL112" s="1510">
        <v>0.3</v>
      </c>
      <c r="AM112" s="1510">
        <v>0.3</v>
      </c>
      <c r="AN112" s="1510">
        <v>0.3</v>
      </c>
      <c r="AO112" s="1510">
        <v>0.3</v>
      </c>
      <c r="AP112" s="1510">
        <v>0.3</v>
      </c>
      <c r="AQ112" s="1546">
        <v>0.3</v>
      </c>
      <c r="AR112" s="1510">
        <v>0.3</v>
      </c>
      <c r="AS112" s="1611">
        <v>0.3</v>
      </c>
      <c r="AT112" s="1963">
        <v>0</v>
      </c>
      <c r="AU112" s="1611">
        <v>0</v>
      </c>
      <c r="AV112" s="1611">
        <v>0</v>
      </c>
      <c r="AW112"/>
      <c r="AX112" s="1541">
        <v>3</v>
      </c>
      <c r="AY112" s="1644" t="s">
        <v>319</v>
      </c>
      <c r="AZ112" s="1687" t="s">
        <v>1400</v>
      </c>
      <c r="BA112" s="1611">
        <v>0.3</v>
      </c>
      <c r="BB112" s="1611">
        <v>0.3</v>
      </c>
      <c r="BC112" s="1611">
        <v>0.3</v>
      </c>
      <c r="BD112" s="1611">
        <v>0.3</v>
      </c>
      <c r="BE112" s="1611">
        <v>0.3</v>
      </c>
      <c r="BF112" s="1611">
        <v>0.3</v>
      </c>
      <c r="BG112" s="1611">
        <v>0.3</v>
      </c>
      <c r="BH112" s="1983">
        <v>0.3</v>
      </c>
      <c r="BI112" s="1611">
        <v>0.3</v>
      </c>
      <c r="BJ112" s="1611">
        <v>0.3</v>
      </c>
      <c r="BK112" s="1963"/>
      <c r="BL112" s="1611"/>
      <c r="BM112" s="1611"/>
      <c r="BN112"/>
      <c r="BO112" s="1541">
        <v>3</v>
      </c>
      <c r="BP112" s="1644" t="s">
        <v>319</v>
      </c>
      <c r="BQ112" s="1687" t="s">
        <v>1400</v>
      </c>
      <c r="BR112" s="1611">
        <v>0.3</v>
      </c>
      <c r="BS112" s="1611">
        <v>0.3</v>
      </c>
      <c r="BT112" s="1611">
        <v>0.3</v>
      </c>
      <c r="BU112" s="1611">
        <v>0.3</v>
      </c>
      <c r="BV112" s="1611">
        <v>0.3</v>
      </c>
      <c r="BW112" s="1611">
        <v>0.3</v>
      </c>
      <c r="BX112" s="1611">
        <v>0.3</v>
      </c>
      <c r="BY112" s="1983">
        <v>0.3</v>
      </c>
      <c r="BZ112" s="1611">
        <v>0.3</v>
      </c>
      <c r="CA112" s="1611">
        <v>0.3</v>
      </c>
      <c r="CB112" s="1963"/>
      <c r="CC112" s="1611"/>
      <c r="CD112" s="1611"/>
      <c r="CE112"/>
    </row>
    <row r="113" spans="1:83" s="1505" customFormat="1">
      <c r="A113"/>
      <c r="B113" s="1497" t="str">
        <f t="shared" si="100"/>
        <v>3.1</v>
      </c>
      <c r="C113" s="1560" t="str">
        <f t="shared" si="82"/>
        <v>地域性への配慮、快適性の向上</v>
      </c>
      <c r="D113" s="1616">
        <f>IF(I$112=0,0,G113/I$112)</f>
        <v>0.5</v>
      </c>
      <c r="E113" s="1591">
        <f>IF(J$112=0,0,H113/J$112)</f>
        <v>0</v>
      </c>
      <c r="F113"/>
      <c r="G113" s="1591">
        <f t="shared" si="83"/>
        <v>0.50000000000000011</v>
      </c>
      <c r="H113" s="1591">
        <f t="shared" si="84"/>
        <v>0</v>
      </c>
      <c r="I113" s="522"/>
      <c r="J113" s="1591"/>
      <c r="K113" s="1591">
        <f>IF(スコア表示!W113=0,0,1)</f>
        <v>1</v>
      </c>
      <c r="L113" s="1591">
        <f>IF(スコア表示!AA113=0,0,1)</f>
        <v>0</v>
      </c>
      <c r="M113" s="1591">
        <f t="shared" si="85"/>
        <v>0.50000000000000011</v>
      </c>
      <c r="N113" s="1591">
        <f t="shared" si="80"/>
        <v>0</v>
      </c>
      <c r="O113"/>
      <c r="P113" s="1547" t="str">
        <f t="shared" si="76"/>
        <v>3.1</v>
      </c>
      <c r="Q113" s="1547" t="str">
        <f t="shared" si="77"/>
        <v xml:space="preserve"> Q3 3</v>
      </c>
      <c r="R113" s="1637" t="str">
        <f t="shared" si="86"/>
        <v>地域性への配慮、快適性の向上</v>
      </c>
      <c r="S113" s="1561">
        <f t="shared" si="87"/>
        <v>0.5</v>
      </c>
      <c r="T113" s="1561">
        <f t="shared" si="88"/>
        <v>0.5</v>
      </c>
      <c r="U113" s="1561">
        <f t="shared" si="89"/>
        <v>0.5</v>
      </c>
      <c r="V113" s="1561">
        <f t="shared" si="90"/>
        <v>0.5</v>
      </c>
      <c r="W113" s="1561">
        <f t="shared" si="91"/>
        <v>0.5</v>
      </c>
      <c r="X113" s="1561">
        <f t="shared" si="92"/>
        <v>0.5</v>
      </c>
      <c r="Y113" s="1561">
        <f t="shared" si="93"/>
        <v>0.5</v>
      </c>
      <c r="Z113" s="1561">
        <f t="shared" si="94"/>
        <v>0.5</v>
      </c>
      <c r="AA113" s="1561">
        <f t="shared" si="95"/>
        <v>0.5</v>
      </c>
      <c r="AB113" s="1561">
        <f t="shared" si="96"/>
        <v>0.5</v>
      </c>
      <c r="AC113" s="1562">
        <f t="shared" si="97"/>
        <v>0</v>
      </c>
      <c r="AD113" s="1561">
        <f t="shared" si="98"/>
        <v>0</v>
      </c>
      <c r="AE113" s="1561">
        <f t="shared" si="99"/>
        <v>0</v>
      </c>
      <c r="AF113"/>
      <c r="AG113" s="1547" t="s">
        <v>1401</v>
      </c>
      <c r="AH113" s="1593" t="s">
        <v>320</v>
      </c>
      <c r="AI113" s="1986" t="s">
        <v>1403</v>
      </c>
      <c r="AJ113" s="1561">
        <v>0.5</v>
      </c>
      <c r="AK113" s="1561">
        <v>0.5</v>
      </c>
      <c r="AL113" s="1561">
        <v>0.5</v>
      </c>
      <c r="AM113" s="1561">
        <v>0.5</v>
      </c>
      <c r="AN113" s="1561">
        <v>0.5</v>
      </c>
      <c r="AO113" s="1561">
        <v>0.5</v>
      </c>
      <c r="AP113" s="1561">
        <v>0.5</v>
      </c>
      <c r="AQ113" s="1561">
        <v>0.5</v>
      </c>
      <c r="AR113" s="1561">
        <v>0.5</v>
      </c>
      <c r="AS113" s="1987">
        <v>0.5</v>
      </c>
      <c r="AT113" s="1988">
        <v>0</v>
      </c>
      <c r="AU113" s="1987">
        <v>0</v>
      </c>
      <c r="AV113" s="1987">
        <v>0</v>
      </c>
      <c r="AW113"/>
      <c r="AX113" s="1547" t="s">
        <v>1402</v>
      </c>
      <c r="AY113" s="1593" t="s">
        <v>320</v>
      </c>
      <c r="AZ113" s="1986" t="s">
        <v>1404</v>
      </c>
      <c r="BA113" s="1987">
        <v>0.5</v>
      </c>
      <c r="BB113" s="1987">
        <v>0.5</v>
      </c>
      <c r="BC113" s="1987">
        <v>0.5</v>
      </c>
      <c r="BD113" s="1987">
        <v>0.5</v>
      </c>
      <c r="BE113" s="1987">
        <v>0.5</v>
      </c>
      <c r="BF113" s="1987">
        <v>0.5</v>
      </c>
      <c r="BG113" s="1987">
        <v>0.5</v>
      </c>
      <c r="BH113" s="1987">
        <v>0.5</v>
      </c>
      <c r="BI113" s="1987">
        <v>0.5</v>
      </c>
      <c r="BJ113" s="1987">
        <v>0.5</v>
      </c>
      <c r="BK113" s="1988"/>
      <c r="BL113" s="1987"/>
      <c r="BM113" s="1987"/>
      <c r="BN113"/>
      <c r="BO113" s="1547" t="s">
        <v>1402</v>
      </c>
      <c r="BP113" s="1593" t="s">
        <v>320</v>
      </c>
      <c r="BQ113" s="1986" t="s">
        <v>1404</v>
      </c>
      <c r="BR113" s="1987">
        <v>0.5</v>
      </c>
      <c r="BS113" s="1987">
        <v>0.5</v>
      </c>
      <c r="BT113" s="1987">
        <v>0.5</v>
      </c>
      <c r="BU113" s="1987">
        <v>0.5</v>
      </c>
      <c r="BV113" s="1987">
        <v>0.5</v>
      </c>
      <c r="BW113" s="1987">
        <v>0.5</v>
      </c>
      <c r="BX113" s="1987">
        <v>0.5</v>
      </c>
      <c r="BY113" s="1987">
        <v>0.5</v>
      </c>
      <c r="BZ113" s="1987">
        <v>0.5</v>
      </c>
      <c r="CA113" s="1987">
        <v>0.5</v>
      </c>
      <c r="CB113" s="1988"/>
      <c r="CC113" s="1987"/>
      <c r="CD113" s="1987"/>
      <c r="CE113"/>
    </row>
    <row r="114" spans="1:83" s="1505" customFormat="1">
      <c r="A114"/>
      <c r="B114" s="1497" t="str">
        <f t="shared" si="100"/>
        <v>3.2</v>
      </c>
      <c r="C114" s="1560" t="str">
        <f t="shared" si="82"/>
        <v>敷地内温熱環境の向上</v>
      </c>
      <c r="D114" s="1616">
        <f>IF(I$112=0,0,G114/I$112)</f>
        <v>0.5</v>
      </c>
      <c r="E114" s="1591">
        <f>IF(J$112=0,0,H114/J$112)</f>
        <v>0</v>
      </c>
      <c r="F114"/>
      <c r="G114" s="1591">
        <f t="shared" si="83"/>
        <v>0.50000000000000011</v>
      </c>
      <c r="H114" s="1591">
        <f t="shared" si="84"/>
        <v>0</v>
      </c>
      <c r="I114" s="522"/>
      <c r="J114" s="1591"/>
      <c r="K114" s="1591">
        <f>IF(スコア表示!W114=0,0,1)</f>
        <v>1</v>
      </c>
      <c r="L114" s="1591">
        <f>IF(スコア表示!AA114=0,0,1)</f>
        <v>0</v>
      </c>
      <c r="M114" s="1591">
        <f t="shared" si="85"/>
        <v>0.50000000000000011</v>
      </c>
      <c r="N114" s="1591">
        <f t="shared" si="80"/>
        <v>0</v>
      </c>
      <c r="O114"/>
      <c r="P114" s="1547" t="str">
        <f t="shared" si="76"/>
        <v>3.2</v>
      </c>
      <c r="Q114" s="1547" t="str">
        <f t="shared" si="77"/>
        <v xml:space="preserve"> Q3 3</v>
      </c>
      <c r="R114" s="1637" t="str">
        <f t="shared" si="86"/>
        <v>敷地内温熱環境の向上</v>
      </c>
      <c r="S114" s="1561">
        <f t="shared" si="87"/>
        <v>0.5</v>
      </c>
      <c r="T114" s="1561">
        <f t="shared" si="88"/>
        <v>0.5</v>
      </c>
      <c r="U114" s="1561">
        <f t="shared" si="89"/>
        <v>0.5</v>
      </c>
      <c r="V114" s="1561">
        <f t="shared" si="90"/>
        <v>0.5</v>
      </c>
      <c r="W114" s="1561">
        <f t="shared" si="91"/>
        <v>0.5</v>
      </c>
      <c r="X114" s="1561">
        <f t="shared" si="92"/>
        <v>0.5</v>
      </c>
      <c r="Y114" s="1561">
        <f t="shared" si="93"/>
        <v>0.5</v>
      </c>
      <c r="Z114" s="1561">
        <f t="shared" si="94"/>
        <v>0.5</v>
      </c>
      <c r="AA114" s="1561">
        <f t="shared" si="95"/>
        <v>0.5</v>
      </c>
      <c r="AB114" s="1561">
        <f t="shared" si="96"/>
        <v>0.5</v>
      </c>
      <c r="AC114" s="1562">
        <f t="shared" si="97"/>
        <v>0</v>
      </c>
      <c r="AD114" s="1561">
        <f t="shared" si="98"/>
        <v>0</v>
      </c>
      <c r="AE114" s="1561">
        <f t="shared" si="99"/>
        <v>0</v>
      </c>
      <c r="AF114"/>
      <c r="AG114" s="1547" t="s">
        <v>1405</v>
      </c>
      <c r="AH114" s="1593" t="s">
        <v>320</v>
      </c>
      <c r="AI114" s="1986" t="s">
        <v>1407</v>
      </c>
      <c r="AJ114" s="1561">
        <v>0.5</v>
      </c>
      <c r="AK114" s="1561">
        <v>0.5</v>
      </c>
      <c r="AL114" s="1561">
        <v>0.5</v>
      </c>
      <c r="AM114" s="1561">
        <v>0.5</v>
      </c>
      <c r="AN114" s="1561">
        <v>0.5</v>
      </c>
      <c r="AO114" s="1561">
        <v>0.5</v>
      </c>
      <c r="AP114" s="1561">
        <v>0.5</v>
      </c>
      <c r="AQ114" s="1561">
        <v>0.5</v>
      </c>
      <c r="AR114" s="1561">
        <v>0.5</v>
      </c>
      <c r="AS114" s="1987">
        <v>0.5</v>
      </c>
      <c r="AT114" s="1988">
        <v>0</v>
      </c>
      <c r="AU114" s="1987">
        <v>0</v>
      </c>
      <c r="AV114" s="1987">
        <v>0</v>
      </c>
      <c r="AW114"/>
      <c r="AX114" s="1547" t="s">
        <v>1406</v>
      </c>
      <c r="AY114" s="1593" t="s">
        <v>320</v>
      </c>
      <c r="AZ114" s="1986" t="s">
        <v>1408</v>
      </c>
      <c r="BA114" s="1987">
        <v>0.5</v>
      </c>
      <c r="BB114" s="1987">
        <v>0.5</v>
      </c>
      <c r="BC114" s="1987">
        <v>0.5</v>
      </c>
      <c r="BD114" s="1987">
        <v>0.5</v>
      </c>
      <c r="BE114" s="1987">
        <v>0.5</v>
      </c>
      <c r="BF114" s="1987">
        <v>0.5</v>
      </c>
      <c r="BG114" s="1987">
        <v>0.5</v>
      </c>
      <c r="BH114" s="1987">
        <v>0.5</v>
      </c>
      <c r="BI114" s="1987">
        <v>0.5</v>
      </c>
      <c r="BJ114" s="1987">
        <v>0.5</v>
      </c>
      <c r="BK114" s="1988"/>
      <c r="BL114" s="1987"/>
      <c r="BM114" s="1987"/>
      <c r="BN114"/>
      <c r="BO114" s="1547" t="s">
        <v>1406</v>
      </c>
      <c r="BP114" s="1593" t="s">
        <v>320</v>
      </c>
      <c r="BQ114" s="1986" t="s">
        <v>1408</v>
      </c>
      <c r="BR114" s="1987">
        <v>0.5</v>
      </c>
      <c r="BS114" s="1987">
        <v>0.5</v>
      </c>
      <c r="BT114" s="1987">
        <v>0.5</v>
      </c>
      <c r="BU114" s="1987">
        <v>0.5</v>
      </c>
      <c r="BV114" s="1987">
        <v>0.5</v>
      </c>
      <c r="BW114" s="1987">
        <v>0.5</v>
      </c>
      <c r="BX114" s="1987">
        <v>0.5</v>
      </c>
      <c r="BY114" s="1987">
        <v>0.5</v>
      </c>
      <c r="BZ114" s="1987">
        <v>0.5</v>
      </c>
      <c r="CA114" s="1987">
        <v>0.5</v>
      </c>
      <c r="CB114" s="1988"/>
      <c r="CC114" s="1987"/>
      <c r="CD114" s="1987"/>
      <c r="CE114"/>
    </row>
    <row r="115" spans="1:83" s="1505" customFormat="1" hidden="1">
      <c r="A115"/>
      <c r="B115" s="1497">
        <f t="shared" si="100"/>
        <v>0</v>
      </c>
      <c r="C115" s="1564">
        <f t="shared" si="82"/>
        <v>0</v>
      </c>
      <c r="D115" s="1962"/>
      <c r="E115" s="1643"/>
      <c r="F115"/>
      <c r="G115" s="1643">
        <f t="shared" si="83"/>
        <v>0</v>
      </c>
      <c r="H115" s="1643">
        <f t="shared" si="84"/>
        <v>0</v>
      </c>
      <c r="I115" s="1643"/>
      <c r="J115" s="1643"/>
      <c r="K115" s="1643">
        <f>IF(スコア表示!W115=0,0,1)</f>
        <v>0</v>
      </c>
      <c r="L115" s="1643">
        <f>IF(スコア表示!AA115=0,0,1)</f>
        <v>0</v>
      </c>
      <c r="M115" s="1643">
        <f t="shared" si="85"/>
        <v>0</v>
      </c>
      <c r="N115" s="1643"/>
      <c r="O115"/>
      <c r="P115" s="1541">
        <f t="shared" si="76"/>
        <v>0</v>
      </c>
      <c r="Q115" s="1541" t="str">
        <f t="shared" si="77"/>
        <v xml:space="preserve"> Q</v>
      </c>
      <c r="R115" s="1680">
        <f t="shared" si="86"/>
        <v>0</v>
      </c>
      <c r="S115" s="1510">
        <f t="shared" si="87"/>
        <v>0</v>
      </c>
      <c r="T115" s="1510">
        <f t="shared" si="88"/>
        <v>0</v>
      </c>
      <c r="U115" s="1510">
        <f t="shared" si="89"/>
        <v>0</v>
      </c>
      <c r="V115" s="1510">
        <f t="shared" si="90"/>
        <v>0</v>
      </c>
      <c r="W115" s="1510">
        <f t="shared" si="91"/>
        <v>0</v>
      </c>
      <c r="X115" s="1510">
        <f t="shared" si="92"/>
        <v>0</v>
      </c>
      <c r="Y115" s="1510">
        <f t="shared" si="93"/>
        <v>0</v>
      </c>
      <c r="Z115" s="1546">
        <f t="shared" si="94"/>
        <v>0</v>
      </c>
      <c r="AA115" s="1510">
        <f t="shared" si="95"/>
        <v>0</v>
      </c>
      <c r="AB115" s="1510">
        <f t="shared" si="96"/>
        <v>0</v>
      </c>
      <c r="AC115" s="1559">
        <f t="shared" si="97"/>
        <v>0</v>
      </c>
      <c r="AD115" s="1510">
        <f t="shared" si="98"/>
        <v>0</v>
      </c>
      <c r="AE115" s="1510">
        <f t="shared" si="99"/>
        <v>0</v>
      </c>
      <c r="AF115"/>
      <c r="AG115" s="1541"/>
      <c r="AH115" s="1644" t="s">
        <v>229</v>
      </c>
      <c r="AI115" s="1687"/>
      <c r="AJ115" s="1611">
        <v>0</v>
      </c>
      <c r="AK115" s="1611">
        <v>0</v>
      </c>
      <c r="AL115" s="1611">
        <v>0</v>
      </c>
      <c r="AM115" s="1611">
        <v>0</v>
      </c>
      <c r="AN115" s="1611">
        <v>0</v>
      </c>
      <c r="AO115" s="1611">
        <v>0</v>
      </c>
      <c r="AP115" s="1611">
        <v>0</v>
      </c>
      <c r="AQ115" s="1983">
        <v>0</v>
      </c>
      <c r="AR115" s="1611">
        <v>0</v>
      </c>
      <c r="AS115" s="1611">
        <v>0</v>
      </c>
      <c r="AT115" s="1963">
        <v>0</v>
      </c>
      <c r="AU115" s="1611">
        <v>0</v>
      </c>
      <c r="AV115" s="1611">
        <v>0</v>
      </c>
      <c r="AW115"/>
      <c r="AX115" s="1541"/>
      <c r="AY115" s="1644" t="s">
        <v>229</v>
      </c>
      <c r="AZ115" s="1687"/>
      <c r="BA115" s="1611"/>
      <c r="BB115" s="1611"/>
      <c r="BC115" s="1611"/>
      <c r="BD115" s="1611"/>
      <c r="BE115" s="1611"/>
      <c r="BF115" s="1611"/>
      <c r="BG115" s="1611"/>
      <c r="BH115" s="1983"/>
      <c r="BI115" s="1611"/>
      <c r="BJ115" s="1611"/>
      <c r="BK115" s="1963"/>
      <c r="BL115" s="1611"/>
      <c r="BM115" s="1611"/>
      <c r="BN115"/>
      <c r="BO115" s="1541"/>
      <c r="BP115" s="1644" t="s">
        <v>229</v>
      </c>
      <c r="BQ115" s="1687"/>
      <c r="BR115" s="1611"/>
      <c r="BS115" s="1611"/>
      <c r="BT115" s="1611"/>
      <c r="BU115" s="1611"/>
      <c r="BV115" s="1611"/>
      <c r="BW115" s="1611"/>
      <c r="BX115" s="1611"/>
      <c r="BY115" s="1983"/>
      <c r="BZ115" s="1611"/>
      <c r="CA115" s="1611"/>
      <c r="CB115" s="1963"/>
      <c r="CC115" s="1611"/>
      <c r="CD115" s="1611"/>
      <c r="CE115"/>
    </row>
    <row r="116" spans="1:83" s="1505" customFormat="1" ht="14.25">
      <c r="A116"/>
      <c r="B116" s="1989" t="str">
        <f t="shared" si="100"/>
        <v>LR</v>
      </c>
      <c r="C116" s="1487" t="str">
        <f t="shared" si="82"/>
        <v>建築物の環境負荷低減性</v>
      </c>
      <c r="D116" s="1947"/>
      <c r="E116" s="1948"/>
      <c r="F116"/>
      <c r="G116" s="1948" t="e">
        <f t="shared" si="83"/>
        <v>#VALUE!</v>
      </c>
      <c r="H116" s="1948">
        <f t="shared" si="84"/>
        <v>0</v>
      </c>
      <c r="I116" s="1948" t="e">
        <f>G117+G140+G159</f>
        <v>#VALUE!</v>
      </c>
      <c r="J116" s="1948">
        <f>H117+H140+H159</f>
        <v>0</v>
      </c>
      <c r="K116" s="1948" t="e">
        <f>IF(スコア表示!W116=0,0,1)</f>
        <v>#VALUE!</v>
      </c>
      <c r="L116" s="1948">
        <f>IF(スコア表示!AA116=0,0,1)</f>
        <v>0</v>
      </c>
      <c r="M116" s="1948">
        <f t="shared" si="85"/>
        <v>0</v>
      </c>
      <c r="N116" s="1948">
        <f t="shared" ref="N116:N151" si="102">(AC$7*AC116)+(AD$7*AD116)+(AE$7*AE116)</f>
        <v>0</v>
      </c>
      <c r="O116"/>
      <c r="P116" s="1949" t="str">
        <f t="shared" ref="P116:P151" si="103">IF($P$3=1,AX116,BO116)</f>
        <v>LR</v>
      </c>
      <c r="Q116" s="1949" t="str">
        <f t="shared" si="77"/>
        <v xml:space="preserve"> </v>
      </c>
      <c r="R116" s="1990" t="str">
        <f t="shared" si="86"/>
        <v>建築物の環境負荷低減性</v>
      </c>
      <c r="S116" s="1569">
        <f t="shared" si="87"/>
        <v>0</v>
      </c>
      <c r="T116" s="1569">
        <f t="shared" si="88"/>
        <v>0</v>
      </c>
      <c r="U116" s="1569">
        <f t="shared" si="89"/>
        <v>0</v>
      </c>
      <c r="V116" s="1569">
        <f t="shared" si="90"/>
        <v>0</v>
      </c>
      <c r="W116" s="1569">
        <f t="shared" si="91"/>
        <v>0</v>
      </c>
      <c r="X116" s="1569">
        <f t="shared" si="92"/>
        <v>0</v>
      </c>
      <c r="Y116" s="1569">
        <f t="shared" si="93"/>
        <v>0</v>
      </c>
      <c r="Z116" s="1570">
        <f t="shared" si="94"/>
        <v>0</v>
      </c>
      <c r="AA116" s="1569">
        <f t="shared" si="95"/>
        <v>0</v>
      </c>
      <c r="AB116" s="1569">
        <f t="shared" si="96"/>
        <v>0</v>
      </c>
      <c r="AC116" s="1571">
        <f t="shared" si="97"/>
        <v>0</v>
      </c>
      <c r="AD116" s="1572">
        <f t="shared" si="98"/>
        <v>0</v>
      </c>
      <c r="AE116" s="1572">
        <f t="shared" si="99"/>
        <v>0</v>
      </c>
      <c r="AF116"/>
      <c r="AG116" s="1949" t="s">
        <v>1559</v>
      </c>
      <c r="AH116" s="1945" t="s">
        <v>378</v>
      </c>
      <c r="AI116" s="1946" t="s">
        <v>379</v>
      </c>
      <c r="AJ116" s="1951">
        <v>0</v>
      </c>
      <c r="AK116" s="1951">
        <v>0</v>
      </c>
      <c r="AL116" s="1951">
        <v>0</v>
      </c>
      <c r="AM116" s="1951">
        <v>0</v>
      </c>
      <c r="AN116" s="1951">
        <v>0</v>
      </c>
      <c r="AO116" s="1951">
        <v>0</v>
      </c>
      <c r="AP116" s="1951">
        <v>0</v>
      </c>
      <c r="AQ116" s="1952">
        <v>0</v>
      </c>
      <c r="AR116" s="1951">
        <v>0</v>
      </c>
      <c r="AS116" s="1951">
        <v>0</v>
      </c>
      <c r="AT116" s="1953">
        <v>0</v>
      </c>
      <c r="AU116" s="1954">
        <v>0</v>
      </c>
      <c r="AV116" s="1954">
        <v>0</v>
      </c>
      <c r="AW116"/>
      <c r="AX116" s="1949" t="s">
        <v>1409</v>
      </c>
      <c r="AY116" s="1945" t="s">
        <v>378</v>
      </c>
      <c r="AZ116" s="1946" t="s">
        <v>379</v>
      </c>
      <c r="BA116" s="1951"/>
      <c r="BB116" s="1951"/>
      <c r="BC116" s="1951"/>
      <c r="BD116" s="1951"/>
      <c r="BE116" s="1951"/>
      <c r="BF116" s="1951"/>
      <c r="BG116" s="1951"/>
      <c r="BH116" s="1952"/>
      <c r="BI116" s="1951"/>
      <c r="BJ116" s="1951"/>
      <c r="BK116" s="1953"/>
      <c r="BL116" s="1954"/>
      <c r="BM116" s="1954"/>
      <c r="BN116"/>
      <c r="BO116" s="1949" t="s">
        <v>1409</v>
      </c>
      <c r="BP116" s="1945" t="s">
        <v>378</v>
      </c>
      <c r="BQ116" s="1946" t="s">
        <v>379</v>
      </c>
      <c r="BR116" s="1951"/>
      <c r="BS116" s="1951"/>
      <c r="BT116" s="1951"/>
      <c r="BU116" s="1951"/>
      <c r="BV116" s="1951"/>
      <c r="BW116" s="1951"/>
      <c r="BX116" s="1951"/>
      <c r="BY116" s="1952"/>
      <c r="BZ116" s="1951"/>
      <c r="CA116" s="1951"/>
      <c r="CB116" s="1953"/>
      <c r="CC116" s="1954"/>
      <c r="CD116" s="1954"/>
      <c r="CE116"/>
    </row>
    <row r="117" spans="1:83" s="1505" customFormat="1">
      <c r="A117"/>
      <c r="B117" s="1497" t="str">
        <f t="shared" si="100"/>
        <v>LR1</v>
      </c>
      <c r="C117" s="1497" t="str">
        <f t="shared" si="82"/>
        <v>エネルギー</v>
      </c>
      <c r="D117" s="1991" t="e">
        <f>IF(I$116=0,0,G117/I$116)</f>
        <v>#VALUE!</v>
      </c>
      <c r="E117" s="1957">
        <f>IF(J$116=0,0,H117/J$116)</f>
        <v>0</v>
      </c>
      <c r="F117"/>
      <c r="G117" s="1957">
        <f t="shared" si="83"/>
        <v>0.40000000000000008</v>
      </c>
      <c r="H117" s="1957">
        <f t="shared" si="84"/>
        <v>0</v>
      </c>
      <c r="I117" s="1957">
        <f>G118+G119+G124+G133</f>
        <v>1.0000000000000002</v>
      </c>
      <c r="J117" s="1957">
        <f>H118+H119+H124+H133</f>
        <v>0</v>
      </c>
      <c r="K117" s="1957">
        <f>IF(スコア表示!W117=0,0,1)</f>
        <v>1</v>
      </c>
      <c r="L117" s="1957">
        <f>IF(スコア表示!AA117=0,0,1)</f>
        <v>0</v>
      </c>
      <c r="M117" s="1957">
        <f t="shared" si="85"/>
        <v>0.40000000000000008</v>
      </c>
      <c r="N117" s="1957">
        <f t="shared" si="102"/>
        <v>0</v>
      </c>
      <c r="O117"/>
      <c r="P117" s="1497" t="str">
        <f t="shared" si="103"/>
        <v>LR1</v>
      </c>
      <c r="Q117" s="1497" t="str">
        <f t="shared" ref="Q117:Q152" si="104">IF($P$3=1,AY117,BP117)</f>
        <v>LR</v>
      </c>
      <c r="R117" s="1958" t="str">
        <f t="shared" si="86"/>
        <v>エネルギー</v>
      </c>
      <c r="S117" s="1503">
        <f t="shared" si="87"/>
        <v>0.4</v>
      </c>
      <c r="T117" s="1503">
        <f t="shared" si="88"/>
        <v>0.4</v>
      </c>
      <c r="U117" s="1503">
        <f t="shared" si="89"/>
        <v>0.4</v>
      </c>
      <c r="V117" s="1503">
        <f t="shared" si="90"/>
        <v>0.4</v>
      </c>
      <c r="W117" s="1503">
        <f t="shared" si="91"/>
        <v>0.4</v>
      </c>
      <c r="X117" s="1503">
        <f t="shared" si="92"/>
        <v>0.4</v>
      </c>
      <c r="Y117" s="1503">
        <f t="shared" si="93"/>
        <v>0.4</v>
      </c>
      <c r="Z117" s="1503">
        <f t="shared" si="94"/>
        <v>0.4</v>
      </c>
      <c r="AA117" s="1503">
        <f t="shared" si="95"/>
        <v>0.4</v>
      </c>
      <c r="AB117" s="1503">
        <f t="shared" si="96"/>
        <v>0.4</v>
      </c>
      <c r="AC117" s="1558">
        <f t="shared" si="97"/>
        <v>0</v>
      </c>
      <c r="AD117" s="1503">
        <f t="shared" si="98"/>
        <v>0</v>
      </c>
      <c r="AE117" s="1503">
        <f t="shared" si="99"/>
        <v>0</v>
      </c>
      <c r="AF117"/>
      <c r="AG117" s="1497" t="s">
        <v>1560</v>
      </c>
      <c r="AH117" s="1959" t="s">
        <v>1411</v>
      </c>
      <c r="AI117" s="1958" t="s">
        <v>1413</v>
      </c>
      <c r="AJ117" s="1960">
        <v>0.4</v>
      </c>
      <c r="AK117" s="1960">
        <v>0.4</v>
      </c>
      <c r="AL117" s="1960">
        <v>0.4</v>
      </c>
      <c r="AM117" s="1960">
        <v>0.4</v>
      </c>
      <c r="AN117" s="1960">
        <v>0.4</v>
      </c>
      <c r="AO117" s="1960">
        <v>0.4</v>
      </c>
      <c r="AP117" s="1960">
        <v>0.4</v>
      </c>
      <c r="AQ117" s="1960">
        <v>0.4</v>
      </c>
      <c r="AR117" s="1960">
        <v>0.4</v>
      </c>
      <c r="AS117" s="1960">
        <v>0.4</v>
      </c>
      <c r="AT117" s="1961"/>
      <c r="AU117" s="1960"/>
      <c r="AV117" s="1960"/>
      <c r="AW117"/>
      <c r="AX117" s="1497" t="s">
        <v>1410</v>
      </c>
      <c r="AY117" s="1959" t="s">
        <v>1412</v>
      </c>
      <c r="AZ117" s="1958" t="s">
        <v>1414</v>
      </c>
      <c r="BA117" s="1960">
        <v>0.4</v>
      </c>
      <c r="BB117" s="1960">
        <v>0.4</v>
      </c>
      <c r="BC117" s="1960">
        <v>0.4</v>
      </c>
      <c r="BD117" s="1960">
        <v>0.4</v>
      </c>
      <c r="BE117" s="1960">
        <v>0.4</v>
      </c>
      <c r="BF117" s="1960">
        <v>0.4</v>
      </c>
      <c r="BG117" s="1960">
        <v>0.4</v>
      </c>
      <c r="BH117" s="1960">
        <v>0.4</v>
      </c>
      <c r="BI117" s="1960">
        <v>0.4</v>
      </c>
      <c r="BJ117" s="1960">
        <v>0.4</v>
      </c>
      <c r="BK117" s="1961"/>
      <c r="BL117" s="1960"/>
      <c r="BM117" s="1960"/>
      <c r="BN117"/>
      <c r="BO117" s="1497" t="s">
        <v>1410</v>
      </c>
      <c r="BP117" s="1959" t="s">
        <v>1412</v>
      </c>
      <c r="BQ117" s="1958" t="s">
        <v>1414</v>
      </c>
      <c r="BR117" s="1960">
        <v>0.4</v>
      </c>
      <c r="BS117" s="1960">
        <v>0.4</v>
      </c>
      <c r="BT117" s="1960">
        <v>0.4</v>
      </c>
      <c r="BU117" s="1960">
        <v>0.4</v>
      </c>
      <c r="BV117" s="1960">
        <v>0.4</v>
      </c>
      <c r="BW117" s="1960">
        <v>0.4</v>
      </c>
      <c r="BX117" s="1960">
        <v>0.4</v>
      </c>
      <c r="BY117" s="1960">
        <v>0.4</v>
      </c>
      <c r="BZ117" s="1960">
        <v>0.4</v>
      </c>
      <c r="CA117" s="1960">
        <v>0.4</v>
      </c>
      <c r="CB117" s="1961"/>
      <c r="CC117" s="1960"/>
      <c r="CD117" s="1960"/>
      <c r="CE117"/>
    </row>
    <row r="118" spans="1:83" s="1505" customFormat="1">
      <c r="A118"/>
      <c r="B118" s="1497">
        <f t="shared" si="100"/>
        <v>1</v>
      </c>
      <c r="C118" s="1541" t="str">
        <f t="shared" si="82"/>
        <v>建物外皮の熱負荷抑制</v>
      </c>
      <c r="D118" s="1962">
        <f>IF(I$117=0,0,G118/I$117)</f>
        <v>0.19999999999999998</v>
      </c>
      <c r="E118" s="1643">
        <f>IF(J$117=0,0,H118/J$117)</f>
        <v>0</v>
      </c>
      <c r="F118"/>
      <c r="G118" s="1643">
        <f t="shared" si="83"/>
        <v>0.20000000000000004</v>
      </c>
      <c r="H118" s="1643">
        <f t="shared" si="84"/>
        <v>0</v>
      </c>
      <c r="I118" s="1643"/>
      <c r="J118" s="1643"/>
      <c r="K118" s="1643">
        <f>IF(スコア表示!W118=0,0,1)</f>
        <v>1</v>
      </c>
      <c r="L118" s="1643">
        <f>IF(スコア表示!AA118=0,0,1)</f>
        <v>0</v>
      </c>
      <c r="M118" s="1643">
        <f t="shared" si="85"/>
        <v>0.20000000000000004</v>
      </c>
      <c r="N118" s="1643">
        <f t="shared" si="102"/>
        <v>0</v>
      </c>
      <c r="O118"/>
      <c r="P118" s="1573">
        <f t="shared" si="103"/>
        <v>1</v>
      </c>
      <c r="Q118" s="1541" t="str">
        <f t="shared" si="104"/>
        <v>LR1</v>
      </c>
      <c r="R118" s="1680" t="str">
        <f t="shared" si="86"/>
        <v>建物外皮の熱負荷抑制</v>
      </c>
      <c r="S118" s="1543">
        <f t="shared" si="87"/>
        <v>0.2</v>
      </c>
      <c r="T118" s="1543">
        <f t="shared" si="88"/>
        <v>0.2</v>
      </c>
      <c r="U118" s="1543">
        <f t="shared" si="89"/>
        <v>0.2</v>
      </c>
      <c r="V118" s="1543">
        <f t="shared" si="90"/>
        <v>0.2</v>
      </c>
      <c r="W118" s="1543">
        <f t="shared" si="91"/>
        <v>0.2</v>
      </c>
      <c r="X118" s="1543">
        <f t="shared" si="92"/>
        <v>0.2</v>
      </c>
      <c r="Y118" s="1543">
        <f t="shared" si="93"/>
        <v>0.2</v>
      </c>
      <c r="Z118" s="1511">
        <f t="shared" si="94"/>
        <v>0.2</v>
      </c>
      <c r="AA118" s="1543">
        <f t="shared" si="95"/>
        <v>0</v>
      </c>
      <c r="AB118" s="1543">
        <f t="shared" si="96"/>
        <v>0.2</v>
      </c>
      <c r="AC118" s="1559">
        <f t="shared" si="97"/>
        <v>0</v>
      </c>
      <c r="AD118" s="1510">
        <f t="shared" si="98"/>
        <v>0</v>
      </c>
      <c r="AE118" s="1510">
        <f t="shared" si="99"/>
        <v>0</v>
      </c>
      <c r="AF118"/>
      <c r="AG118" s="1573">
        <v>1</v>
      </c>
      <c r="AH118" s="1644" t="s">
        <v>322</v>
      </c>
      <c r="AI118" s="1680" t="s">
        <v>1415</v>
      </c>
      <c r="AJ118" s="1979">
        <v>0.2</v>
      </c>
      <c r="AK118" s="1979">
        <v>0.2</v>
      </c>
      <c r="AL118" s="1979">
        <v>0.2</v>
      </c>
      <c r="AM118" s="1979">
        <v>0.2</v>
      </c>
      <c r="AN118" s="1979">
        <v>0.2</v>
      </c>
      <c r="AO118" s="1979">
        <v>0.2</v>
      </c>
      <c r="AP118" s="1979">
        <v>0.2</v>
      </c>
      <c r="AQ118" s="1979">
        <v>0.2</v>
      </c>
      <c r="AR118" s="1979"/>
      <c r="AS118" s="1979">
        <v>0.2</v>
      </c>
      <c r="AT118" s="1963"/>
      <c r="AU118" s="1611"/>
      <c r="AV118" s="1611"/>
      <c r="AW118"/>
      <c r="AX118" s="1573">
        <v>1</v>
      </c>
      <c r="AY118" s="1644" t="s">
        <v>322</v>
      </c>
      <c r="AZ118" s="1680" t="s">
        <v>1415</v>
      </c>
      <c r="BA118" s="1979">
        <v>0.2</v>
      </c>
      <c r="BB118" s="1979">
        <v>0.2</v>
      </c>
      <c r="BC118" s="1979">
        <v>0.2</v>
      </c>
      <c r="BD118" s="1979">
        <v>0.2</v>
      </c>
      <c r="BE118" s="1979">
        <v>0.2</v>
      </c>
      <c r="BF118" s="1979">
        <v>0.2</v>
      </c>
      <c r="BG118" s="1979">
        <v>0.2</v>
      </c>
      <c r="BH118" s="1979">
        <v>0.2</v>
      </c>
      <c r="BI118" s="1979"/>
      <c r="BJ118" s="1979">
        <v>0.2</v>
      </c>
      <c r="BK118" s="1963"/>
      <c r="BL118" s="1611"/>
      <c r="BM118" s="1611"/>
      <c r="BN118"/>
      <c r="BO118" s="1573">
        <v>1</v>
      </c>
      <c r="BP118" s="1644" t="s">
        <v>322</v>
      </c>
      <c r="BQ118" s="1680" t="s">
        <v>1415</v>
      </c>
      <c r="BR118" s="1979">
        <v>0.2</v>
      </c>
      <c r="BS118" s="1979">
        <v>0.2</v>
      </c>
      <c r="BT118" s="1979">
        <v>0.2</v>
      </c>
      <c r="BU118" s="1979">
        <v>0.2</v>
      </c>
      <c r="BV118" s="1979">
        <v>0.2</v>
      </c>
      <c r="BW118" s="1979">
        <v>0.2</v>
      </c>
      <c r="BX118" s="1979">
        <v>0.2</v>
      </c>
      <c r="BY118" s="1979">
        <v>0.2</v>
      </c>
      <c r="BZ118" s="1979"/>
      <c r="CA118" s="1979">
        <v>0.2</v>
      </c>
      <c r="CB118" s="1963"/>
      <c r="CC118" s="1611"/>
      <c r="CD118" s="1611"/>
      <c r="CE118"/>
    </row>
    <row r="119" spans="1:83" s="1505" customFormat="1">
      <c r="A119"/>
      <c r="B119" s="1497">
        <f t="shared" si="100"/>
        <v>2</v>
      </c>
      <c r="C119" s="1541" t="str">
        <f t="shared" si="82"/>
        <v>自然エネルギー利用</v>
      </c>
      <c r="D119" s="1962">
        <f>IF(I$117=0,0,G119/I$117)</f>
        <v>9.9999999999999992E-2</v>
      </c>
      <c r="E119" s="1643">
        <f>IF(J$117=0,0,H119/J$117)</f>
        <v>0</v>
      </c>
      <c r="F119"/>
      <c r="G119" s="1643">
        <f t="shared" si="83"/>
        <v>0.10000000000000002</v>
      </c>
      <c r="H119" s="1643">
        <f t="shared" si="84"/>
        <v>0</v>
      </c>
      <c r="I119" s="1624">
        <f>SUM(G120:G121)</f>
        <v>1.0000000000000002</v>
      </c>
      <c r="J119" s="1624">
        <f>SUM(H120:H121)</f>
        <v>0</v>
      </c>
      <c r="K119" s="1643">
        <f>IF(スコア表示!W119=0,0,1)</f>
        <v>1</v>
      </c>
      <c r="L119" s="1643">
        <f>IF(スコア表示!AA119=0,0,1)</f>
        <v>0</v>
      </c>
      <c r="M119" s="1643">
        <f>SUMPRODUCT($S$7:$AB$7,S119:AB119)</f>
        <v>0.10000000000000002</v>
      </c>
      <c r="N119" s="1643">
        <f t="shared" ref="N119:N120" si="105">(AC$7*AC119)+(AD$7*AD119)+(AE$7*AE119)</f>
        <v>0</v>
      </c>
      <c r="O119"/>
      <c r="P119" s="1541">
        <f t="shared" si="103"/>
        <v>2</v>
      </c>
      <c r="Q119" s="1541" t="str">
        <f t="shared" si="104"/>
        <v>LR1</v>
      </c>
      <c r="R119" s="1680" t="str">
        <f t="shared" si="86"/>
        <v>自然エネルギー利用</v>
      </c>
      <c r="S119" s="1543">
        <f t="shared" si="87"/>
        <v>0.1</v>
      </c>
      <c r="T119" s="1543">
        <f t="shared" si="88"/>
        <v>0.1</v>
      </c>
      <c r="U119" s="1543">
        <f t="shared" si="89"/>
        <v>0.1</v>
      </c>
      <c r="V119" s="1543">
        <f t="shared" si="90"/>
        <v>0.1</v>
      </c>
      <c r="W119" s="1543">
        <f t="shared" si="91"/>
        <v>0.1</v>
      </c>
      <c r="X119" s="1543">
        <f t="shared" si="92"/>
        <v>0.1</v>
      </c>
      <c r="Y119" s="1543">
        <f t="shared" si="93"/>
        <v>0.1</v>
      </c>
      <c r="Z119" s="1511">
        <f t="shared" si="94"/>
        <v>0.1</v>
      </c>
      <c r="AA119" s="1543">
        <f t="shared" si="95"/>
        <v>0.125</v>
      </c>
      <c r="AB119" s="1543">
        <f t="shared" si="96"/>
        <v>0.1</v>
      </c>
      <c r="AC119" s="1559">
        <f t="shared" si="97"/>
        <v>0</v>
      </c>
      <c r="AD119" s="1510">
        <f t="shared" si="98"/>
        <v>0</v>
      </c>
      <c r="AE119" s="1510">
        <f t="shared" si="99"/>
        <v>0</v>
      </c>
      <c r="AF119"/>
      <c r="AG119" s="1541">
        <v>2</v>
      </c>
      <c r="AH119" s="1644" t="s">
        <v>322</v>
      </c>
      <c r="AI119" s="1680" t="s">
        <v>688</v>
      </c>
      <c r="AJ119" s="1979">
        <v>0.1</v>
      </c>
      <c r="AK119" s="1979">
        <v>0.1</v>
      </c>
      <c r="AL119" s="1979">
        <v>0.1</v>
      </c>
      <c r="AM119" s="1979">
        <v>0.1</v>
      </c>
      <c r="AN119" s="1979">
        <v>0.1</v>
      </c>
      <c r="AO119" s="1979">
        <v>0.1</v>
      </c>
      <c r="AP119" s="1979">
        <v>0.1</v>
      </c>
      <c r="AQ119" s="1979">
        <v>0.1</v>
      </c>
      <c r="AR119" s="2250">
        <v>0.125</v>
      </c>
      <c r="AS119" s="1979">
        <v>0.1</v>
      </c>
      <c r="AT119" s="1963"/>
      <c r="AU119" s="1611"/>
      <c r="AV119" s="1611"/>
      <c r="AW119"/>
      <c r="AX119" s="1541">
        <v>2</v>
      </c>
      <c r="AY119" s="1644" t="s">
        <v>322</v>
      </c>
      <c r="AZ119" s="1680" t="s">
        <v>688</v>
      </c>
      <c r="BA119" s="1979">
        <v>0.1</v>
      </c>
      <c r="BB119" s="1979">
        <v>0.1</v>
      </c>
      <c r="BC119" s="1979">
        <v>0.1</v>
      </c>
      <c r="BD119" s="1979">
        <v>0.1</v>
      </c>
      <c r="BE119" s="1979">
        <v>0.1</v>
      </c>
      <c r="BF119" s="1979">
        <v>0.1</v>
      </c>
      <c r="BG119" s="1979">
        <v>0.1</v>
      </c>
      <c r="BH119" s="1979">
        <v>0.1</v>
      </c>
      <c r="BI119" s="2250">
        <v>0.125</v>
      </c>
      <c r="BJ119" s="1979">
        <v>0.1</v>
      </c>
      <c r="BK119" s="1963"/>
      <c r="BL119" s="1611"/>
      <c r="BM119" s="1611"/>
      <c r="BN119"/>
      <c r="BO119" s="1541">
        <v>2</v>
      </c>
      <c r="BP119" s="1644" t="s">
        <v>322</v>
      </c>
      <c r="BQ119" s="1680" t="s">
        <v>688</v>
      </c>
      <c r="BR119" s="1979">
        <v>0.1</v>
      </c>
      <c r="BS119" s="1979">
        <v>0.1</v>
      </c>
      <c r="BT119" s="1979">
        <v>0.1</v>
      </c>
      <c r="BU119" s="1979">
        <v>0.1</v>
      </c>
      <c r="BV119" s="1979">
        <v>0.1</v>
      </c>
      <c r="BW119" s="1979">
        <v>0.1</v>
      </c>
      <c r="BX119" s="1979">
        <v>0.1</v>
      </c>
      <c r="BY119" s="1979">
        <v>0.1</v>
      </c>
      <c r="BZ119" s="2250">
        <v>0.125</v>
      </c>
      <c r="CA119" s="1979">
        <v>0.1</v>
      </c>
      <c r="CB119" s="1963"/>
      <c r="CC119" s="1611"/>
      <c r="CD119" s="1611"/>
      <c r="CE119"/>
    </row>
    <row r="120" spans="1:83" s="1505" customFormat="1">
      <c r="A120"/>
      <c r="B120" s="1497" t="str">
        <f t="shared" si="100"/>
        <v>2a</v>
      </c>
      <c r="C120" s="1541" t="str">
        <f t="shared" si="82"/>
        <v>小中学校・集合住宅</v>
      </c>
      <c r="D120" s="1616">
        <f>IF(I$119=0,0,G120/I$119)</f>
        <v>2.0887728459530023E-2</v>
      </c>
      <c r="E120" s="1616">
        <f>IF(J$119=0,0,H120/J$119)</f>
        <v>0</v>
      </c>
      <c r="F120"/>
      <c r="G120" s="1643">
        <f t="shared" si="83"/>
        <v>2.0887728459530026E-2</v>
      </c>
      <c r="H120" s="1643">
        <f t="shared" si="84"/>
        <v>0</v>
      </c>
      <c r="I120" s="1643"/>
      <c r="J120" s="1643"/>
      <c r="K120" s="1643">
        <f>IF(スコア表示!W120=0,0,1)</f>
        <v>1</v>
      </c>
      <c r="L120" s="1643">
        <f>IF(スコア表示!AA120=0,0,1)</f>
        <v>0</v>
      </c>
      <c r="M120" s="1643">
        <f>SUMPRODUCT($S$7:$AB$7,S120:AB120)</f>
        <v>2.0887728459530026E-2</v>
      </c>
      <c r="N120" s="1643">
        <f t="shared" si="105"/>
        <v>0</v>
      </c>
      <c r="O120"/>
      <c r="P120" s="1541" t="str">
        <f t="shared" si="103"/>
        <v>2a</v>
      </c>
      <c r="Q120" s="1541" t="str">
        <f t="shared" si="104"/>
        <v>LR1 2</v>
      </c>
      <c r="R120" s="1680" t="str">
        <f t="shared" si="86"/>
        <v>小中学校・集合住宅</v>
      </c>
      <c r="S120" s="1543">
        <f t="shared" ref="S120:AB123" si="106">IF($S$3=1,BA120,IF($S$3=2,BR120,AJ120))</f>
        <v>0</v>
      </c>
      <c r="T120" s="1543">
        <f t="shared" si="106"/>
        <v>0</v>
      </c>
      <c r="U120" s="1543">
        <f t="shared" si="106"/>
        <v>0</v>
      </c>
      <c r="V120" s="1543">
        <f t="shared" si="106"/>
        <v>0</v>
      </c>
      <c r="W120" s="1543">
        <f t="shared" si="106"/>
        <v>0</v>
      </c>
      <c r="X120" s="1543">
        <f t="shared" si="106"/>
        <v>0</v>
      </c>
      <c r="Y120" s="1543">
        <f t="shared" si="106"/>
        <v>1</v>
      </c>
      <c r="Z120" s="1511">
        <f t="shared" si="106"/>
        <v>0</v>
      </c>
      <c r="AA120" s="1543">
        <f t="shared" si="106"/>
        <v>0</v>
      </c>
      <c r="AB120" s="1543">
        <f t="shared" si="106"/>
        <v>1</v>
      </c>
      <c r="AC120" s="1559">
        <f t="shared" ref="AC120:AC155" si="107">IF($P$3=1,BK120,IF($P$3=2,CB120,AT120))</f>
        <v>0</v>
      </c>
      <c r="AD120" s="1510">
        <f t="shared" ref="AD120:AD155" si="108">IF($P$3=1,BL120,IF($P$3=2,CC120,AU120))</f>
        <v>0</v>
      </c>
      <c r="AE120" s="1510">
        <f t="shared" ref="AE120:AE155" si="109">IF($P$3=1,BM120,IF($P$3=2,CD120,AV120))</f>
        <v>0</v>
      </c>
      <c r="AF120"/>
      <c r="AG120" s="1547" t="s">
        <v>1707</v>
      </c>
      <c r="AH120" s="1644" t="s">
        <v>1712</v>
      </c>
      <c r="AI120" s="1680" t="s">
        <v>1293</v>
      </c>
      <c r="AJ120" s="1636"/>
      <c r="AK120" s="1636"/>
      <c r="AL120" s="1636"/>
      <c r="AM120" s="1636"/>
      <c r="AN120" s="1636"/>
      <c r="AO120" s="1636"/>
      <c r="AP120" s="1636">
        <v>1</v>
      </c>
      <c r="AQ120" s="1636"/>
      <c r="AR120" s="1636"/>
      <c r="AS120" s="1636">
        <v>1</v>
      </c>
      <c r="AT120" s="1963"/>
      <c r="AU120" s="1611"/>
      <c r="AV120" s="1611"/>
      <c r="AW120"/>
      <c r="AX120" s="1547" t="s">
        <v>1707</v>
      </c>
      <c r="AY120" s="1644" t="s">
        <v>1712</v>
      </c>
      <c r="AZ120" s="1680" t="s">
        <v>1293</v>
      </c>
      <c r="BA120" s="1636"/>
      <c r="BB120" s="1636"/>
      <c r="BC120" s="1636"/>
      <c r="BD120" s="1636"/>
      <c r="BE120" s="1636"/>
      <c r="BF120" s="1636"/>
      <c r="BG120" s="1636">
        <v>1</v>
      </c>
      <c r="BH120" s="1636"/>
      <c r="BI120" s="1636"/>
      <c r="BJ120" s="1636">
        <v>1</v>
      </c>
      <c r="BK120" s="1963"/>
      <c r="BL120" s="1611"/>
      <c r="BM120" s="1611"/>
      <c r="BN120"/>
      <c r="BO120" s="1547" t="s">
        <v>1707</v>
      </c>
      <c r="BP120" s="1644" t="s">
        <v>1712</v>
      </c>
      <c r="BQ120" s="1680" t="s">
        <v>1293</v>
      </c>
      <c r="BR120" s="1636"/>
      <c r="BS120" s="1636"/>
      <c r="BT120" s="1636"/>
      <c r="BU120" s="1636"/>
      <c r="BV120" s="1636"/>
      <c r="BW120" s="1636"/>
      <c r="BX120" s="1636">
        <v>1</v>
      </c>
      <c r="BY120" s="1636"/>
      <c r="BZ120" s="1636"/>
      <c r="CA120" s="1636">
        <v>1</v>
      </c>
      <c r="CB120" s="1963"/>
      <c r="CC120" s="1611"/>
      <c r="CD120" s="1611"/>
      <c r="CE120"/>
    </row>
    <row r="121" spans="1:83" s="1505" customFormat="1">
      <c r="A121"/>
      <c r="B121" s="1497" t="str">
        <f t="shared" si="100"/>
        <v>2b</v>
      </c>
      <c r="C121" s="1541" t="str">
        <f t="shared" si="82"/>
        <v>上記以外</v>
      </c>
      <c r="D121" s="1616">
        <f>IF(I$119=0,0,G121/I$119)</f>
        <v>0.97911227154046987</v>
      </c>
      <c r="E121" s="1616">
        <f>IF(J$119=0,0,H121/J$119)</f>
        <v>0</v>
      </c>
      <c r="F121"/>
      <c r="G121" s="1643">
        <f t="shared" si="83"/>
        <v>0.97911227154047009</v>
      </c>
      <c r="H121" s="1643">
        <f t="shared" si="84"/>
        <v>0</v>
      </c>
      <c r="I121" s="1643"/>
      <c r="J121" s="1643"/>
      <c r="K121" s="1643">
        <f>IF(スコア表示!W121=0,0,1)</f>
        <v>1</v>
      </c>
      <c r="L121" s="1643">
        <f>IF(スコア表示!AA121=0,0,1)</f>
        <v>0</v>
      </c>
      <c r="M121" s="1643">
        <f>SUMPRODUCT($S$7:$AB$7,S121:AB121)</f>
        <v>0.97911227154047009</v>
      </c>
      <c r="N121" s="1643">
        <f>(AC$7*AC121)+(AD$7*AD121)+(AE$7*AE121)</f>
        <v>0</v>
      </c>
      <c r="O121"/>
      <c r="P121" s="1541" t="str">
        <f t="shared" si="103"/>
        <v>2b</v>
      </c>
      <c r="Q121" s="1541" t="str">
        <f t="shared" si="104"/>
        <v>LR1 2</v>
      </c>
      <c r="R121" s="1680" t="str">
        <f t="shared" si="86"/>
        <v>上記以外</v>
      </c>
      <c r="S121" s="1518">
        <f t="shared" si="106"/>
        <v>1</v>
      </c>
      <c r="T121" s="1518">
        <f t="shared" si="106"/>
        <v>1</v>
      </c>
      <c r="U121" s="1518">
        <f t="shared" si="106"/>
        <v>1</v>
      </c>
      <c r="V121" s="1518">
        <f t="shared" si="106"/>
        <v>1</v>
      </c>
      <c r="W121" s="1518">
        <f t="shared" si="106"/>
        <v>1</v>
      </c>
      <c r="X121" s="1518">
        <f t="shared" si="106"/>
        <v>1</v>
      </c>
      <c r="Y121" s="1543">
        <f t="shared" si="106"/>
        <v>0</v>
      </c>
      <c r="Z121" s="1518">
        <f t="shared" si="106"/>
        <v>1</v>
      </c>
      <c r="AA121" s="1518">
        <f t="shared" si="106"/>
        <v>1</v>
      </c>
      <c r="AB121" s="1543">
        <f t="shared" si="106"/>
        <v>0</v>
      </c>
      <c r="AC121" s="1559">
        <f t="shared" si="107"/>
        <v>0</v>
      </c>
      <c r="AD121" s="1510">
        <f t="shared" si="108"/>
        <v>0</v>
      </c>
      <c r="AE121" s="1510">
        <f t="shared" si="109"/>
        <v>0</v>
      </c>
      <c r="AF121"/>
      <c r="AG121" s="1547" t="s">
        <v>1709</v>
      </c>
      <c r="AH121" s="1644" t="s">
        <v>1712</v>
      </c>
      <c r="AI121" s="1680" t="s">
        <v>1294</v>
      </c>
      <c r="AJ121" s="1636">
        <v>1</v>
      </c>
      <c r="AK121" s="1636">
        <v>1</v>
      </c>
      <c r="AL121" s="1636">
        <v>1</v>
      </c>
      <c r="AM121" s="1636">
        <v>1</v>
      </c>
      <c r="AN121" s="1636">
        <v>1</v>
      </c>
      <c r="AO121" s="1636">
        <v>1</v>
      </c>
      <c r="AP121" s="1636"/>
      <c r="AQ121" s="1636">
        <v>1</v>
      </c>
      <c r="AR121" s="1636">
        <v>1</v>
      </c>
      <c r="AS121" s="1636"/>
      <c r="AT121" s="1963"/>
      <c r="AU121" s="1611"/>
      <c r="AV121" s="1611"/>
      <c r="AW121"/>
      <c r="AX121" s="1547" t="s">
        <v>1709</v>
      </c>
      <c r="AY121" s="1644" t="s">
        <v>1712</v>
      </c>
      <c r="AZ121" s="1680" t="s">
        <v>1294</v>
      </c>
      <c r="BA121" s="1636">
        <v>1</v>
      </c>
      <c r="BB121" s="1636">
        <v>1</v>
      </c>
      <c r="BC121" s="1636">
        <v>1</v>
      </c>
      <c r="BD121" s="1636">
        <v>1</v>
      </c>
      <c r="BE121" s="1636">
        <v>1</v>
      </c>
      <c r="BF121" s="1636">
        <v>1</v>
      </c>
      <c r="BG121" s="1636"/>
      <c r="BH121" s="1636">
        <v>1</v>
      </c>
      <c r="BI121" s="1636">
        <v>1</v>
      </c>
      <c r="BJ121" s="1636"/>
      <c r="BK121" s="1963"/>
      <c r="BL121" s="1611"/>
      <c r="BM121" s="1611"/>
      <c r="BN121"/>
      <c r="BO121" s="1547" t="s">
        <v>1709</v>
      </c>
      <c r="BP121" s="1644" t="s">
        <v>1712</v>
      </c>
      <c r="BQ121" s="1680" t="s">
        <v>1294</v>
      </c>
      <c r="BR121" s="1636">
        <v>1</v>
      </c>
      <c r="BS121" s="1636">
        <v>1</v>
      </c>
      <c r="BT121" s="1636">
        <v>1</v>
      </c>
      <c r="BU121" s="1636">
        <v>1</v>
      </c>
      <c r="BV121" s="1636">
        <v>1</v>
      </c>
      <c r="BW121" s="1636">
        <v>1</v>
      </c>
      <c r="BX121" s="1636"/>
      <c r="BY121" s="1636">
        <v>1</v>
      </c>
      <c r="BZ121" s="1636">
        <v>1</v>
      </c>
      <c r="CA121" s="1636"/>
      <c r="CB121" s="1963"/>
      <c r="CC121" s="1611"/>
      <c r="CD121" s="1611"/>
      <c r="CE121"/>
    </row>
    <row r="122" spans="1:83" hidden="1">
      <c r="B122" s="1497" t="str">
        <f t="shared" si="100"/>
        <v>2.1</v>
      </c>
      <c r="C122" s="1547" t="str">
        <f t="shared" si="82"/>
        <v>自然エネルギーの直接利用</v>
      </c>
      <c r="D122" s="1616">
        <f>IF(I$121=0,0,G122/I$121)</f>
        <v>0</v>
      </c>
      <c r="E122" s="1616">
        <f>IF(J$121=0,0,H122/J$121)</f>
        <v>0</v>
      </c>
      <c r="G122" s="1591">
        <f t="shared" si="83"/>
        <v>0</v>
      </c>
      <c r="H122" s="1591">
        <f t="shared" si="84"/>
        <v>0</v>
      </c>
      <c r="I122" s="1591"/>
      <c r="J122" s="1591"/>
      <c r="K122" s="1591">
        <f>IF(スコア表示!W122=0,0,1)</f>
        <v>0</v>
      </c>
      <c r="L122" s="1591">
        <f>IF(スコア表示!AA122=0,0,1)</f>
        <v>0</v>
      </c>
      <c r="M122" s="1591">
        <f t="shared" si="85"/>
        <v>0</v>
      </c>
      <c r="N122" s="1591">
        <f t="shared" si="102"/>
        <v>0</v>
      </c>
      <c r="P122" s="1547" t="str">
        <f t="shared" si="103"/>
        <v>2.1</v>
      </c>
      <c r="Q122" s="1547" t="str">
        <f t="shared" si="104"/>
        <v>LR1 2</v>
      </c>
      <c r="R122" s="1637" t="str">
        <f t="shared" si="86"/>
        <v>自然エネルギーの直接利用</v>
      </c>
      <c r="S122" s="1518">
        <f t="shared" si="106"/>
        <v>0</v>
      </c>
      <c r="T122" s="1518">
        <f t="shared" si="106"/>
        <v>0</v>
      </c>
      <c r="U122" s="1518">
        <f t="shared" si="106"/>
        <v>0</v>
      </c>
      <c r="V122" s="1518">
        <f t="shared" si="106"/>
        <v>0</v>
      </c>
      <c r="W122" s="1518">
        <f t="shared" si="106"/>
        <v>0</v>
      </c>
      <c r="X122" s="1518">
        <f t="shared" si="106"/>
        <v>0</v>
      </c>
      <c r="Y122" s="1518">
        <f t="shared" si="106"/>
        <v>0</v>
      </c>
      <c r="Z122" s="1518">
        <f t="shared" si="106"/>
        <v>0</v>
      </c>
      <c r="AA122" s="1518">
        <f t="shared" si="106"/>
        <v>0</v>
      </c>
      <c r="AB122" s="1518">
        <f t="shared" si="106"/>
        <v>0</v>
      </c>
      <c r="AC122" s="1562">
        <f t="shared" si="107"/>
        <v>0</v>
      </c>
      <c r="AD122" s="1561">
        <f t="shared" si="108"/>
        <v>0</v>
      </c>
      <c r="AE122" s="1561">
        <f t="shared" si="109"/>
        <v>0</v>
      </c>
      <c r="AG122" s="1547" t="s">
        <v>1416</v>
      </c>
      <c r="AH122" s="1593" t="s">
        <v>323</v>
      </c>
      <c r="AI122" s="1637" t="s">
        <v>689</v>
      </c>
      <c r="AJ122" s="1523"/>
      <c r="AK122" s="1523"/>
      <c r="AL122" s="1523"/>
      <c r="AM122" s="1523"/>
      <c r="AN122" s="1523"/>
      <c r="AO122" s="1523"/>
      <c r="AP122" s="1523"/>
      <c r="AQ122" s="1523"/>
      <c r="AR122" s="1523"/>
      <c r="AS122" s="1523"/>
      <c r="AT122" s="1988"/>
      <c r="AU122" s="1987"/>
      <c r="AV122" s="1987"/>
      <c r="AX122" s="1547" t="s">
        <v>1417</v>
      </c>
      <c r="AY122" s="1593" t="s">
        <v>323</v>
      </c>
      <c r="AZ122" s="1637" t="s">
        <v>689</v>
      </c>
      <c r="BA122" s="1523"/>
      <c r="BB122" s="1523"/>
      <c r="BC122" s="1523"/>
      <c r="BD122" s="1523"/>
      <c r="BE122" s="1523"/>
      <c r="BF122" s="1523"/>
      <c r="BG122" s="1523"/>
      <c r="BH122" s="1523"/>
      <c r="BI122" s="1523"/>
      <c r="BJ122" s="1523"/>
      <c r="BK122" s="1988"/>
      <c r="BL122" s="1987"/>
      <c r="BM122" s="1987"/>
      <c r="BO122" s="1547" t="s">
        <v>1417</v>
      </c>
      <c r="BP122" s="1593" t="s">
        <v>323</v>
      </c>
      <c r="BQ122" s="1637" t="s">
        <v>689</v>
      </c>
      <c r="BR122" s="1523"/>
      <c r="BS122" s="1523"/>
      <c r="BT122" s="1523"/>
      <c r="BU122" s="1523"/>
      <c r="BV122" s="1523"/>
      <c r="BW122" s="1523"/>
      <c r="BX122" s="1523"/>
      <c r="BY122" s="1523"/>
      <c r="BZ122" s="1523"/>
      <c r="CA122" s="1523"/>
      <c r="CB122" s="1988"/>
      <c r="CC122" s="1987"/>
      <c r="CD122" s="1987"/>
    </row>
    <row r="123" spans="1:83" hidden="1">
      <c r="B123" s="1497" t="str">
        <f t="shared" si="100"/>
        <v>2.2</v>
      </c>
      <c r="C123" s="1547" t="str">
        <f t="shared" si="82"/>
        <v>自然エネルギーの変換利用</v>
      </c>
      <c r="D123" s="1616">
        <f>IF(I$121=0,0,G123/I$121)</f>
        <v>0</v>
      </c>
      <c r="E123" s="1616">
        <f>IF(J$121=0,0,H123/J$121)</f>
        <v>0</v>
      </c>
      <c r="G123" s="1591">
        <f t="shared" si="83"/>
        <v>0</v>
      </c>
      <c r="H123" s="1591">
        <f t="shared" si="84"/>
        <v>0</v>
      </c>
      <c r="I123" s="1591"/>
      <c r="J123" s="1591"/>
      <c r="K123" s="1591">
        <f>IF(スコア表示!W123=0,0,1)</f>
        <v>0</v>
      </c>
      <c r="L123" s="1591">
        <f>IF(スコア表示!AA123=0,0,1)</f>
        <v>0</v>
      </c>
      <c r="M123" s="1591">
        <f t="shared" si="85"/>
        <v>0</v>
      </c>
      <c r="N123" s="1591">
        <f t="shared" si="102"/>
        <v>0</v>
      </c>
      <c r="P123" s="1547" t="str">
        <f t="shared" si="103"/>
        <v>2.2</v>
      </c>
      <c r="Q123" s="1547" t="str">
        <f t="shared" si="104"/>
        <v>LR1 2</v>
      </c>
      <c r="R123" s="1637" t="str">
        <f t="shared" si="86"/>
        <v>自然エネルギーの変換利用</v>
      </c>
      <c r="S123" s="1518">
        <f t="shared" si="106"/>
        <v>0</v>
      </c>
      <c r="T123" s="1518">
        <f t="shared" si="106"/>
        <v>0</v>
      </c>
      <c r="U123" s="1518">
        <f t="shared" si="106"/>
        <v>0</v>
      </c>
      <c r="V123" s="1518">
        <f t="shared" si="106"/>
        <v>0</v>
      </c>
      <c r="W123" s="1518">
        <f t="shared" si="106"/>
        <v>0</v>
      </c>
      <c r="X123" s="1518">
        <f t="shared" si="106"/>
        <v>0</v>
      </c>
      <c r="Y123" s="1518">
        <f t="shared" si="106"/>
        <v>0</v>
      </c>
      <c r="Z123" s="1518">
        <f t="shared" si="106"/>
        <v>0</v>
      </c>
      <c r="AA123" s="1518">
        <f t="shared" si="106"/>
        <v>0</v>
      </c>
      <c r="AB123" s="1518">
        <f t="shared" si="106"/>
        <v>0</v>
      </c>
      <c r="AC123" s="1562">
        <f t="shared" si="107"/>
        <v>0</v>
      </c>
      <c r="AD123" s="1561">
        <f t="shared" si="108"/>
        <v>0</v>
      </c>
      <c r="AE123" s="1561">
        <f t="shared" si="109"/>
        <v>0</v>
      </c>
      <c r="AG123" s="1547" t="s">
        <v>1418</v>
      </c>
      <c r="AH123" s="1593" t="s">
        <v>323</v>
      </c>
      <c r="AI123" s="1637" t="s">
        <v>690</v>
      </c>
      <c r="AJ123" s="1523"/>
      <c r="AK123" s="1523"/>
      <c r="AL123" s="1523"/>
      <c r="AM123" s="1523"/>
      <c r="AN123" s="1523"/>
      <c r="AO123" s="1523"/>
      <c r="AP123" s="1523"/>
      <c r="AQ123" s="1523"/>
      <c r="AR123" s="1523"/>
      <c r="AS123" s="1523"/>
      <c r="AT123" s="1988"/>
      <c r="AU123" s="1987"/>
      <c r="AV123" s="1987"/>
      <c r="AX123" s="1547" t="s">
        <v>1419</v>
      </c>
      <c r="AY123" s="1593" t="s">
        <v>323</v>
      </c>
      <c r="AZ123" s="1637" t="s">
        <v>690</v>
      </c>
      <c r="BA123" s="1523"/>
      <c r="BB123" s="1523"/>
      <c r="BC123" s="1523"/>
      <c r="BD123" s="1523"/>
      <c r="BE123" s="1523"/>
      <c r="BF123" s="1523"/>
      <c r="BG123" s="1523"/>
      <c r="BH123" s="1523"/>
      <c r="BI123" s="1523"/>
      <c r="BJ123" s="1523"/>
      <c r="BK123" s="1988"/>
      <c r="BL123" s="1987"/>
      <c r="BM123" s="1987"/>
      <c r="BO123" s="1547" t="s">
        <v>1419</v>
      </c>
      <c r="BP123" s="1593" t="s">
        <v>323</v>
      </c>
      <c r="BQ123" s="1637" t="s">
        <v>690</v>
      </c>
      <c r="BR123" s="1523"/>
      <c r="BS123" s="1523"/>
      <c r="BT123" s="1523"/>
      <c r="BU123" s="1523"/>
      <c r="BV123" s="1523"/>
      <c r="BW123" s="1523"/>
      <c r="BX123" s="1523"/>
      <c r="BY123" s="1523"/>
      <c r="BZ123" s="1523"/>
      <c r="CA123" s="1523"/>
      <c r="CB123" s="1988"/>
      <c r="CC123" s="1987"/>
      <c r="CD123" s="1987"/>
    </row>
    <row r="124" spans="1:83" s="1505" customFormat="1">
      <c r="A124"/>
      <c r="B124" s="1497">
        <f t="shared" si="100"/>
        <v>3</v>
      </c>
      <c r="C124" s="1541" t="str">
        <f t="shared" si="82"/>
        <v>設備システムの高効率化</v>
      </c>
      <c r="D124" s="1962">
        <f>IF(I$117=0,0,G124/I$117)</f>
        <v>0.5</v>
      </c>
      <c r="E124" s="1643">
        <f>IF(J$117=0,0,H124/J$117)</f>
        <v>0</v>
      </c>
      <c r="F124"/>
      <c r="G124" s="1643">
        <f t="shared" si="83"/>
        <v>0.50000000000000011</v>
      </c>
      <c r="H124" s="1643">
        <f t="shared" si="84"/>
        <v>0</v>
      </c>
      <c r="I124" s="1624">
        <f>SUM(G125:G126)</f>
        <v>0.97911227154047009</v>
      </c>
      <c r="J124" s="1624">
        <f>SUM(H125:H126)</f>
        <v>0</v>
      </c>
      <c r="K124" s="1643">
        <f>IF(スコア表示!W124=0,0,1)</f>
        <v>1</v>
      </c>
      <c r="L124" s="1643">
        <f>IF(スコア表示!AA124=0,0,1)</f>
        <v>0</v>
      </c>
      <c r="M124" s="1643">
        <f t="shared" si="85"/>
        <v>0.50000000000000011</v>
      </c>
      <c r="N124" s="1643">
        <f t="shared" si="102"/>
        <v>0</v>
      </c>
      <c r="O124"/>
      <c r="P124" s="1541">
        <f t="shared" si="103"/>
        <v>3</v>
      </c>
      <c r="Q124" s="1541" t="str">
        <f t="shared" si="104"/>
        <v>LR1</v>
      </c>
      <c r="R124" s="1680" t="str">
        <f t="shared" si="86"/>
        <v>設備システムの高効率化</v>
      </c>
      <c r="S124" s="1543">
        <f t="shared" ref="S124:S159" si="110">IF($P$3=1,BA124,IF($P$3=2,BR124,AJ124))</f>
        <v>0.5</v>
      </c>
      <c r="T124" s="1543">
        <f t="shared" ref="T124:T159" si="111">IF($P$3=1,BB124,IF($P$3=2,BS124,AK124))</f>
        <v>0.5</v>
      </c>
      <c r="U124" s="1543">
        <f t="shared" ref="U124:U159" si="112">IF($P$3=1,BC124,IF($P$3=2,BT124,AL124))</f>
        <v>0.5</v>
      </c>
      <c r="V124" s="1543">
        <f t="shared" ref="V124:V159" si="113">IF($P$3=1,BD124,IF($P$3=2,BU124,AM124))</f>
        <v>0.5</v>
      </c>
      <c r="W124" s="1543">
        <f t="shared" ref="W124:W159" si="114">IF($P$3=1,BE124,IF($P$3=2,BV124,AN124))</f>
        <v>0.5</v>
      </c>
      <c r="X124" s="1543">
        <f t="shared" ref="X124:X159" si="115">IF($P$3=1,BF124,IF($P$3=2,BW124,AO124))</f>
        <v>0.5</v>
      </c>
      <c r="Y124" s="1543">
        <f t="shared" ref="Y124:Y159" si="116">IF($P$3=1,BG124,IF($P$3=2,BX124,AP124))</f>
        <v>0.5</v>
      </c>
      <c r="Z124" s="1511">
        <f t="shared" ref="Z124:Z159" si="117">IF($P$3=1,BH124,IF($P$3=2,BY124,AQ124))</f>
        <v>0.5</v>
      </c>
      <c r="AA124" s="1543">
        <f t="shared" ref="AA124:AA159" si="118">IF($P$3=1,BI124,IF($P$3=2,BZ124,AR124))</f>
        <v>0.625</v>
      </c>
      <c r="AB124" s="1543">
        <f t="shared" ref="AB124:AB159" si="119">IF($P$3=1,BJ124,IF($P$3=2,CA124,AS124))</f>
        <v>0.5</v>
      </c>
      <c r="AC124" s="1559">
        <f t="shared" si="107"/>
        <v>0</v>
      </c>
      <c r="AD124" s="1510">
        <f t="shared" si="108"/>
        <v>0</v>
      </c>
      <c r="AE124" s="1510">
        <f t="shared" si="109"/>
        <v>0</v>
      </c>
      <c r="AF124"/>
      <c r="AG124" s="1541">
        <v>3</v>
      </c>
      <c r="AH124" s="1644" t="s">
        <v>322</v>
      </c>
      <c r="AI124" s="1680" t="s">
        <v>691</v>
      </c>
      <c r="AJ124" s="1979">
        <v>0.5</v>
      </c>
      <c r="AK124" s="1979">
        <v>0.5</v>
      </c>
      <c r="AL124" s="1979">
        <v>0.5</v>
      </c>
      <c r="AM124" s="1979">
        <v>0.5</v>
      </c>
      <c r="AN124" s="1979">
        <v>0.5</v>
      </c>
      <c r="AO124" s="1979">
        <v>0.5</v>
      </c>
      <c r="AP124" s="1979">
        <v>0.5</v>
      </c>
      <c r="AQ124" s="1979">
        <v>0.5</v>
      </c>
      <c r="AR124" s="2250">
        <v>0.625</v>
      </c>
      <c r="AS124" s="1979">
        <v>0.5</v>
      </c>
      <c r="AT124" s="1963"/>
      <c r="AU124" s="1611"/>
      <c r="AV124" s="1611"/>
      <c r="AW124"/>
      <c r="AX124" s="1541">
        <v>3</v>
      </c>
      <c r="AY124" s="1644" t="s">
        <v>322</v>
      </c>
      <c r="AZ124" s="1680" t="s">
        <v>691</v>
      </c>
      <c r="BA124" s="1979">
        <v>0.5</v>
      </c>
      <c r="BB124" s="1979">
        <v>0.5</v>
      </c>
      <c r="BC124" s="1979">
        <v>0.5</v>
      </c>
      <c r="BD124" s="1979">
        <v>0.5</v>
      </c>
      <c r="BE124" s="1979">
        <v>0.5</v>
      </c>
      <c r="BF124" s="1979">
        <v>0.5</v>
      </c>
      <c r="BG124" s="1979">
        <v>0.5</v>
      </c>
      <c r="BH124" s="1979">
        <v>0.5</v>
      </c>
      <c r="BI124" s="2250">
        <v>0.625</v>
      </c>
      <c r="BJ124" s="1979">
        <v>0.5</v>
      </c>
      <c r="BK124" s="1963"/>
      <c r="BL124" s="1611"/>
      <c r="BM124" s="1611"/>
      <c r="BN124"/>
      <c r="BO124" s="1541">
        <v>3</v>
      </c>
      <c r="BP124" s="1644" t="s">
        <v>322</v>
      </c>
      <c r="BQ124" s="1680" t="s">
        <v>691</v>
      </c>
      <c r="BR124" s="1979">
        <v>0.5</v>
      </c>
      <c r="BS124" s="1979">
        <v>0.5</v>
      </c>
      <c r="BT124" s="1979">
        <v>0.5</v>
      </c>
      <c r="BU124" s="1979">
        <v>0.5</v>
      </c>
      <c r="BV124" s="1979">
        <v>0.5</v>
      </c>
      <c r="BW124" s="1979">
        <v>0.5</v>
      </c>
      <c r="BX124" s="1979">
        <v>0.5</v>
      </c>
      <c r="BY124" s="1979">
        <v>0.5</v>
      </c>
      <c r="BZ124" s="2250">
        <v>0.625</v>
      </c>
      <c r="CA124" s="1979">
        <v>0.5</v>
      </c>
      <c r="CB124" s="1963"/>
      <c r="CC124" s="1611"/>
      <c r="CD124" s="1611"/>
      <c r="CE124"/>
    </row>
    <row r="125" spans="1:83" s="1505" customFormat="1">
      <c r="A125"/>
      <c r="B125" s="1497" t="str">
        <f t="shared" si="100"/>
        <v>3a.3b</v>
      </c>
      <c r="C125" s="1541" t="str">
        <f t="shared" si="82"/>
        <v>非住宅部分</v>
      </c>
      <c r="D125" s="1962">
        <f>IF(I$124=0,0,G125/I$124)</f>
        <v>1</v>
      </c>
      <c r="E125" s="1643">
        <f>IF(J$124=0,0,H125/J$124)</f>
        <v>0</v>
      </c>
      <c r="F125"/>
      <c r="G125" s="1643">
        <f t="shared" si="83"/>
        <v>0.97911227154047009</v>
      </c>
      <c r="H125" s="1643">
        <f>L125*N125</f>
        <v>0</v>
      </c>
      <c r="I125" s="1643"/>
      <c r="J125" s="1643"/>
      <c r="K125" s="1643">
        <f>IF(スコア表示!W125=0,0,1)</f>
        <v>1</v>
      </c>
      <c r="L125" s="1643">
        <f>IF(スコア表示!AA125=0,0,1)</f>
        <v>0</v>
      </c>
      <c r="M125" s="1643">
        <f t="shared" si="85"/>
        <v>0.97911227154047009</v>
      </c>
      <c r="N125" s="1643">
        <f t="shared" si="102"/>
        <v>0</v>
      </c>
      <c r="O125"/>
      <c r="P125" s="1541" t="str">
        <f t="shared" si="103"/>
        <v>3a.3b</v>
      </c>
      <c r="Q125" s="1541" t="str">
        <f t="shared" si="104"/>
        <v>LR1 3</v>
      </c>
      <c r="R125" s="1680" t="str">
        <f t="shared" si="86"/>
        <v>非住宅部分</v>
      </c>
      <c r="S125" s="1543">
        <f t="shared" si="110"/>
        <v>1</v>
      </c>
      <c r="T125" s="1543">
        <f t="shared" si="111"/>
        <v>1</v>
      </c>
      <c r="U125" s="1543">
        <f t="shared" si="112"/>
        <v>1</v>
      </c>
      <c r="V125" s="1543">
        <f t="shared" si="113"/>
        <v>1</v>
      </c>
      <c r="W125" s="1543">
        <f t="shared" si="114"/>
        <v>1</v>
      </c>
      <c r="X125" s="1543">
        <f t="shared" si="115"/>
        <v>1</v>
      </c>
      <c r="Y125" s="1543">
        <f t="shared" si="116"/>
        <v>0</v>
      </c>
      <c r="Z125" s="1543">
        <f t="shared" si="117"/>
        <v>1</v>
      </c>
      <c r="AA125" s="1543">
        <f t="shared" si="118"/>
        <v>1</v>
      </c>
      <c r="AB125" s="1543">
        <f t="shared" si="119"/>
        <v>1</v>
      </c>
      <c r="AC125" s="1559">
        <f t="shared" si="107"/>
        <v>0</v>
      </c>
      <c r="AD125" s="1510">
        <f t="shared" si="108"/>
        <v>0</v>
      </c>
      <c r="AE125" s="1510">
        <f t="shared" si="109"/>
        <v>0</v>
      </c>
      <c r="AF125"/>
      <c r="AG125" s="1541" t="s">
        <v>1561</v>
      </c>
      <c r="AH125" s="1644" t="s">
        <v>1562</v>
      </c>
      <c r="AI125" s="1680" t="s">
        <v>1422</v>
      </c>
      <c r="AJ125" s="1636">
        <v>1</v>
      </c>
      <c r="AK125" s="1636">
        <v>1</v>
      </c>
      <c r="AL125" s="1636">
        <v>1</v>
      </c>
      <c r="AM125" s="1636">
        <v>1</v>
      </c>
      <c r="AN125" s="1636">
        <v>1</v>
      </c>
      <c r="AO125" s="1636">
        <v>1</v>
      </c>
      <c r="AP125" s="1636"/>
      <c r="AQ125" s="1636">
        <v>1</v>
      </c>
      <c r="AR125" s="1636">
        <v>1</v>
      </c>
      <c r="AS125" s="1636">
        <v>1</v>
      </c>
      <c r="AT125" s="1963"/>
      <c r="AU125" s="1611"/>
      <c r="AV125" s="1611"/>
      <c r="AW125"/>
      <c r="AX125" s="1541" t="s">
        <v>1420</v>
      </c>
      <c r="AY125" s="1644" t="s">
        <v>1421</v>
      </c>
      <c r="AZ125" s="1680" t="s">
        <v>1422</v>
      </c>
      <c r="BA125" s="1636">
        <v>1</v>
      </c>
      <c r="BB125" s="1636">
        <v>1</v>
      </c>
      <c r="BC125" s="1636">
        <v>1</v>
      </c>
      <c r="BD125" s="1636">
        <v>1</v>
      </c>
      <c r="BE125" s="1636">
        <v>1</v>
      </c>
      <c r="BF125" s="1636">
        <v>1</v>
      </c>
      <c r="BG125" s="1636"/>
      <c r="BH125" s="1636">
        <v>1</v>
      </c>
      <c r="BI125" s="1636">
        <v>1</v>
      </c>
      <c r="BJ125" s="1636">
        <v>1</v>
      </c>
      <c r="BK125" s="1963"/>
      <c r="BL125" s="1611"/>
      <c r="BM125" s="1611"/>
      <c r="BN125"/>
      <c r="BO125" s="1541" t="s">
        <v>1420</v>
      </c>
      <c r="BP125" s="1644" t="s">
        <v>1421</v>
      </c>
      <c r="BQ125" s="1680" t="s">
        <v>1422</v>
      </c>
      <c r="BR125" s="1636">
        <v>1</v>
      </c>
      <c r="BS125" s="1636">
        <v>1</v>
      </c>
      <c r="BT125" s="1636">
        <v>1</v>
      </c>
      <c r="BU125" s="1636">
        <v>1</v>
      </c>
      <c r="BV125" s="1636">
        <v>1</v>
      </c>
      <c r="BW125" s="1636">
        <v>1</v>
      </c>
      <c r="BX125" s="1636"/>
      <c r="BY125" s="1636">
        <v>1</v>
      </c>
      <c r="BZ125" s="1636">
        <v>1</v>
      </c>
      <c r="CA125" s="1636">
        <v>1</v>
      </c>
      <c r="CB125" s="1963"/>
      <c r="CC125" s="1611"/>
      <c r="CD125" s="1611"/>
      <c r="CE125"/>
    </row>
    <row r="126" spans="1:83" s="1505" customFormat="1">
      <c r="A126"/>
      <c r="B126" s="1497" t="str">
        <f t="shared" si="100"/>
        <v>3b.c</v>
      </c>
      <c r="C126" s="1541" t="str">
        <f t="shared" si="82"/>
        <v>集合住宅の評価</v>
      </c>
      <c r="D126" s="1962">
        <f>IF(I$124=0,0,G126/I$124)</f>
        <v>0</v>
      </c>
      <c r="E126" s="1643">
        <f>IF(J$124=0,0,H126/J$124)</f>
        <v>0</v>
      </c>
      <c r="F126"/>
      <c r="G126" s="1643">
        <f t="shared" si="83"/>
        <v>0</v>
      </c>
      <c r="H126" s="1643">
        <f t="shared" si="84"/>
        <v>0</v>
      </c>
      <c r="I126" s="1643"/>
      <c r="J126" s="1643"/>
      <c r="K126" s="1643">
        <f>IF(スコア表示!W126=0,0,1)</f>
        <v>0</v>
      </c>
      <c r="L126" s="1643">
        <f>IF(スコア表示!AA126=0,0,1)</f>
        <v>0</v>
      </c>
      <c r="M126" s="1643">
        <f>SUMPRODUCT($S$7:$AB$7,S126:AB126)</f>
        <v>2.0887728459530026E-2</v>
      </c>
      <c r="N126" s="1643">
        <f t="shared" si="102"/>
        <v>0</v>
      </c>
      <c r="O126"/>
      <c r="P126" s="1541" t="str">
        <f t="shared" si="103"/>
        <v>3b.c</v>
      </c>
      <c r="Q126" s="1541" t="str">
        <f t="shared" si="104"/>
        <v>LR1 3</v>
      </c>
      <c r="R126" s="1680" t="str">
        <f t="shared" si="86"/>
        <v>集合住宅の評価</v>
      </c>
      <c r="S126" s="1543">
        <f t="shared" si="110"/>
        <v>0</v>
      </c>
      <c r="T126" s="1543">
        <f t="shared" si="111"/>
        <v>0</v>
      </c>
      <c r="U126" s="1543">
        <f t="shared" si="112"/>
        <v>0</v>
      </c>
      <c r="V126" s="1543">
        <f t="shared" si="113"/>
        <v>0</v>
      </c>
      <c r="W126" s="1543">
        <f t="shared" si="114"/>
        <v>0</v>
      </c>
      <c r="X126" s="1543">
        <f t="shared" si="115"/>
        <v>0</v>
      </c>
      <c r="Y126" s="1543">
        <f t="shared" si="116"/>
        <v>1</v>
      </c>
      <c r="Z126" s="1543">
        <f t="shared" si="117"/>
        <v>0</v>
      </c>
      <c r="AA126" s="1543">
        <f t="shared" si="118"/>
        <v>0</v>
      </c>
      <c r="AB126" s="1543">
        <f t="shared" si="119"/>
        <v>0</v>
      </c>
      <c r="AC126" s="1559">
        <f t="shared" si="107"/>
        <v>0</v>
      </c>
      <c r="AD126" s="1510">
        <f t="shared" si="108"/>
        <v>0</v>
      </c>
      <c r="AE126" s="1510">
        <f t="shared" si="109"/>
        <v>0</v>
      </c>
      <c r="AF126"/>
      <c r="AG126" s="1541" t="s">
        <v>1563</v>
      </c>
      <c r="AH126" s="1644" t="s">
        <v>1562</v>
      </c>
      <c r="AI126" s="1680" t="s">
        <v>91</v>
      </c>
      <c r="AJ126" s="1575"/>
      <c r="AK126" s="1575"/>
      <c r="AL126" s="1575"/>
      <c r="AM126" s="1575"/>
      <c r="AN126" s="1575"/>
      <c r="AO126" s="1575"/>
      <c r="AP126" s="1636">
        <v>1</v>
      </c>
      <c r="AQ126" s="1575"/>
      <c r="AR126" s="1575"/>
      <c r="AS126" s="1636"/>
      <c r="AT126" s="1963"/>
      <c r="AU126" s="1611"/>
      <c r="AV126" s="1611"/>
      <c r="AW126"/>
      <c r="AX126" s="1541" t="s">
        <v>1423</v>
      </c>
      <c r="AY126" s="1644" t="s">
        <v>1421</v>
      </c>
      <c r="AZ126" s="1680" t="s">
        <v>91</v>
      </c>
      <c r="BA126" s="1575"/>
      <c r="BB126" s="1575"/>
      <c r="BC126" s="1575"/>
      <c r="BD126" s="1575"/>
      <c r="BE126" s="1575"/>
      <c r="BF126" s="1575"/>
      <c r="BG126" s="1636">
        <v>1</v>
      </c>
      <c r="BH126" s="1575"/>
      <c r="BI126" s="1575"/>
      <c r="BJ126" s="1636"/>
      <c r="BK126" s="1963"/>
      <c r="BL126" s="1611"/>
      <c r="BM126" s="1611"/>
      <c r="BN126"/>
      <c r="BO126" s="1541" t="s">
        <v>1423</v>
      </c>
      <c r="BP126" s="1644" t="s">
        <v>1421</v>
      </c>
      <c r="BQ126" s="1680" t="s">
        <v>91</v>
      </c>
      <c r="BR126" s="1575"/>
      <c r="BS126" s="1575"/>
      <c r="BT126" s="1575"/>
      <c r="BU126" s="1575"/>
      <c r="BV126" s="1575"/>
      <c r="BW126" s="1575"/>
      <c r="BX126" s="1636">
        <v>1</v>
      </c>
      <c r="BY126" s="1575"/>
      <c r="BZ126" s="1575"/>
      <c r="CA126" s="1636"/>
      <c r="CB126" s="1963"/>
      <c r="CC126" s="1611"/>
      <c r="CD126" s="1611"/>
      <c r="CE126"/>
    </row>
    <row r="127" spans="1:83" hidden="1">
      <c r="B127" s="1497">
        <f t="shared" si="100"/>
        <v>3.1</v>
      </c>
      <c r="C127" s="1547" t="str">
        <f t="shared" si="82"/>
        <v>空調設備</v>
      </c>
      <c r="D127" s="1616">
        <f t="shared" ref="D127:E131" si="120">IF(I$126=0,0,G127/I$126)</f>
        <v>0</v>
      </c>
      <c r="E127" s="1591">
        <f t="shared" si="120"/>
        <v>0</v>
      </c>
      <c r="G127" s="1591">
        <f t="shared" si="83"/>
        <v>0</v>
      </c>
      <c r="H127" s="1591">
        <f t="shared" si="84"/>
        <v>0</v>
      </c>
      <c r="I127" s="1591"/>
      <c r="J127" s="1591"/>
      <c r="K127" s="1591">
        <f>IF(スコア表示!W127=0,0,1)</f>
        <v>0</v>
      </c>
      <c r="L127" s="1591">
        <f>IF(スコア表示!AA127=0,0,1)</f>
        <v>0</v>
      </c>
      <c r="M127" s="1591">
        <f t="shared" si="85"/>
        <v>0</v>
      </c>
      <c r="N127" s="1591">
        <f t="shared" si="102"/>
        <v>0</v>
      </c>
      <c r="P127" s="1547">
        <f t="shared" si="103"/>
        <v>3.1</v>
      </c>
      <c r="Q127" s="1547" t="str">
        <f t="shared" si="104"/>
        <v>LR1 3b</v>
      </c>
      <c r="R127" s="1637" t="str">
        <f t="shared" si="86"/>
        <v>空調設備</v>
      </c>
      <c r="S127" s="1518">
        <f t="shared" si="110"/>
        <v>0</v>
      </c>
      <c r="T127" s="1518">
        <f t="shared" si="111"/>
        <v>0</v>
      </c>
      <c r="U127" s="1518">
        <f t="shared" si="112"/>
        <v>0</v>
      </c>
      <c r="V127" s="1518">
        <f t="shared" si="113"/>
        <v>0</v>
      </c>
      <c r="W127" s="1518">
        <f t="shared" si="114"/>
        <v>0</v>
      </c>
      <c r="X127" s="1518">
        <f t="shared" si="115"/>
        <v>0</v>
      </c>
      <c r="Y127" s="1518">
        <f t="shared" si="116"/>
        <v>0</v>
      </c>
      <c r="Z127" s="1526">
        <f t="shared" si="117"/>
        <v>0</v>
      </c>
      <c r="AA127" s="1518">
        <f t="shared" si="118"/>
        <v>0</v>
      </c>
      <c r="AB127" s="1518">
        <f t="shared" si="119"/>
        <v>0.65</v>
      </c>
      <c r="AC127" s="1519">
        <f t="shared" si="107"/>
        <v>0</v>
      </c>
      <c r="AD127" s="1518">
        <f t="shared" si="108"/>
        <v>0</v>
      </c>
      <c r="AE127" s="1518">
        <f t="shared" si="109"/>
        <v>0</v>
      </c>
      <c r="AG127" s="1547">
        <v>3.1</v>
      </c>
      <c r="AH127" s="1593" t="s">
        <v>1424</v>
      </c>
      <c r="AI127" s="1637" t="s">
        <v>692</v>
      </c>
      <c r="AJ127" s="1523"/>
      <c r="AK127" s="1523"/>
      <c r="AL127" s="1523"/>
      <c r="AM127" s="1523"/>
      <c r="AN127" s="1523"/>
      <c r="AO127" s="1523"/>
      <c r="AP127" s="1523"/>
      <c r="AQ127" s="1524"/>
      <c r="AR127" s="1523"/>
      <c r="AS127" s="2255">
        <v>0.65</v>
      </c>
      <c r="AT127" s="1525"/>
      <c r="AU127" s="1523"/>
      <c r="AV127" s="1523"/>
      <c r="AX127" s="1547">
        <v>3.1</v>
      </c>
      <c r="AY127" s="1593" t="s">
        <v>1425</v>
      </c>
      <c r="AZ127" s="1637" t="s">
        <v>692</v>
      </c>
      <c r="BA127" s="1523"/>
      <c r="BB127" s="1523"/>
      <c r="BC127" s="1523"/>
      <c r="BD127" s="1523"/>
      <c r="BE127" s="1523"/>
      <c r="BF127" s="1523"/>
      <c r="BG127" s="1523"/>
      <c r="BH127" s="1524"/>
      <c r="BI127" s="1523"/>
      <c r="BJ127" s="1523"/>
      <c r="BK127" s="1525"/>
      <c r="BL127" s="1523"/>
      <c r="BM127" s="1523"/>
      <c r="BO127" s="1547">
        <v>3.1</v>
      </c>
      <c r="BP127" s="1593" t="s">
        <v>1425</v>
      </c>
      <c r="BQ127" s="1637" t="s">
        <v>692</v>
      </c>
      <c r="BR127" s="1523"/>
      <c r="BS127" s="1523"/>
      <c r="BT127" s="1523"/>
      <c r="BU127" s="1523"/>
      <c r="BV127" s="1523"/>
      <c r="BW127" s="1523"/>
      <c r="BX127" s="1523"/>
      <c r="BY127" s="1524"/>
      <c r="BZ127" s="1523"/>
      <c r="CA127" s="1523"/>
      <c r="CB127" s="1525"/>
      <c r="CC127" s="1523"/>
      <c r="CD127" s="1523"/>
      <c r="CE127">
        <f>ROWS($CE$5:CE126)</f>
        <v>122</v>
      </c>
    </row>
    <row r="128" spans="1:83" hidden="1">
      <c r="B128" s="1497">
        <f t="shared" si="100"/>
        <v>3.2</v>
      </c>
      <c r="C128" s="1547" t="str">
        <f t="shared" si="82"/>
        <v>換気設備</v>
      </c>
      <c r="D128" s="1616">
        <f t="shared" si="120"/>
        <v>0</v>
      </c>
      <c r="E128" s="1591">
        <f t="shared" si="120"/>
        <v>0</v>
      </c>
      <c r="G128" s="1591">
        <f t="shared" si="83"/>
        <v>0</v>
      </c>
      <c r="H128" s="1591">
        <f t="shared" si="84"/>
        <v>0</v>
      </c>
      <c r="I128" s="1591"/>
      <c r="J128" s="1591"/>
      <c r="K128" s="1591">
        <f>IF(スコア表示!W128=0,0,1)</f>
        <v>0</v>
      </c>
      <c r="L128" s="1591">
        <f>IF(スコア表示!AA128=0,0,1)</f>
        <v>0</v>
      </c>
      <c r="M128" s="1591">
        <f t="shared" si="85"/>
        <v>0</v>
      </c>
      <c r="N128" s="1591">
        <f t="shared" si="102"/>
        <v>0</v>
      </c>
      <c r="P128" s="1547">
        <f t="shared" si="103"/>
        <v>3.2</v>
      </c>
      <c r="Q128" s="1547" t="str">
        <f t="shared" si="104"/>
        <v>LR1 3b</v>
      </c>
      <c r="R128" s="1637" t="str">
        <f t="shared" si="86"/>
        <v>換気設備</v>
      </c>
      <c r="S128" s="1518">
        <f t="shared" si="110"/>
        <v>0</v>
      </c>
      <c r="T128" s="1518">
        <f t="shared" si="111"/>
        <v>0</v>
      </c>
      <c r="U128" s="1518">
        <f t="shared" si="112"/>
        <v>0</v>
      </c>
      <c r="V128" s="1518">
        <f t="shared" si="113"/>
        <v>0</v>
      </c>
      <c r="W128" s="1518">
        <f t="shared" si="114"/>
        <v>0</v>
      </c>
      <c r="X128" s="1518">
        <f t="shared" si="115"/>
        <v>0</v>
      </c>
      <c r="Y128" s="1518">
        <f t="shared" si="116"/>
        <v>0</v>
      </c>
      <c r="Z128" s="1526">
        <f t="shared" si="117"/>
        <v>0</v>
      </c>
      <c r="AA128" s="1518">
        <f t="shared" si="118"/>
        <v>0</v>
      </c>
      <c r="AB128" s="1518">
        <f t="shared" si="119"/>
        <v>0.1</v>
      </c>
      <c r="AC128" s="1519">
        <f t="shared" si="107"/>
        <v>0</v>
      </c>
      <c r="AD128" s="1518">
        <f t="shared" si="108"/>
        <v>0</v>
      </c>
      <c r="AE128" s="1518">
        <f t="shared" si="109"/>
        <v>0</v>
      </c>
      <c r="AG128" s="1547">
        <v>3.2</v>
      </c>
      <c r="AH128" s="1593" t="s">
        <v>1424</v>
      </c>
      <c r="AI128" s="1637" t="s">
        <v>693</v>
      </c>
      <c r="AJ128" s="1523"/>
      <c r="AK128" s="1523"/>
      <c r="AL128" s="1523"/>
      <c r="AM128" s="1523"/>
      <c r="AN128" s="1523"/>
      <c r="AO128" s="1523"/>
      <c r="AP128" s="1523"/>
      <c r="AQ128" s="1524"/>
      <c r="AR128" s="1523"/>
      <c r="AS128" s="2255">
        <v>0.1</v>
      </c>
      <c r="AT128" s="1525"/>
      <c r="AU128" s="1523"/>
      <c r="AV128" s="1523"/>
      <c r="AX128" s="1547">
        <v>3.2</v>
      </c>
      <c r="AY128" s="1593" t="s">
        <v>1425</v>
      </c>
      <c r="AZ128" s="1637" t="s">
        <v>693</v>
      </c>
      <c r="BA128" s="1523"/>
      <c r="BB128" s="1523"/>
      <c r="BC128" s="1523"/>
      <c r="BD128" s="1523"/>
      <c r="BE128" s="1523"/>
      <c r="BF128" s="1523"/>
      <c r="BG128" s="1523"/>
      <c r="BH128" s="1524"/>
      <c r="BI128" s="1523"/>
      <c r="BJ128" s="1523"/>
      <c r="BK128" s="1525"/>
      <c r="BL128" s="1523"/>
      <c r="BM128" s="1523"/>
      <c r="BO128" s="1547">
        <v>3.2</v>
      </c>
      <c r="BP128" s="1593" t="s">
        <v>1425</v>
      </c>
      <c r="BQ128" s="1637" t="s">
        <v>693</v>
      </c>
      <c r="BR128" s="1523"/>
      <c r="BS128" s="1523"/>
      <c r="BT128" s="1523"/>
      <c r="BU128" s="1523"/>
      <c r="BV128" s="1523"/>
      <c r="BW128" s="1523"/>
      <c r="BX128" s="1523"/>
      <c r="BY128" s="1524"/>
      <c r="BZ128" s="1523"/>
      <c r="CA128" s="1523"/>
      <c r="CB128" s="1525"/>
      <c r="CC128" s="1523"/>
      <c r="CD128" s="1523"/>
      <c r="CE128">
        <f>ROWS($CE$5:CE127)</f>
        <v>123</v>
      </c>
    </row>
    <row r="129" spans="1:83" hidden="1">
      <c r="B129" s="1497">
        <f t="shared" si="100"/>
        <v>3.3</v>
      </c>
      <c r="C129" s="1547" t="str">
        <f t="shared" si="82"/>
        <v>照明設備</v>
      </c>
      <c r="D129" s="1616">
        <f t="shared" si="120"/>
        <v>0</v>
      </c>
      <c r="E129" s="1591">
        <f t="shared" si="120"/>
        <v>0</v>
      </c>
      <c r="G129" s="1591">
        <f t="shared" si="83"/>
        <v>0</v>
      </c>
      <c r="H129" s="1591">
        <f t="shared" si="84"/>
        <v>0</v>
      </c>
      <c r="I129" s="1591"/>
      <c r="J129" s="1591"/>
      <c r="K129" s="1591">
        <f>IF(スコア表示!W129=0,0,1)</f>
        <v>0</v>
      </c>
      <c r="L129" s="1591">
        <f>IF(スコア表示!AA129=0,0,1)</f>
        <v>0</v>
      </c>
      <c r="M129" s="1591">
        <f t="shared" si="85"/>
        <v>0</v>
      </c>
      <c r="N129" s="1591">
        <f t="shared" si="102"/>
        <v>0</v>
      </c>
      <c r="P129" s="1547">
        <f t="shared" si="103"/>
        <v>3.3</v>
      </c>
      <c r="Q129" s="1547" t="str">
        <f t="shared" si="104"/>
        <v>LR1 3b</v>
      </c>
      <c r="R129" s="1637" t="str">
        <f t="shared" si="86"/>
        <v>照明設備</v>
      </c>
      <c r="S129" s="1518">
        <f t="shared" si="110"/>
        <v>0</v>
      </c>
      <c r="T129" s="1518">
        <f t="shared" si="111"/>
        <v>0</v>
      </c>
      <c r="U129" s="1518">
        <f t="shared" si="112"/>
        <v>0</v>
      </c>
      <c r="V129" s="1518">
        <f t="shared" si="113"/>
        <v>0</v>
      </c>
      <c r="W129" s="1518">
        <f t="shared" si="114"/>
        <v>0</v>
      </c>
      <c r="X129" s="1518">
        <f t="shared" si="115"/>
        <v>0</v>
      </c>
      <c r="Y129" s="1518">
        <f t="shared" si="116"/>
        <v>0</v>
      </c>
      <c r="Z129" s="1526">
        <f t="shared" si="117"/>
        <v>0</v>
      </c>
      <c r="AA129" s="1518">
        <f t="shared" si="118"/>
        <v>0</v>
      </c>
      <c r="AB129" s="1518">
        <f t="shared" si="119"/>
        <v>0.2</v>
      </c>
      <c r="AC129" s="1519">
        <f t="shared" si="107"/>
        <v>0</v>
      </c>
      <c r="AD129" s="1518">
        <f t="shared" si="108"/>
        <v>0</v>
      </c>
      <c r="AE129" s="1518">
        <f t="shared" si="109"/>
        <v>0</v>
      </c>
      <c r="AG129" s="1547">
        <v>3.3</v>
      </c>
      <c r="AH129" s="1593" t="s">
        <v>1424</v>
      </c>
      <c r="AI129" s="1637" t="s">
        <v>694</v>
      </c>
      <c r="AJ129" s="1523"/>
      <c r="AK129" s="1523"/>
      <c r="AL129" s="1523"/>
      <c r="AM129" s="1523"/>
      <c r="AN129" s="1523"/>
      <c r="AO129" s="1523"/>
      <c r="AP129" s="1523"/>
      <c r="AQ129" s="1524"/>
      <c r="AR129" s="1523"/>
      <c r="AS129" s="2255">
        <v>0.2</v>
      </c>
      <c r="AT129" s="1525"/>
      <c r="AU129" s="1523"/>
      <c r="AV129" s="1523"/>
      <c r="AX129" s="1547">
        <v>3.3</v>
      </c>
      <c r="AY129" s="1593" t="s">
        <v>1425</v>
      </c>
      <c r="AZ129" s="1637" t="s">
        <v>694</v>
      </c>
      <c r="BA129" s="1523"/>
      <c r="BB129" s="1523"/>
      <c r="BC129" s="1523"/>
      <c r="BD129" s="1523"/>
      <c r="BE129" s="1523"/>
      <c r="BF129" s="1523"/>
      <c r="BG129" s="1523"/>
      <c r="BH129" s="1524"/>
      <c r="BI129" s="1523"/>
      <c r="BJ129" s="1523"/>
      <c r="BK129" s="1525"/>
      <c r="BL129" s="1523"/>
      <c r="BM129" s="1523"/>
      <c r="BO129" s="1547">
        <v>3.3</v>
      </c>
      <c r="BP129" s="1593" t="s">
        <v>1425</v>
      </c>
      <c r="BQ129" s="1637" t="s">
        <v>694</v>
      </c>
      <c r="BR129" s="1523"/>
      <c r="BS129" s="1523"/>
      <c r="BT129" s="1523"/>
      <c r="BU129" s="1523"/>
      <c r="BV129" s="1523"/>
      <c r="BW129" s="1523"/>
      <c r="BX129" s="1523"/>
      <c r="BY129" s="1524"/>
      <c r="BZ129" s="1523"/>
      <c r="CA129" s="1523"/>
      <c r="CB129" s="1525"/>
      <c r="CC129" s="1523"/>
      <c r="CD129" s="1523"/>
      <c r="CE129">
        <f>ROWS($CE$5:CE128)</f>
        <v>124</v>
      </c>
    </row>
    <row r="130" spans="1:83" hidden="1">
      <c r="B130" s="1497">
        <f t="shared" si="100"/>
        <v>3.4</v>
      </c>
      <c r="C130" s="1547" t="str">
        <f t="shared" si="82"/>
        <v>給湯設備</v>
      </c>
      <c r="D130" s="1616">
        <f t="shared" si="120"/>
        <v>0</v>
      </c>
      <c r="E130" s="1591">
        <f t="shared" si="120"/>
        <v>0</v>
      </c>
      <c r="G130" s="1591">
        <f t="shared" si="83"/>
        <v>0</v>
      </c>
      <c r="H130" s="1591">
        <f t="shared" si="84"/>
        <v>0</v>
      </c>
      <c r="I130" s="1591"/>
      <c r="J130" s="1591"/>
      <c r="K130" s="1591">
        <f>IF(スコア表示!W130=0,0,1)</f>
        <v>0</v>
      </c>
      <c r="L130" s="1591">
        <f>IF(スコア表示!AA130=0,0,1)</f>
        <v>0</v>
      </c>
      <c r="M130" s="1591">
        <f t="shared" si="85"/>
        <v>0</v>
      </c>
      <c r="N130" s="1591">
        <f t="shared" si="102"/>
        <v>0</v>
      </c>
      <c r="P130" s="1992">
        <f t="shared" si="103"/>
        <v>3.4</v>
      </c>
      <c r="Q130" s="1547" t="str">
        <f t="shared" si="104"/>
        <v>LR1 3b</v>
      </c>
      <c r="R130" s="1637" t="str">
        <f t="shared" si="86"/>
        <v>給湯設備</v>
      </c>
      <c r="S130" s="1518">
        <f t="shared" si="110"/>
        <v>0</v>
      </c>
      <c r="T130" s="1518">
        <f t="shared" si="111"/>
        <v>0</v>
      </c>
      <c r="U130" s="1518">
        <f t="shared" si="112"/>
        <v>0</v>
      </c>
      <c r="V130" s="1518">
        <f t="shared" si="113"/>
        <v>0</v>
      </c>
      <c r="W130" s="1518">
        <f t="shared" si="114"/>
        <v>0</v>
      </c>
      <c r="X130" s="1518">
        <f t="shared" si="115"/>
        <v>0</v>
      </c>
      <c r="Y130" s="1518">
        <f t="shared" si="116"/>
        <v>0</v>
      </c>
      <c r="Z130" s="1526">
        <f t="shared" si="117"/>
        <v>0</v>
      </c>
      <c r="AA130" s="1518">
        <f t="shared" si="118"/>
        <v>0</v>
      </c>
      <c r="AB130" s="1518">
        <f t="shared" si="119"/>
        <v>0.05</v>
      </c>
      <c r="AC130" s="1519">
        <f t="shared" si="107"/>
        <v>0</v>
      </c>
      <c r="AD130" s="1518">
        <f t="shared" si="108"/>
        <v>0</v>
      </c>
      <c r="AE130" s="1518">
        <f t="shared" si="109"/>
        <v>0</v>
      </c>
      <c r="AG130" s="1992">
        <v>3.4</v>
      </c>
      <c r="AH130" s="1593" t="s">
        <v>1424</v>
      </c>
      <c r="AI130" s="1637" t="s">
        <v>324</v>
      </c>
      <c r="AJ130" s="1523"/>
      <c r="AK130" s="1523"/>
      <c r="AL130" s="1523"/>
      <c r="AM130" s="1523"/>
      <c r="AN130" s="1523"/>
      <c r="AO130" s="1523"/>
      <c r="AP130" s="1523"/>
      <c r="AQ130" s="1524"/>
      <c r="AR130" s="1523"/>
      <c r="AS130" s="2255">
        <v>0.05</v>
      </c>
      <c r="AT130" s="1525"/>
      <c r="AU130" s="1523"/>
      <c r="AV130" s="1523"/>
      <c r="AX130" s="1992">
        <v>3.4</v>
      </c>
      <c r="AY130" s="1593" t="s">
        <v>1425</v>
      </c>
      <c r="AZ130" s="1637" t="s">
        <v>324</v>
      </c>
      <c r="BA130" s="1523"/>
      <c r="BB130" s="1523"/>
      <c r="BC130" s="1523"/>
      <c r="BD130" s="1523"/>
      <c r="BE130" s="1523"/>
      <c r="BF130" s="1523"/>
      <c r="BG130" s="1523"/>
      <c r="BH130" s="1524"/>
      <c r="BI130" s="1523"/>
      <c r="BJ130" s="1523"/>
      <c r="BK130" s="1525"/>
      <c r="BL130" s="1523"/>
      <c r="BM130" s="1523"/>
      <c r="BO130" s="1992">
        <v>3.4</v>
      </c>
      <c r="BP130" s="1593" t="s">
        <v>1425</v>
      </c>
      <c r="BQ130" s="1637" t="s">
        <v>324</v>
      </c>
      <c r="BR130" s="1523"/>
      <c r="BS130" s="1523"/>
      <c r="BT130" s="1523"/>
      <c r="BU130" s="1523"/>
      <c r="BV130" s="1523"/>
      <c r="BW130" s="1523"/>
      <c r="BX130" s="1523"/>
      <c r="BY130" s="1524"/>
      <c r="BZ130" s="1523"/>
      <c r="CA130" s="1523"/>
      <c r="CB130" s="1525"/>
      <c r="CC130" s="1523"/>
      <c r="CD130" s="1523"/>
      <c r="CE130">
        <f>ROWS($CE$5:CE129)</f>
        <v>125</v>
      </c>
    </row>
    <row r="131" spans="1:83" hidden="1">
      <c r="B131" s="1497">
        <f t="shared" si="100"/>
        <v>3.5</v>
      </c>
      <c r="C131" s="1547" t="str">
        <f t="shared" si="82"/>
        <v>昇降機設備</v>
      </c>
      <c r="D131" s="1616">
        <f t="shared" si="120"/>
        <v>0</v>
      </c>
      <c r="E131" s="1591">
        <f t="shared" si="120"/>
        <v>0</v>
      </c>
      <c r="G131" s="1591">
        <f t="shared" si="83"/>
        <v>0</v>
      </c>
      <c r="H131" s="1591">
        <f t="shared" si="84"/>
        <v>0</v>
      </c>
      <c r="I131" s="1591"/>
      <c r="J131" s="1591"/>
      <c r="K131" s="1591">
        <f>IF(スコア表示!W131=0,0,1)</f>
        <v>0</v>
      </c>
      <c r="L131" s="1591">
        <f>IF(スコア表示!AA131=0,0,1)</f>
        <v>0</v>
      </c>
      <c r="M131" s="1591">
        <f t="shared" si="85"/>
        <v>0</v>
      </c>
      <c r="N131" s="1591">
        <f t="shared" si="102"/>
        <v>0</v>
      </c>
      <c r="P131" s="1992">
        <f t="shared" si="103"/>
        <v>3.5</v>
      </c>
      <c r="Q131" s="1547" t="str">
        <f t="shared" si="104"/>
        <v>LR1 3b</v>
      </c>
      <c r="R131" s="1637" t="str">
        <f t="shared" si="86"/>
        <v>昇降機設備</v>
      </c>
      <c r="S131" s="1518">
        <f t="shared" si="110"/>
        <v>0</v>
      </c>
      <c r="T131" s="1518">
        <f t="shared" si="111"/>
        <v>0</v>
      </c>
      <c r="U131" s="1518">
        <f t="shared" si="112"/>
        <v>0</v>
      </c>
      <c r="V131" s="1518">
        <f t="shared" si="113"/>
        <v>0</v>
      </c>
      <c r="W131" s="1518">
        <f t="shared" si="114"/>
        <v>0</v>
      </c>
      <c r="X131" s="1518">
        <f t="shared" si="115"/>
        <v>0</v>
      </c>
      <c r="Y131" s="1518">
        <f t="shared" si="116"/>
        <v>0</v>
      </c>
      <c r="Z131" s="1526">
        <f t="shared" si="117"/>
        <v>0</v>
      </c>
      <c r="AA131" s="1518">
        <f t="shared" si="118"/>
        <v>0</v>
      </c>
      <c r="AB131" s="1518">
        <f t="shared" si="119"/>
        <v>0</v>
      </c>
      <c r="AC131" s="1519">
        <f t="shared" si="107"/>
        <v>0</v>
      </c>
      <c r="AD131" s="1518">
        <f t="shared" si="108"/>
        <v>0</v>
      </c>
      <c r="AE131" s="1518">
        <f t="shared" si="109"/>
        <v>0</v>
      </c>
      <c r="AG131" s="1992">
        <v>3.5</v>
      </c>
      <c r="AH131" s="1593" t="s">
        <v>1424</v>
      </c>
      <c r="AI131" s="1637" t="s">
        <v>695</v>
      </c>
      <c r="AJ131" s="1523"/>
      <c r="AK131" s="1523"/>
      <c r="AL131" s="1523"/>
      <c r="AM131" s="1523"/>
      <c r="AN131" s="1523"/>
      <c r="AO131" s="1523"/>
      <c r="AP131" s="1523"/>
      <c r="AQ131" s="1524"/>
      <c r="AR131" s="1523"/>
      <c r="AS131" s="1523"/>
      <c r="AT131" s="1525"/>
      <c r="AU131" s="1523"/>
      <c r="AV131" s="1523"/>
      <c r="AX131" s="1992">
        <v>3.5</v>
      </c>
      <c r="AY131" s="1593" t="s">
        <v>1425</v>
      </c>
      <c r="AZ131" s="1637" t="s">
        <v>695</v>
      </c>
      <c r="BA131" s="1523"/>
      <c r="BB131" s="1523"/>
      <c r="BC131" s="1523"/>
      <c r="BD131" s="1523"/>
      <c r="BE131" s="1523"/>
      <c r="BF131" s="1523"/>
      <c r="BG131" s="1523"/>
      <c r="BH131" s="1524"/>
      <c r="BI131" s="1523"/>
      <c r="BJ131" s="1523"/>
      <c r="BK131" s="1525"/>
      <c r="BL131" s="1523"/>
      <c r="BM131" s="1523"/>
      <c r="BO131" s="1992">
        <v>3.5</v>
      </c>
      <c r="BP131" s="1593" t="s">
        <v>1425</v>
      </c>
      <c r="BQ131" s="1637" t="s">
        <v>695</v>
      </c>
      <c r="BR131" s="1523"/>
      <c r="BS131" s="1523"/>
      <c r="BT131" s="1523"/>
      <c r="BU131" s="1523"/>
      <c r="BV131" s="1523"/>
      <c r="BW131" s="1523"/>
      <c r="BX131" s="1523"/>
      <c r="BY131" s="1524"/>
      <c r="BZ131" s="1523"/>
      <c r="CA131" s="1523"/>
      <c r="CB131" s="1525"/>
      <c r="CC131" s="1523"/>
      <c r="CD131" s="1523"/>
      <c r="CE131">
        <f>ROWS($CE$5:CE130)</f>
        <v>126</v>
      </c>
    </row>
    <row r="132" spans="1:83">
      <c r="B132" s="1497">
        <f t="shared" si="100"/>
        <v>0</v>
      </c>
      <c r="C132" s="1547" t="str">
        <f t="shared" si="82"/>
        <v>実績値を用いた総合評価</v>
      </c>
      <c r="D132" s="1962">
        <f>IF(I$124=0,0,G132/I$124)</f>
        <v>1</v>
      </c>
      <c r="E132" s="1643"/>
      <c r="F132" s="2329"/>
      <c r="G132" s="1643">
        <f t="shared" si="83"/>
        <v>0.97911227154047009</v>
      </c>
      <c r="H132" s="1643">
        <f t="shared" si="84"/>
        <v>0</v>
      </c>
      <c r="I132" s="1643"/>
      <c r="J132" s="1643"/>
      <c r="K132" s="1591">
        <f>IF(スコア表示!W132=0,0,1)</f>
        <v>1</v>
      </c>
      <c r="L132" s="1591">
        <f>IF(スコア表示!AA132=0,0,1)</f>
        <v>0</v>
      </c>
      <c r="M132" s="1591">
        <f t="shared" si="85"/>
        <v>0.97911227154047009</v>
      </c>
      <c r="N132" s="1591">
        <f t="shared" si="102"/>
        <v>0</v>
      </c>
      <c r="P132" s="1992">
        <f t="shared" si="103"/>
        <v>0</v>
      </c>
      <c r="Q132" s="1992" t="str">
        <f t="shared" si="104"/>
        <v>LR</v>
      </c>
      <c r="R132" s="1637" t="str">
        <f t="shared" si="86"/>
        <v>実績値を用いた総合評価</v>
      </c>
      <c r="S132" s="1518">
        <f t="shared" si="110"/>
        <v>1</v>
      </c>
      <c r="T132" s="1518">
        <f t="shared" si="111"/>
        <v>1</v>
      </c>
      <c r="U132" s="1518">
        <f t="shared" si="112"/>
        <v>1</v>
      </c>
      <c r="V132" s="1518">
        <f t="shared" si="113"/>
        <v>1</v>
      </c>
      <c r="W132" s="1518">
        <f t="shared" si="114"/>
        <v>1</v>
      </c>
      <c r="X132" s="1518">
        <f t="shared" si="115"/>
        <v>1</v>
      </c>
      <c r="Y132" s="1518">
        <f t="shared" si="116"/>
        <v>0</v>
      </c>
      <c r="Z132" s="1526">
        <f t="shared" si="117"/>
        <v>1</v>
      </c>
      <c r="AA132" s="1518">
        <f t="shared" si="118"/>
        <v>0</v>
      </c>
      <c r="AB132" s="1518">
        <f t="shared" si="119"/>
        <v>1</v>
      </c>
      <c r="AC132" s="1519">
        <f t="shared" si="107"/>
        <v>0</v>
      </c>
      <c r="AD132" s="1518">
        <f t="shared" si="108"/>
        <v>0</v>
      </c>
      <c r="AE132" s="1518">
        <f t="shared" si="109"/>
        <v>0</v>
      </c>
      <c r="AG132" s="1992">
        <v>3</v>
      </c>
      <c r="AH132" s="2256" t="s">
        <v>1564</v>
      </c>
      <c r="AI132" s="1680" t="s">
        <v>1565</v>
      </c>
      <c r="AJ132" s="1523">
        <v>1</v>
      </c>
      <c r="AK132" s="1523">
        <v>1</v>
      </c>
      <c r="AL132" s="1523">
        <v>1</v>
      </c>
      <c r="AM132" s="1523">
        <v>1</v>
      </c>
      <c r="AN132" s="1523">
        <v>1</v>
      </c>
      <c r="AO132" s="1523">
        <v>1</v>
      </c>
      <c r="AP132" s="1523"/>
      <c r="AQ132" s="1523">
        <v>1</v>
      </c>
      <c r="AR132" s="1523"/>
      <c r="AS132" s="1523">
        <v>1</v>
      </c>
      <c r="AT132" s="1525"/>
      <c r="AU132" s="1523"/>
      <c r="AV132" s="1523"/>
      <c r="AX132" s="1992"/>
      <c r="AY132" s="1993" t="s">
        <v>321</v>
      </c>
      <c r="AZ132" s="1637"/>
      <c r="BA132" s="1523"/>
      <c r="BB132" s="1523"/>
      <c r="BC132" s="1523"/>
      <c r="BD132" s="1523"/>
      <c r="BE132" s="1523"/>
      <c r="BF132" s="1523"/>
      <c r="BG132" s="1523"/>
      <c r="BH132" s="1524"/>
      <c r="BI132" s="1523"/>
      <c r="BJ132" s="1523"/>
      <c r="BK132" s="1525"/>
      <c r="BL132" s="1523"/>
      <c r="BM132" s="1523"/>
      <c r="BO132" s="1992"/>
      <c r="BP132" s="1993" t="s">
        <v>321</v>
      </c>
      <c r="BQ132" s="1637"/>
      <c r="BR132" s="1523"/>
      <c r="BS132" s="1523"/>
      <c r="BT132" s="1523"/>
      <c r="BU132" s="1523"/>
      <c r="BV132" s="1523"/>
      <c r="BW132" s="1523"/>
      <c r="BX132" s="1523"/>
      <c r="BY132" s="1524"/>
      <c r="BZ132" s="1523"/>
      <c r="CA132" s="1523"/>
      <c r="CB132" s="1525"/>
      <c r="CC132" s="1523"/>
      <c r="CD132" s="1523"/>
      <c r="CE132">
        <f>ROWS($CE$5:CE131)</f>
        <v>127</v>
      </c>
    </row>
    <row r="133" spans="1:83" s="1505" customFormat="1">
      <c r="A133"/>
      <c r="B133" s="1497">
        <f t="shared" si="100"/>
        <v>4</v>
      </c>
      <c r="C133" s="1541" t="str">
        <f t="shared" si="82"/>
        <v>効率的運用</v>
      </c>
      <c r="D133" s="1962">
        <f>IF(I$117=0,0,G133/I$117)</f>
        <v>0.19999999999999998</v>
      </c>
      <c r="E133" s="1643">
        <f>IF(J$117=0,0,H133/J$117)</f>
        <v>0</v>
      </c>
      <c r="F133"/>
      <c r="G133" s="1643">
        <f t="shared" si="83"/>
        <v>0.20000000000000004</v>
      </c>
      <c r="H133" s="1643">
        <f t="shared" si="84"/>
        <v>0</v>
      </c>
      <c r="I133" s="1643">
        <f>G134+G137</f>
        <v>1.0000000000000002</v>
      </c>
      <c r="J133" s="1643">
        <f>H134+H137</f>
        <v>0</v>
      </c>
      <c r="K133" s="1643">
        <f>IF(スコア表示!W133=0,0,1)</f>
        <v>1</v>
      </c>
      <c r="L133" s="1643">
        <f>IF(スコア表示!AA133=0,0,1)</f>
        <v>0</v>
      </c>
      <c r="M133" s="1643">
        <f t="shared" si="85"/>
        <v>0.20000000000000004</v>
      </c>
      <c r="N133" s="1643">
        <f t="shared" si="102"/>
        <v>0</v>
      </c>
      <c r="O133"/>
      <c r="P133" s="1573">
        <f t="shared" si="103"/>
        <v>4</v>
      </c>
      <c r="Q133" s="1541" t="str">
        <f t="shared" si="104"/>
        <v>LR1</v>
      </c>
      <c r="R133" s="1680" t="str">
        <f t="shared" si="86"/>
        <v>効率的運用</v>
      </c>
      <c r="S133" s="1543">
        <f t="shared" si="110"/>
        <v>0.2</v>
      </c>
      <c r="T133" s="1543">
        <f t="shared" si="111"/>
        <v>0.2</v>
      </c>
      <c r="U133" s="1543">
        <f t="shared" si="112"/>
        <v>0.2</v>
      </c>
      <c r="V133" s="1543">
        <f t="shared" si="113"/>
        <v>0.2</v>
      </c>
      <c r="W133" s="1543">
        <f t="shared" si="114"/>
        <v>0.2</v>
      </c>
      <c r="X133" s="1543">
        <f t="shared" si="115"/>
        <v>0.2</v>
      </c>
      <c r="Y133" s="1543">
        <f t="shared" si="116"/>
        <v>0.2</v>
      </c>
      <c r="Z133" s="1511">
        <f t="shared" si="117"/>
        <v>0.2</v>
      </c>
      <c r="AA133" s="1543">
        <f t="shared" si="118"/>
        <v>0.25</v>
      </c>
      <c r="AB133" s="1543">
        <f t="shared" si="119"/>
        <v>0.2</v>
      </c>
      <c r="AC133" s="1559">
        <f t="shared" si="107"/>
        <v>0</v>
      </c>
      <c r="AD133" s="1510">
        <f t="shared" si="108"/>
        <v>0</v>
      </c>
      <c r="AE133" s="1510">
        <f t="shared" si="109"/>
        <v>0</v>
      </c>
      <c r="AF133"/>
      <c r="AG133" s="1573">
        <v>4</v>
      </c>
      <c r="AH133" s="1644" t="s">
        <v>322</v>
      </c>
      <c r="AI133" s="1680" t="s">
        <v>696</v>
      </c>
      <c r="AJ133" s="1979">
        <v>0.2</v>
      </c>
      <c r="AK133" s="1979">
        <v>0.2</v>
      </c>
      <c r="AL133" s="1979">
        <v>0.2</v>
      </c>
      <c r="AM133" s="1979">
        <v>0.2</v>
      </c>
      <c r="AN133" s="1979">
        <v>0.2</v>
      </c>
      <c r="AO133" s="1979">
        <v>0.2</v>
      </c>
      <c r="AP133" s="1979">
        <v>0.2</v>
      </c>
      <c r="AQ133" s="1979">
        <v>0.2</v>
      </c>
      <c r="AR133" s="1979">
        <v>0.25</v>
      </c>
      <c r="AS133" s="1979">
        <v>0.2</v>
      </c>
      <c r="AT133" s="1963"/>
      <c r="AU133" s="1611"/>
      <c r="AV133" s="1611"/>
      <c r="AW133"/>
      <c r="AX133" s="1573">
        <v>4</v>
      </c>
      <c r="AY133" s="1644" t="s">
        <v>322</v>
      </c>
      <c r="AZ133" s="1680" t="s">
        <v>696</v>
      </c>
      <c r="BA133" s="1979">
        <v>0.2</v>
      </c>
      <c r="BB133" s="1979">
        <v>0.2</v>
      </c>
      <c r="BC133" s="1979">
        <v>0.2</v>
      </c>
      <c r="BD133" s="1979">
        <v>0.2</v>
      </c>
      <c r="BE133" s="1979">
        <v>0.2</v>
      </c>
      <c r="BF133" s="1979">
        <v>0.2</v>
      </c>
      <c r="BG133" s="1979">
        <v>0.2</v>
      </c>
      <c r="BH133" s="1979">
        <v>0.2</v>
      </c>
      <c r="BI133" s="1979">
        <v>0.25</v>
      </c>
      <c r="BJ133" s="1979">
        <v>0.2</v>
      </c>
      <c r="BK133" s="1963"/>
      <c r="BL133" s="1611"/>
      <c r="BM133" s="1611"/>
      <c r="BN133"/>
      <c r="BO133" s="1573">
        <v>4</v>
      </c>
      <c r="BP133" s="1644" t="s">
        <v>322</v>
      </c>
      <c r="BQ133" s="1680" t="s">
        <v>696</v>
      </c>
      <c r="BR133" s="1979">
        <v>0.2</v>
      </c>
      <c r="BS133" s="1979">
        <v>0.2</v>
      </c>
      <c r="BT133" s="1979">
        <v>0.2</v>
      </c>
      <c r="BU133" s="1979">
        <v>0.2</v>
      </c>
      <c r="BV133" s="1979">
        <v>0.2</v>
      </c>
      <c r="BW133" s="1979">
        <v>0.2</v>
      </c>
      <c r="BX133" s="1979">
        <v>0.2</v>
      </c>
      <c r="BY133" s="1979">
        <v>0.2</v>
      </c>
      <c r="BZ133" s="1979">
        <v>0.25</v>
      </c>
      <c r="CA133" s="1979">
        <v>0.2</v>
      </c>
      <c r="CB133" s="1963"/>
      <c r="CC133" s="1611"/>
      <c r="CD133" s="1611"/>
      <c r="CE133">
        <f>ROWS($CE$5:CE132)</f>
        <v>128</v>
      </c>
    </row>
    <row r="134" spans="1:83">
      <c r="B134" s="1497">
        <f t="shared" si="100"/>
        <v>4.0999999999999996</v>
      </c>
      <c r="C134" s="1547" t="str">
        <f t="shared" si="82"/>
        <v>住宅以外の評価</v>
      </c>
      <c r="D134" s="1616">
        <f>IF(I$133=0,0,G134/I$133)</f>
        <v>0.97911227154046987</v>
      </c>
      <c r="E134" s="1616">
        <f>IF(J$133=0,0,H134/J$133)</f>
        <v>0</v>
      </c>
      <c r="G134" s="1591">
        <f t="shared" si="83"/>
        <v>0.97911227154047009</v>
      </c>
      <c r="H134" s="1591">
        <f t="shared" si="84"/>
        <v>0</v>
      </c>
      <c r="I134" s="1591">
        <f>SUM(G135:G136)</f>
        <v>0.97911227154047009</v>
      </c>
      <c r="J134" s="1591">
        <f>SUM(H135:H136)</f>
        <v>0</v>
      </c>
      <c r="K134" s="1591">
        <f>IF(スコア表示!W134=0,0,1)</f>
        <v>1</v>
      </c>
      <c r="L134" s="1591">
        <f>IF(スコア表示!AA134=0,0,1)</f>
        <v>0</v>
      </c>
      <c r="M134" s="1591">
        <f t="shared" si="85"/>
        <v>0.97911227154047009</v>
      </c>
      <c r="N134" s="1591">
        <f t="shared" si="102"/>
        <v>0</v>
      </c>
      <c r="P134" s="1547">
        <f t="shared" si="103"/>
        <v>4.0999999999999996</v>
      </c>
      <c r="Q134" s="1547" t="str">
        <f t="shared" si="104"/>
        <v>LR1 4</v>
      </c>
      <c r="R134" s="1637" t="str">
        <f t="shared" si="86"/>
        <v>住宅以外の評価</v>
      </c>
      <c r="S134" s="1518">
        <f t="shared" si="110"/>
        <v>1</v>
      </c>
      <c r="T134" s="1518">
        <f t="shared" si="111"/>
        <v>1</v>
      </c>
      <c r="U134" s="1518">
        <f t="shared" si="112"/>
        <v>1</v>
      </c>
      <c r="V134" s="1518">
        <f t="shared" si="113"/>
        <v>1</v>
      </c>
      <c r="W134" s="1518">
        <f t="shared" si="114"/>
        <v>1</v>
      </c>
      <c r="X134" s="1518">
        <f t="shared" si="115"/>
        <v>1</v>
      </c>
      <c r="Y134" s="1518">
        <f t="shared" si="116"/>
        <v>0</v>
      </c>
      <c r="Z134" s="1526">
        <f t="shared" si="117"/>
        <v>1</v>
      </c>
      <c r="AA134" s="1518">
        <f t="shared" si="118"/>
        <v>1</v>
      </c>
      <c r="AB134" s="1518">
        <f t="shared" si="119"/>
        <v>1</v>
      </c>
      <c r="AC134" s="1519">
        <f t="shared" si="107"/>
        <v>0</v>
      </c>
      <c r="AD134" s="1561">
        <f t="shared" si="108"/>
        <v>0</v>
      </c>
      <c r="AE134" s="1561">
        <f t="shared" si="109"/>
        <v>0</v>
      </c>
      <c r="AG134" s="1547">
        <v>4.0999999999999996</v>
      </c>
      <c r="AH134" s="1593" t="s">
        <v>325</v>
      </c>
      <c r="AI134" s="1637" t="s">
        <v>1426</v>
      </c>
      <c r="AJ134" s="1523">
        <v>1</v>
      </c>
      <c r="AK134" s="1523">
        <v>1</v>
      </c>
      <c r="AL134" s="1523">
        <v>1</v>
      </c>
      <c r="AM134" s="1523">
        <v>1</v>
      </c>
      <c r="AN134" s="1523">
        <v>1</v>
      </c>
      <c r="AO134" s="1523">
        <v>1</v>
      </c>
      <c r="AP134" s="1523"/>
      <c r="AQ134" s="1523">
        <v>1</v>
      </c>
      <c r="AR134" s="1523">
        <v>1</v>
      </c>
      <c r="AS134" s="1523">
        <v>1</v>
      </c>
      <c r="AT134" s="1525"/>
      <c r="AU134" s="1987"/>
      <c r="AV134" s="1987"/>
      <c r="AX134" s="1547">
        <v>4.0999999999999996</v>
      </c>
      <c r="AY134" s="1593" t="s">
        <v>325</v>
      </c>
      <c r="AZ134" s="1637" t="s">
        <v>1426</v>
      </c>
      <c r="BA134" s="1523">
        <v>1</v>
      </c>
      <c r="BB134" s="1523">
        <v>1</v>
      </c>
      <c r="BC134" s="1523">
        <v>1</v>
      </c>
      <c r="BD134" s="1523">
        <v>1</v>
      </c>
      <c r="BE134" s="1523">
        <v>1</v>
      </c>
      <c r="BF134" s="1523">
        <v>1</v>
      </c>
      <c r="BG134" s="1523"/>
      <c r="BH134" s="1523">
        <v>1</v>
      </c>
      <c r="BI134" s="1523">
        <v>1</v>
      </c>
      <c r="BJ134" s="1523">
        <v>1</v>
      </c>
      <c r="BK134" s="1525"/>
      <c r="BL134" s="1987"/>
      <c r="BM134" s="1987"/>
      <c r="BO134" s="1547">
        <v>4.0999999999999996</v>
      </c>
      <c r="BP134" s="1593" t="s">
        <v>325</v>
      </c>
      <c r="BQ134" s="1637" t="s">
        <v>1426</v>
      </c>
      <c r="BR134" s="1523">
        <v>1</v>
      </c>
      <c r="BS134" s="1523">
        <v>1</v>
      </c>
      <c r="BT134" s="1523">
        <v>1</v>
      </c>
      <c r="BU134" s="1523">
        <v>1</v>
      </c>
      <c r="BV134" s="1523">
        <v>1</v>
      </c>
      <c r="BW134" s="1523">
        <v>1</v>
      </c>
      <c r="BX134" s="1523"/>
      <c r="BY134" s="1523">
        <v>1</v>
      </c>
      <c r="BZ134" s="1523">
        <v>1</v>
      </c>
      <c r="CA134" s="1523">
        <v>1</v>
      </c>
      <c r="CB134" s="1525"/>
      <c r="CC134" s="1987"/>
      <c r="CD134" s="1987"/>
      <c r="CE134">
        <f>ROWS($CE$5:CE133)</f>
        <v>129</v>
      </c>
    </row>
    <row r="135" spans="1:83">
      <c r="B135" s="1497" t="str">
        <f t="shared" ref="B135:B139" si="121">P135</f>
        <v>4.1.1</v>
      </c>
      <c r="C135" s="1547" t="str">
        <f t="shared" ref="C135:C139" si="122">R135</f>
        <v>モニタリング</v>
      </c>
      <c r="D135" s="1616">
        <f>IF(I$134=0,0,G135/I$134)</f>
        <v>0.5</v>
      </c>
      <c r="E135" s="1616">
        <f>IF(J$134=0,0,H135/J$134)</f>
        <v>0</v>
      </c>
      <c r="G135" s="1591">
        <f t="shared" si="83"/>
        <v>0.48955613577023505</v>
      </c>
      <c r="H135" s="1591">
        <f t="shared" si="84"/>
        <v>0</v>
      </c>
      <c r="I135" s="1591"/>
      <c r="J135" s="1591"/>
      <c r="K135" s="1591">
        <f>IF(スコア表示!W135=0,0,1)</f>
        <v>1</v>
      </c>
      <c r="L135" s="1591">
        <f>IF(スコア表示!AA135=0,0,1)</f>
        <v>0</v>
      </c>
      <c r="M135" s="1591">
        <f t="shared" ref="M135:M139" si="123">SUMPRODUCT($S$7:$AB$7,S135:AB135)</f>
        <v>0.48955613577023505</v>
      </c>
      <c r="N135" s="1591">
        <f t="shared" ref="N135:N139" si="124">(AC$7*AC135)+(AD$7*AD135)+(AE$7*AE135)</f>
        <v>0</v>
      </c>
      <c r="P135" s="1547" t="str">
        <f t="shared" ref="P135:P139" si="125">IF($P$3=1,AX135,BO135)</f>
        <v>4.1.1</v>
      </c>
      <c r="Q135" s="1547" t="str">
        <f t="shared" ref="Q135:Q139" si="126">IF($P$3=1,AY135,BP135)</f>
        <v>LR1 4.1</v>
      </c>
      <c r="R135" s="1637" t="str">
        <f t="shared" ref="R135:R139" si="127">AI135</f>
        <v>モニタリング</v>
      </c>
      <c r="S135" s="1518">
        <f t="shared" ref="S135:S139" si="128">IF($P$3=1,BA135,IF($P$3=2,BR135,AJ135))</f>
        <v>0.5</v>
      </c>
      <c r="T135" s="1518">
        <f t="shared" ref="T135:T139" si="129">IF($P$3=1,BB135,IF($P$3=2,BS135,AK135))</f>
        <v>0.5</v>
      </c>
      <c r="U135" s="1518">
        <f t="shared" ref="U135:U139" si="130">IF($P$3=1,BC135,IF($P$3=2,BT135,AL135))</f>
        <v>0.5</v>
      </c>
      <c r="V135" s="1518">
        <f t="shared" ref="V135:V139" si="131">IF($P$3=1,BD135,IF($P$3=2,BU135,AM135))</f>
        <v>0.5</v>
      </c>
      <c r="W135" s="1518">
        <f t="shared" ref="W135:W139" si="132">IF($P$3=1,BE135,IF($P$3=2,BV135,AN135))</f>
        <v>0.5</v>
      </c>
      <c r="X135" s="1518">
        <f t="shared" ref="X135:X139" si="133">IF($P$3=1,BF135,IF($P$3=2,BW135,AO135))</f>
        <v>0.5</v>
      </c>
      <c r="Y135" s="1518">
        <f t="shared" ref="Y135:Y139" si="134">IF($P$3=1,BG135,IF($P$3=2,BX135,AP135))</f>
        <v>0</v>
      </c>
      <c r="Z135" s="1526">
        <f t="shared" ref="Z135:Z139" si="135">IF($P$3=1,BH135,IF($P$3=2,BY135,AQ135))</f>
        <v>0.5</v>
      </c>
      <c r="AA135" s="1518">
        <f t="shared" ref="AA135:AA139" si="136">IF($P$3=1,BI135,IF($P$3=2,BZ135,AR135))</f>
        <v>0.5</v>
      </c>
      <c r="AB135" s="1518">
        <f t="shared" ref="AB135:AB139" si="137">IF($P$3=1,BJ135,IF($P$3=2,CA135,AS135))</f>
        <v>0.5</v>
      </c>
      <c r="AC135" s="1519"/>
      <c r="AD135" s="1561"/>
      <c r="AE135" s="1561"/>
      <c r="AG135" s="1547" t="s">
        <v>1346</v>
      </c>
      <c r="AH135" s="1593" t="s">
        <v>1428</v>
      </c>
      <c r="AI135" s="1637" t="s">
        <v>1566</v>
      </c>
      <c r="AJ135" s="1523">
        <v>0.5</v>
      </c>
      <c r="AK135" s="1523">
        <v>0.5</v>
      </c>
      <c r="AL135" s="1523">
        <v>0.5</v>
      </c>
      <c r="AM135" s="1523">
        <v>0.5</v>
      </c>
      <c r="AN135" s="1523">
        <v>0.5</v>
      </c>
      <c r="AO135" s="1523">
        <v>0.5</v>
      </c>
      <c r="AP135" s="1523"/>
      <c r="AQ135" s="1523">
        <v>0.5</v>
      </c>
      <c r="AR135" s="1523">
        <v>0.5</v>
      </c>
      <c r="AS135" s="1523">
        <v>0.5</v>
      </c>
      <c r="AT135" s="1525"/>
      <c r="AU135" s="1987"/>
      <c r="AV135" s="1987"/>
      <c r="AX135" s="1547" t="s">
        <v>1427</v>
      </c>
      <c r="AY135" s="1593" t="s">
        <v>1429</v>
      </c>
      <c r="AZ135" s="1637" t="s">
        <v>1430</v>
      </c>
      <c r="BA135" s="1523">
        <v>0.5</v>
      </c>
      <c r="BB135" s="1523">
        <v>0.5</v>
      </c>
      <c r="BC135" s="1523">
        <v>0.5</v>
      </c>
      <c r="BD135" s="1523">
        <v>0.5</v>
      </c>
      <c r="BE135" s="1523">
        <v>0.5</v>
      </c>
      <c r="BF135" s="1523">
        <v>0.5</v>
      </c>
      <c r="BG135" s="1523"/>
      <c r="BH135" s="1523">
        <v>0.5</v>
      </c>
      <c r="BI135" s="1523">
        <v>0.5</v>
      </c>
      <c r="BJ135" s="1523">
        <v>0.5</v>
      </c>
      <c r="BK135" s="1525"/>
      <c r="BL135" s="1987"/>
      <c r="BM135" s="1987"/>
      <c r="BO135" s="1547" t="s">
        <v>1427</v>
      </c>
      <c r="BP135" s="1593" t="s">
        <v>1429</v>
      </c>
      <c r="BQ135" s="1637" t="s">
        <v>1430</v>
      </c>
      <c r="BR135" s="1523">
        <v>0.5</v>
      </c>
      <c r="BS135" s="1523">
        <v>0.5</v>
      </c>
      <c r="BT135" s="1523">
        <v>0.5</v>
      </c>
      <c r="BU135" s="1523">
        <v>0.5</v>
      </c>
      <c r="BV135" s="1523">
        <v>0.5</v>
      </c>
      <c r="BW135" s="1523">
        <v>0.5</v>
      </c>
      <c r="BX135" s="1523"/>
      <c r="BY135" s="1523">
        <v>0.5</v>
      </c>
      <c r="BZ135" s="1523">
        <v>0.5</v>
      </c>
      <c r="CA135" s="1523">
        <v>0.5</v>
      </c>
      <c r="CB135" s="1525"/>
      <c r="CC135" s="1987"/>
      <c r="CD135" s="1987"/>
    </row>
    <row r="136" spans="1:83">
      <c r="B136" s="1497" t="str">
        <f t="shared" si="121"/>
        <v>4.1.2</v>
      </c>
      <c r="C136" s="1547" t="str">
        <f t="shared" si="122"/>
        <v>運用管理体制</v>
      </c>
      <c r="D136" s="1621">
        <f>IF(I$134&gt;0,G136/I$134,0)</f>
        <v>0.5</v>
      </c>
      <c r="E136" s="1621">
        <f>IF(J$134&gt;0,H136/J$134,0)</f>
        <v>0</v>
      </c>
      <c r="G136" s="1591">
        <f t="shared" si="83"/>
        <v>0.48955613577023505</v>
      </c>
      <c r="H136" s="1591">
        <f t="shared" si="84"/>
        <v>0</v>
      </c>
      <c r="I136" s="1591"/>
      <c r="J136" s="1591"/>
      <c r="K136" s="1591">
        <f>IF(スコア表示!W136=0,0,1)</f>
        <v>1</v>
      </c>
      <c r="L136" s="1591">
        <f>IF(スコア表示!AA136=0,0,1)</f>
        <v>0</v>
      </c>
      <c r="M136" s="1591">
        <f t="shared" si="123"/>
        <v>0.48955613577023505</v>
      </c>
      <c r="N136" s="1591">
        <f t="shared" si="124"/>
        <v>0</v>
      </c>
      <c r="P136" s="1547" t="str">
        <f t="shared" si="125"/>
        <v>4.1.2</v>
      </c>
      <c r="Q136" s="1547" t="str">
        <f t="shared" si="126"/>
        <v>LR1 4.1</v>
      </c>
      <c r="R136" s="1637" t="str">
        <f t="shared" si="127"/>
        <v>運用管理体制</v>
      </c>
      <c r="S136" s="1518">
        <f t="shared" si="128"/>
        <v>0.5</v>
      </c>
      <c r="T136" s="1518">
        <f t="shared" si="129"/>
        <v>0.5</v>
      </c>
      <c r="U136" s="1518">
        <f t="shared" si="130"/>
        <v>0.5</v>
      </c>
      <c r="V136" s="1518">
        <f t="shared" si="131"/>
        <v>0.5</v>
      </c>
      <c r="W136" s="1518">
        <f t="shared" si="132"/>
        <v>0.5</v>
      </c>
      <c r="X136" s="1518">
        <f t="shared" si="133"/>
        <v>0.5</v>
      </c>
      <c r="Y136" s="1518">
        <f t="shared" si="134"/>
        <v>0</v>
      </c>
      <c r="Z136" s="1526">
        <f t="shared" si="135"/>
        <v>0.5</v>
      </c>
      <c r="AA136" s="1518">
        <f t="shared" si="136"/>
        <v>0.5</v>
      </c>
      <c r="AB136" s="1518">
        <f t="shared" si="137"/>
        <v>0.5</v>
      </c>
      <c r="AC136" s="1519"/>
      <c r="AD136" s="1561"/>
      <c r="AE136" s="1561"/>
      <c r="AG136" s="1547" t="s">
        <v>1347</v>
      </c>
      <c r="AH136" s="1593" t="s">
        <v>1428</v>
      </c>
      <c r="AI136" s="1964" t="s">
        <v>697</v>
      </c>
      <c r="AJ136" s="1523">
        <v>0.5</v>
      </c>
      <c r="AK136" s="1523">
        <v>0.5</v>
      </c>
      <c r="AL136" s="1523">
        <v>0.5</v>
      </c>
      <c r="AM136" s="1523">
        <v>0.5</v>
      </c>
      <c r="AN136" s="1523">
        <v>0.5</v>
      </c>
      <c r="AO136" s="1523">
        <v>0.5</v>
      </c>
      <c r="AP136" s="1523"/>
      <c r="AQ136" s="1523">
        <v>0.5</v>
      </c>
      <c r="AR136" s="1523">
        <v>0.5</v>
      </c>
      <c r="AS136" s="1523">
        <v>0.5</v>
      </c>
      <c r="AT136" s="1525"/>
      <c r="AU136" s="1987"/>
      <c r="AV136" s="1987"/>
      <c r="AX136" s="1547" t="s">
        <v>1431</v>
      </c>
      <c r="AY136" s="1593" t="s">
        <v>1429</v>
      </c>
      <c r="AZ136" s="1964" t="s">
        <v>697</v>
      </c>
      <c r="BA136" s="1523">
        <v>0.5</v>
      </c>
      <c r="BB136" s="1523">
        <v>0.5</v>
      </c>
      <c r="BC136" s="1523">
        <v>0.5</v>
      </c>
      <c r="BD136" s="1523">
        <v>0.5</v>
      </c>
      <c r="BE136" s="1523">
        <v>0.5</v>
      </c>
      <c r="BF136" s="1523">
        <v>0.5</v>
      </c>
      <c r="BG136" s="1523"/>
      <c r="BH136" s="1523">
        <v>0.5</v>
      </c>
      <c r="BI136" s="1523">
        <v>0.5</v>
      </c>
      <c r="BJ136" s="1523">
        <v>0.5</v>
      </c>
      <c r="BK136" s="1525"/>
      <c r="BL136" s="1987"/>
      <c r="BM136" s="1987"/>
      <c r="BO136" s="1547" t="s">
        <v>1431</v>
      </c>
      <c r="BP136" s="1593" t="s">
        <v>1429</v>
      </c>
      <c r="BQ136" s="1964" t="s">
        <v>697</v>
      </c>
      <c r="BR136" s="1523">
        <v>0.5</v>
      </c>
      <c r="BS136" s="1523">
        <v>0.5</v>
      </c>
      <c r="BT136" s="1523">
        <v>0.5</v>
      </c>
      <c r="BU136" s="1523">
        <v>0.5</v>
      </c>
      <c r="BV136" s="1523">
        <v>0.5</v>
      </c>
      <c r="BW136" s="1523">
        <v>0.5</v>
      </c>
      <c r="BX136" s="1523"/>
      <c r="BY136" s="1523">
        <v>0.5</v>
      </c>
      <c r="BZ136" s="1523">
        <v>0.5</v>
      </c>
      <c r="CA136" s="1523">
        <v>0.5</v>
      </c>
      <c r="CB136" s="1525"/>
      <c r="CC136" s="1987"/>
      <c r="CD136" s="1987"/>
    </row>
    <row r="137" spans="1:83" s="1580" customFormat="1">
      <c r="A137"/>
      <c r="B137" s="1497">
        <f t="shared" si="121"/>
        <v>4.2</v>
      </c>
      <c r="C137" s="1547" t="str">
        <f t="shared" si="122"/>
        <v>住宅の評価</v>
      </c>
      <c r="D137" s="1616">
        <f>IF(I$133=0,0,G137/I$133)</f>
        <v>2.0887728459530023E-2</v>
      </c>
      <c r="E137" s="1616">
        <f>IF(J$133=0,0,H137/J$133)</f>
        <v>0</v>
      </c>
      <c r="F137"/>
      <c r="G137" s="1591">
        <f t="shared" ref="G137:G168" si="138">K137*M137</f>
        <v>2.0887728459530026E-2</v>
      </c>
      <c r="H137" s="1591">
        <f t="shared" ref="H137:H168" si="139">L137*N137</f>
        <v>0</v>
      </c>
      <c r="I137" s="1591">
        <f>SUM(G138:G139)</f>
        <v>2.0887728459530026E-2</v>
      </c>
      <c r="J137" s="1591">
        <f>SUM(H138:H139)</f>
        <v>0</v>
      </c>
      <c r="K137" s="1591">
        <f>IF(スコア表示!W137=0,0,1)</f>
        <v>1</v>
      </c>
      <c r="L137" s="1591">
        <f>IF(スコア表示!AA137=0,0,1)</f>
        <v>0</v>
      </c>
      <c r="M137" s="1591">
        <f t="shared" si="123"/>
        <v>2.0887728459530026E-2</v>
      </c>
      <c r="N137" s="1591">
        <f t="shared" si="124"/>
        <v>0</v>
      </c>
      <c r="O137"/>
      <c r="P137" s="1547">
        <f t="shared" si="125"/>
        <v>4.2</v>
      </c>
      <c r="Q137" s="1547" t="str">
        <f t="shared" si="126"/>
        <v>LR1 4</v>
      </c>
      <c r="R137" s="1637" t="str">
        <f t="shared" si="127"/>
        <v>住宅の評価</v>
      </c>
      <c r="S137" s="1518">
        <f t="shared" si="128"/>
        <v>0</v>
      </c>
      <c r="T137" s="1518">
        <f t="shared" si="129"/>
        <v>0</v>
      </c>
      <c r="U137" s="1518">
        <f t="shared" si="130"/>
        <v>0</v>
      </c>
      <c r="V137" s="1518">
        <f t="shared" si="131"/>
        <v>0</v>
      </c>
      <c r="W137" s="1518">
        <f t="shared" si="132"/>
        <v>0</v>
      </c>
      <c r="X137" s="1518">
        <f t="shared" si="133"/>
        <v>0</v>
      </c>
      <c r="Y137" s="1518">
        <f t="shared" si="134"/>
        <v>1</v>
      </c>
      <c r="Z137" s="1526">
        <f t="shared" si="135"/>
        <v>0</v>
      </c>
      <c r="AA137" s="1518">
        <f t="shared" si="136"/>
        <v>0</v>
      </c>
      <c r="AB137" s="1518">
        <f t="shared" si="137"/>
        <v>0</v>
      </c>
      <c r="AC137" s="1519">
        <f t="shared" si="107"/>
        <v>0</v>
      </c>
      <c r="AD137" s="1561">
        <f t="shared" si="108"/>
        <v>0</v>
      </c>
      <c r="AE137" s="1561">
        <f t="shared" si="109"/>
        <v>0</v>
      </c>
      <c r="AF137"/>
      <c r="AG137" s="1547">
        <v>4.2</v>
      </c>
      <c r="AH137" s="1593" t="s">
        <v>325</v>
      </c>
      <c r="AI137" s="1964" t="s">
        <v>1432</v>
      </c>
      <c r="AJ137" s="1523"/>
      <c r="AK137" s="1523"/>
      <c r="AL137" s="1523"/>
      <c r="AM137" s="1523"/>
      <c r="AN137" s="1523"/>
      <c r="AO137" s="1523"/>
      <c r="AP137" s="1523">
        <v>1</v>
      </c>
      <c r="AQ137" s="1524"/>
      <c r="AR137" s="1523"/>
      <c r="AS137" s="1523"/>
      <c r="AT137" s="1525"/>
      <c r="AU137" s="1987"/>
      <c r="AV137" s="1987"/>
      <c r="AW137"/>
      <c r="AX137" s="1547">
        <v>4.2</v>
      </c>
      <c r="AY137" s="1593" t="s">
        <v>325</v>
      </c>
      <c r="AZ137" s="1964" t="s">
        <v>1432</v>
      </c>
      <c r="BA137" s="1523"/>
      <c r="BB137" s="1523"/>
      <c r="BC137" s="1523"/>
      <c r="BD137" s="1523"/>
      <c r="BE137" s="1523"/>
      <c r="BF137" s="1523"/>
      <c r="BG137" s="1523">
        <v>1</v>
      </c>
      <c r="BH137" s="1524"/>
      <c r="BI137" s="1523"/>
      <c r="BJ137" s="1523"/>
      <c r="BK137" s="1525"/>
      <c r="BL137" s="1987"/>
      <c r="BM137" s="1987"/>
      <c r="BN137"/>
      <c r="BO137" s="1547">
        <v>4.2</v>
      </c>
      <c r="BP137" s="1593" t="s">
        <v>325</v>
      </c>
      <c r="BQ137" s="1964" t="s">
        <v>1432</v>
      </c>
      <c r="BR137" s="1523"/>
      <c r="BS137" s="1523"/>
      <c r="BT137" s="1523"/>
      <c r="BU137" s="1523"/>
      <c r="BV137" s="1523"/>
      <c r="BW137" s="1523"/>
      <c r="BX137" s="1523">
        <v>1</v>
      </c>
      <c r="BY137" s="1524"/>
      <c r="BZ137" s="1523"/>
      <c r="CA137" s="1523"/>
      <c r="CB137" s="1525"/>
      <c r="CC137" s="1987"/>
      <c r="CD137" s="1987"/>
      <c r="CE137"/>
    </row>
    <row r="138" spans="1:83" s="1580" customFormat="1">
      <c r="A138"/>
      <c r="B138" s="1497" t="str">
        <f t="shared" si="121"/>
        <v>4.2.1</v>
      </c>
      <c r="C138" s="1547" t="str">
        <f t="shared" si="122"/>
        <v>住まい方の提示</v>
      </c>
      <c r="D138" s="1621">
        <f>IF(I$137&gt;0,G138/I$137,0)</f>
        <v>0.5</v>
      </c>
      <c r="E138" s="1621">
        <f>IF(J$137&gt;0,H138/J$137,0)</f>
        <v>0</v>
      </c>
      <c r="F138"/>
      <c r="G138" s="1591">
        <f t="shared" si="138"/>
        <v>1.0443864229765013E-2</v>
      </c>
      <c r="H138" s="1591">
        <f t="shared" si="139"/>
        <v>0</v>
      </c>
      <c r="I138" s="1591"/>
      <c r="J138" s="1591"/>
      <c r="K138" s="1591">
        <f>IF(スコア表示!W138=0,0,1)</f>
        <v>1</v>
      </c>
      <c r="L138" s="1591">
        <f>IF(スコア表示!AA138=0,0,1)</f>
        <v>0</v>
      </c>
      <c r="M138" s="1591">
        <f t="shared" si="123"/>
        <v>1.0443864229765013E-2</v>
      </c>
      <c r="N138" s="1591">
        <f t="shared" si="124"/>
        <v>0</v>
      </c>
      <c r="O138"/>
      <c r="P138" s="1547" t="str">
        <f t="shared" si="125"/>
        <v>4.2.1</v>
      </c>
      <c r="Q138" s="1547" t="str">
        <f t="shared" si="126"/>
        <v>LR1 4.2</v>
      </c>
      <c r="R138" s="1637" t="str">
        <f t="shared" si="127"/>
        <v>住まい方の提示</v>
      </c>
      <c r="S138" s="1518">
        <f t="shared" si="128"/>
        <v>0</v>
      </c>
      <c r="T138" s="1518">
        <f t="shared" si="129"/>
        <v>0</v>
      </c>
      <c r="U138" s="1518">
        <f t="shared" si="130"/>
        <v>0</v>
      </c>
      <c r="V138" s="1518">
        <f t="shared" si="131"/>
        <v>0</v>
      </c>
      <c r="W138" s="1518">
        <f t="shared" si="132"/>
        <v>0</v>
      </c>
      <c r="X138" s="1518">
        <f t="shared" si="133"/>
        <v>0</v>
      </c>
      <c r="Y138" s="1518">
        <f t="shared" si="134"/>
        <v>0.5</v>
      </c>
      <c r="Z138" s="1526">
        <f t="shared" si="135"/>
        <v>0</v>
      </c>
      <c r="AA138" s="1518">
        <f t="shared" si="136"/>
        <v>0</v>
      </c>
      <c r="AB138" s="1518">
        <f t="shared" si="137"/>
        <v>0</v>
      </c>
      <c r="AC138" s="1519"/>
      <c r="AD138" s="1561"/>
      <c r="AE138" s="1561"/>
      <c r="AF138"/>
      <c r="AG138" s="1547" t="s">
        <v>1433</v>
      </c>
      <c r="AH138" s="1593" t="s">
        <v>1434</v>
      </c>
      <c r="AI138" s="1964" t="s">
        <v>1567</v>
      </c>
      <c r="AJ138" s="1523"/>
      <c r="AK138" s="1523"/>
      <c r="AL138" s="1523"/>
      <c r="AM138" s="1523"/>
      <c r="AN138" s="1523"/>
      <c r="AO138" s="1523"/>
      <c r="AP138" s="1523">
        <v>0.5</v>
      </c>
      <c r="AQ138" s="1524"/>
      <c r="AR138" s="1523"/>
      <c r="AS138" s="1523"/>
      <c r="AT138" s="1525"/>
      <c r="AU138" s="1987"/>
      <c r="AV138" s="1987"/>
      <c r="AW138"/>
      <c r="AX138" s="1547" t="s">
        <v>1351</v>
      </c>
      <c r="AY138" s="1593" t="s">
        <v>1435</v>
      </c>
      <c r="AZ138" s="1964" t="s">
        <v>1436</v>
      </c>
      <c r="BA138" s="1523"/>
      <c r="BB138" s="1523"/>
      <c r="BC138" s="1523"/>
      <c r="BD138" s="1523"/>
      <c r="BE138" s="1523"/>
      <c r="BF138" s="1523"/>
      <c r="BG138" s="1523">
        <v>0.5</v>
      </c>
      <c r="BH138" s="1524"/>
      <c r="BI138" s="1523"/>
      <c r="BJ138" s="1523"/>
      <c r="BK138" s="1525"/>
      <c r="BL138" s="1987"/>
      <c r="BM138" s="1987"/>
      <c r="BN138"/>
      <c r="BO138" s="1547" t="s">
        <v>1351</v>
      </c>
      <c r="BP138" s="1593" t="s">
        <v>1435</v>
      </c>
      <c r="BQ138" s="1964" t="s">
        <v>1436</v>
      </c>
      <c r="BR138" s="1523"/>
      <c r="BS138" s="1523"/>
      <c r="BT138" s="1523"/>
      <c r="BU138" s="1523"/>
      <c r="BV138" s="1523"/>
      <c r="BW138" s="1523"/>
      <c r="BX138" s="1523">
        <v>0.5</v>
      </c>
      <c r="BY138" s="1524"/>
      <c r="BZ138" s="1523"/>
      <c r="CA138" s="1523"/>
      <c r="CB138" s="1525"/>
      <c r="CC138" s="1987"/>
      <c r="CD138" s="1987"/>
      <c r="CE138"/>
    </row>
    <row r="139" spans="1:83" s="1580" customFormat="1">
      <c r="A139"/>
      <c r="B139" s="1497" t="str">
        <f t="shared" si="121"/>
        <v>4.2.2</v>
      </c>
      <c r="C139" s="1547" t="str">
        <f t="shared" si="122"/>
        <v>エネルギーの管理と制御</v>
      </c>
      <c r="D139" s="1621">
        <f>IF(I$137&gt;0,G139/I$137,0)</f>
        <v>0.5</v>
      </c>
      <c r="E139" s="1621">
        <f>IF(J$137&gt;0,H139/J$137,0)</f>
        <v>0</v>
      </c>
      <c r="F139"/>
      <c r="G139" s="1591">
        <f t="shared" si="138"/>
        <v>1.0443864229765013E-2</v>
      </c>
      <c r="H139" s="1591">
        <f t="shared" si="139"/>
        <v>0</v>
      </c>
      <c r="I139" s="1591"/>
      <c r="J139" s="1591"/>
      <c r="K139" s="1591">
        <f>IF(スコア表示!W139=0,0,1)</f>
        <v>1</v>
      </c>
      <c r="L139" s="1591">
        <f>IF(スコア表示!AA139=0,0,1)</f>
        <v>0</v>
      </c>
      <c r="M139" s="1591">
        <f t="shared" si="123"/>
        <v>1.0443864229765013E-2</v>
      </c>
      <c r="N139" s="1591">
        <f t="shared" si="124"/>
        <v>0</v>
      </c>
      <c r="O139"/>
      <c r="P139" s="1547" t="str">
        <f t="shared" si="125"/>
        <v>4.2.2</v>
      </c>
      <c r="Q139" s="1547" t="str">
        <f t="shared" si="126"/>
        <v>LR1 4.2</v>
      </c>
      <c r="R139" s="1637" t="str">
        <f t="shared" si="127"/>
        <v>エネルギーの管理と制御</v>
      </c>
      <c r="S139" s="1518">
        <f t="shared" si="128"/>
        <v>0</v>
      </c>
      <c r="T139" s="1518">
        <f t="shared" si="129"/>
        <v>0</v>
      </c>
      <c r="U139" s="1518">
        <f t="shared" si="130"/>
        <v>0</v>
      </c>
      <c r="V139" s="1518">
        <f t="shared" si="131"/>
        <v>0</v>
      </c>
      <c r="W139" s="1518">
        <f t="shared" si="132"/>
        <v>0</v>
      </c>
      <c r="X139" s="1518">
        <f t="shared" si="133"/>
        <v>0</v>
      </c>
      <c r="Y139" s="1518">
        <f t="shared" si="134"/>
        <v>0.5</v>
      </c>
      <c r="Z139" s="1526">
        <f t="shared" si="135"/>
        <v>0</v>
      </c>
      <c r="AA139" s="1518">
        <f t="shared" si="136"/>
        <v>0</v>
      </c>
      <c r="AB139" s="1518">
        <f t="shared" si="137"/>
        <v>0</v>
      </c>
      <c r="AC139" s="1519"/>
      <c r="AD139" s="1561"/>
      <c r="AE139" s="1561"/>
      <c r="AF139"/>
      <c r="AG139" s="1547" t="s">
        <v>1352</v>
      </c>
      <c r="AH139" s="1593" t="s">
        <v>1434</v>
      </c>
      <c r="AI139" s="1964" t="s">
        <v>1568</v>
      </c>
      <c r="AJ139" s="1523"/>
      <c r="AK139" s="1523"/>
      <c r="AL139" s="1523"/>
      <c r="AM139" s="1523"/>
      <c r="AN139" s="1523"/>
      <c r="AO139" s="1523"/>
      <c r="AP139" s="1523">
        <v>0.5</v>
      </c>
      <c r="AQ139" s="1524"/>
      <c r="AR139" s="1523"/>
      <c r="AS139" s="1523"/>
      <c r="AT139" s="1525"/>
      <c r="AU139" s="1987"/>
      <c r="AV139" s="1987"/>
      <c r="AW139"/>
      <c r="AX139" s="1547" t="s">
        <v>1353</v>
      </c>
      <c r="AY139" s="1593" t="s">
        <v>1435</v>
      </c>
      <c r="AZ139" s="1964" t="s">
        <v>1437</v>
      </c>
      <c r="BA139" s="1523"/>
      <c r="BB139" s="1523"/>
      <c r="BC139" s="1523"/>
      <c r="BD139" s="1523"/>
      <c r="BE139" s="1523"/>
      <c r="BF139" s="1523"/>
      <c r="BG139" s="1523">
        <v>0.5</v>
      </c>
      <c r="BH139" s="1524"/>
      <c r="BI139" s="1523"/>
      <c r="BJ139" s="1523"/>
      <c r="BK139" s="1525"/>
      <c r="BL139" s="1987"/>
      <c r="BM139" s="1987"/>
      <c r="BN139"/>
      <c r="BO139" s="1547" t="s">
        <v>1353</v>
      </c>
      <c r="BP139" s="1593" t="s">
        <v>1435</v>
      </c>
      <c r="BQ139" s="1964" t="s">
        <v>1437</v>
      </c>
      <c r="BR139" s="1523"/>
      <c r="BS139" s="1523"/>
      <c r="BT139" s="1523"/>
      <c r="BU139" s="1523"/>
      <c r="BV139" s="1523"/>
      <c r="BW139" s="1523"/>
      <c r="BX139" s="1523">
        <v>0.5</v>
      </c>
      <c r="BY139" s="1524"/>
      <c r="BZ139" s="1523"/>
      <c r="CA139" s="1523"/>
      <c r="CB139" s="1525"/>
      <c r="CC139" s="1987"/>
      <c r="CD139" s="1987"/>
      <c r="CE139"/>
    </row>
    <row r="140" spans="1:83" s="1505" customFormat="1">
      <c r="A140"/>
      <c r="B140" s="1497" t="str">
        <f t="shared" si="100"/>
        <v>LR2</v>
      </c>
      <c r="C140" s="1497" t="str">
        <f t="shared" si="82"/>
        <v>資源・マテリアル</v>
      </c>
      <c r="D140" s="1991" t="e">
        <f>IF(I$116=0,0,G140/I$116)</f>
        <v>#VALUE!</v>
      </c>
      <c r="E140" s="1957">
        <f>IF(J$116=0,0,H140/J$116)</f>
        <v>0</v>
      </c>
      <c r="F140"/>
      <c r="G140" s="1957">
        <f t="shared" si="138"/>
        <v>0.3</v>
      </c>
      <c r="H140" s="1957">
        <f t="shared" si="139"/>
        <v>0</v>
      </c>
      <c r="I140" s="1957">
        <f>G141+G146+G153</f>
        <v>1</v>
      </c>
      <c r="J140" s="1957">
        <f>H141+H146+H153</f>
        <v>0</v>
      </c>
      <c r="K140" s="1957">
        <f>IF(スコア表示!W140=0,0,1)</f>
        <v>1</v>
      </c>
      <c r="L140" s="1957">
        <f>IF(スコア表示!AA140=0,0,1)</f>
        <v>0</v>
      </c>
      <c r="M140" s="1957">
        <f t="shared" si="85"/>
        <v>0.3</v>
      </c>
      <c r="N140" s="1957">
        <f t="shared" si="102"/>
        <v>0</v>
      </c>
      <c r="O140"/>
      <c r="P140" s="1498" t="str">
        <f t="shared" si="103"/>
        <v>LR2</v>
      </c>
      <c r="Q140" s="1498" t="str">
        <f t="shared" si="104"/>
        <v>LR</v>
      </c>
      <c r="R140" s="1958" t="str">
        <f t="shared" si="86"/>
        <v>資源・マテリアル</v>
      </c>
      <c r="S140" s="1503">
        <f t="shared" si="110"/>
        <v>0.3</v>
      </c>
      <c r="T140" s="1503">
        <f t="shared" si="111"/>
        <v>0.3</v>
      </c>
      <c r="U140" s="1503">
        <f t="shared" si="112"/>
        <v>0.3</v>
      </c>
      <c r="V140" s="1503">
        <f t="shared" si="113"/>
        <v>0.3</v>
      </c>
      <c r="W140" s="1503">
        <f t="shared" si="114"/>
        <v>0.3</v>
      </c>
      <c r="X140" s="1503">
        <f t="shared" si="115"/>
        <v>0.3</v>
      </c>
      <c r="Y140" s="1503">
        <f t="shared" si="116"/>
        <v>0.3</v>
      </c>
      <c r="Z140" s="1582">
        <f t="shared" si="117"/>
        <v>0.3</v>
      </c>
      <c r="AA140" s="1503">
        <f t="shared" si="118"/>
        <v>0.3</v>
      </c>
      <c r="AB140" s="1503">
        <f t="shared" si="119"/>
        <v>0.3</v>
      </c>
      <c r="AC140" s="1583">
        <f t="shared" si="107"/>
        <v>0</v>
      </c>
      <c r="AD140" s="1584">
        <f t="shared" si="108"/>
        <v>0</v>
      </c>
      <c r="AE140" s="1584">
        <f t="shared" si="109"/>
        <v>0</v>
      </c>
      <c r="AF140"/>
      <c r="AG140" s="1498" t="s">
        <v>1569</v>
      </c>
      <c r="AH140" s="1994" t="s">
        <v>1411</v>
      </c>
      <c r="AI140" s="1958" t="s">
        <v>1570</v>
      </c>
      <c r="AJ140" s="1960">
        <v>0.3</v>
      </c>
      <c r="AK140" s="1960">
        <v>0.3</v>
      </c>
      <c r="AL140" s="1960">
        <v>0.3</v>
      </c>
      <c r="AM140" s="1960">
        <v>0.3</v>
      </c>
      <c r="AN140" s="1960">
        <v>0.3</v>
      </c>
      <c r="AO140" s="1960">
        <v>0.3</v>
      </c>
      <c r="AP140" s="1960">
        <v>0.3</v>
      </c>
      <c r="AQ140" s="1995">
        <v>0.3</v>
      </c>
      <c r="AR140" s="1960">
        <v>0.3</v>
      </c>
      <c r="AS140" s="1960">
        <v>0.3</v>
      </c>
      <c r="AT140" s="1996"/>
      <c r="AU140" s="1997"/>
      <c r="AV140" s="1997"/>
      <c r="AW140"/>
      <c r="AX140" s="1498" t="s">
        <v>1438</v>
      </c>
      <c r="AY140" s="1994" t="s">
        <v>1412</v>
      </c>
      <c r="AZ140" s="1958" t="s">
        <v>1439</v>
      </c>
      <c r="BA140" s="1960">
        <v>0.3</v>
      </c>
      <c r="BB140" s="1960">
        <v>0.3</v>
      </c>
      <c r="BC140" s="1960">
        <v>0.3</v>
      </c>
      <c r="BD140" s="1960">
        <v>0.3</v>
      </c>
      <c r="BE140" s="1960">
        <v>0.3</v>
      </c>
      <c r="BF140" s="1960">
        <v>0.3</v>
      </c>
      <c r="BG140" s="1960">
        <v>0.3</v>
      </c>
      <c r="BH140" s="1995">
        <v>0.3</v>
      </c>
      <c r="BI140" s="1960">
        <v>0.3</v>
      </c>
      <c r="BJ140" s="1960">
        <v>0.3</v>
      </c>
      <c r="BK140" s="1996"/>
      <c r="BL140" s="1997"/>
      <c r="BM140" s="1997"/>
      <c r="BN140"/>
      <c r="BO140" s="1498" t="s">
        <v>1438</v>
      </c>
      <c r="BP140" s="1994" t="s">
        <v>1412</v>
      </c>
      <c r="BQ140" s="1958" t="s">
        <v>1439</v>
      </c>
      <c r="BR140" s="1960">
        <v>0.3</v>
      </c>
      <c r="BS140" s="1960">
        <v>0.3</v>
      </c>
      <c r="BT140" s="1960">
        <v>0.3</v>
      </c>
      <c r="BU140" s="1960">
        <v>0.3</v>
      </c>
      <c r="BV140" s="1960">
        <v>0.3</v>
      </c>
      <c r="BW140" s="1960">
        <v>0.3</v>
      </c>
      <c r="BX140" s="1960">
        <v>0.3</v>
      </c>
      <c r="BY140" s="1995">
        <v>0.3</v>
      </c>
      <c r="BZ140" s="1960">
        <v>0.3</v>
      </c>
      <c r="CA140" s="1960">
        <v>0.3</v>
      </c>
      <c r="CB140" s="1996"/>
      <c r="CC140" s="1997"/>
      <c r="CD140" s="1997"/>
      <c r="CE140"/>
    </row>
    <row r="141" spans="1:83" s="1505" customFormat="1">
      <c r="A141"/>
      <c r="B141" s="1497">
        <f t="shared" si="100"/>
        <v>1</v>
      </c>
      <c r="C141" s="1541" t="str">
        <f t="shared" ref="C141:C172" si="140">R141</f>
        <v>水資源保護</v>
      </c>
      <c r="D141" s="1962">
        <f>IF(I$140=0,0,G141/I$140)</f>
        <v>0.20000000000000004</v>
      </c>
      <c r="E141" s="1643">
        <f>IF(J$140=0,0,H141/J$140)</f>
        <v>0</v>
      </c>
      <c r="F141"/>
      <c r="G141" s="1643">
        <f t="shared" si="138"/>
        <v>0.20000000000000004</v>
      </c>
      <c r="H141" s="1643">
        <f t="shared" si="139"/>
        <v>0</v>
      </c>
      <c r="I141" s="1643">
        <f>G142+G143</f>
        <v>1</v>
      </c>
      <c r="J141" s="1643">
        <f>H142+H143</f>
        <v>0</v>
      </c>
      <c r="K141" s="1643">
        <f>IF(スコア表示!W141=0,0,1)</f>
        <v>1</v>
      </c>
      <c r="L141" s="1643">
        <f>IF(スコア表示!AA141=0,0,1)</f>
        <v>0</v>
      </c>
      <c r="M141" s="1643">
        <f t="shared" ref="M141:M172" si="141">SUMPRODUCT($S$7:$AB$7,S141:AB141)</f>
        <v>0.20000000000000004</v>
      </c>
      <c r="N141" s="1643">
        <f t="shared" si="102"/>
        <v>0</v>
      </c>
      <c r="O141"/>
      <c r="P141" s="1573">
        <f t="shared" si="103"/>
        <v>1</v>
      </c>
      <c r="Q141" s="1541" t="str">
        <f t="shared" si="104"/>
        <v>LR2</v>
      </c>
      <c r="R141" s="1680" t="str">
        <f t="shared" ref="R141:R172" si="142">AI141</f>
        <v>水資源保護</v>
      </c>
      <c r="S141" s="1510">
        <f t="shared" si="110"/>
        <v>0.2</v>
      </c>
      <c r="T141" s="1510">
        <f t="shared" si="111"/>
        <v>0.2</v>
      </c>
      <c r="U141" s="1510">
        <f t="shared" si="112"/>
        <v>0.2</v>
      </c>
      <c r="V141" s="1510">
        <f t="shared" si="113"/>
        <v>0.2</v>
      </c>
      <c r="W141" s="1510">
        <f t="shared" si="114"/>
        <v>0.2</v>
      </c>
      <c r="X141" s="1510">
        <f t="shared" si="115"/>
        <v>0.2</v>
      </c>
      <c r="Y141" s="1510">
        <f t="shared" si="116"/>
        <v>0.2</v>
      </c>
      <c r="Z141" s="1546">
        <f t="shared" si="117"/>
        <v>0.2</v>
      </c>
      <c r="AA141" s="1510">
        <f t="shared" si="118"/>
        <v>0.2</v>
      </c>
      <c r="AB141" s="1510">
        <f t="shared" si="119"/>
        <v>0.2</v>
      </c>
      <c r="AC141" s="1586">
        <f t="shared" si="107"/>
        <v>0</v>
      </c>
      <c r="AD141" s="1587">
        <f t="shared" si="108"/>
        <v>0</v>
      </c>
      <c r="AE141" s="1587">
        <f t="shared" si="109"/>
        <v>0</v>
      </c>
      <c r="AF141"/>
      <c r="AG141" s="1573">
        <v>1</v>
      </c>
      <c r="AH141" s="1644" t="s">
        <v>326</v>
      </c>
      <c r="AI141" s="1680" t="s">
        <v>700</v>
      </c>
      <c r="AJ141" s="1611">
        <v>0.2</v>
      </c>
      <c r="AK141" s="1611">
        <v>0.2</v>
      </c>
      <c r="AL141" s="1611">
        <v>0.2</v>
      </c>
      <c r="AM141" s="1611">
        <v>0.2</v>
      </c>
      <c r="AN141" s="1611">
        <v>0.2</v>
      </c>
      <c r="AO141" s="1611">
        <v>0.2</v>
      </c>
      <c r="AP141" s="1611">
        <v>0.2</v>
      </c>
      <c r="AQ141" s="1983">
        <v>0.2</v>
      </c>
      <c r="AR141" s="1611">
        <v>0.2</v>
      </c>
      <c r="AS141" s="1611">
        <v>0.2</v>
      </c>
      <c r="AT141" s="1998"/>
      <c r="AU141" s="1999"/>
      <c r="AV141" s="1999"/>
      <c r="AW141"/>
      <c r="AX141" s="1573">
        <v>1</v>
      </c>
      <c r="AY141" s="1644" t="s">
        <v>326</v>
      </c>
      <c r="AZ141" s="1680" t="s">
        <v>700</v>
      </c>
      <c r="BA141" s="1611">
        <v>0.2</v>
      </c>
      <c r="BB141" s="1611">
        <v>0.2</v>
      </c>
      <c r="BC141" s="1611">
        <v>0.2</v>
      </c>
      <c r="BD141" s="1611">
        <v>0.2</v>
      </c>
      <c r="BE141" s="1611">
        <v>0.2</v>
      </c>
      <c r="BF141" s="1611">
        <v>0.2</v>
      </c>
      <c r="BG141" s="1611">
        <v>0.2</v>
      </c>
      <c r="BH141" s="1983">
        <v>0.2</v>
      </c>
      <c r="BI141" s="1611">
        <v>0.2</v>
      </c>
      <c r="BJ141" s="1611">
        <v>0.2</v>
      </c>
      <c r="BK141" s="1998"/>
      <c r="BL141" s="1999"/>
      <c r="BM141" s="1999"/>
      <c r="BN141"/>
      <c r="BO141" s="1573">
        <v>1</v>
      </c>
      <c r="BP141" s="1644" t="s">
        <v>326</v>
      </c>
      <c r="BQ141" s="1680" t="s">
        <v>700</v>
      </c>
      <c r="BR141" s="1611">
        <v>0.2</v>
      </c>
      <c r="BS141" s="1611">
        <v>0.2</v>
      </c>
      <c r="BT141" s="1611">
        <v>0.2</v>
      </c>
      <c r="BU141" s="1611">
        <v>0.2</v>
      </c>
      <c r="BV141" s="1611">
        <v>0.2</v>
      </c>
      <c r="BW141" s="1611">
        <v>0.2</v>
      </c>
      <c r="BX141" s="1611">
        <v>0.2</v>
      </c>
      <c r="BY141" s="1983">
        <v>0.2</v>
      </c>
      <c r="BZ141" s="1611">
        <v>0.2</v>
      </c>
      <c r="CA141" s="1611">
        <v>0.2</v>
      </c>
      <c r="CB141" s="1998"/>
      <c r="CC141" s="1999"/>
      <c r="CD141" s="1999"/>
      <c r="CE141"/>
    </row>
    <row r="142" spans="1:83">
      <c r="B142" s="1497">
        <f t="shared" si="100"/>
        <v>1.1000000000000001</v>
      </c>
      <c r="C142" s="1514" t="str">
        <f t="shared" si="140"/>
        <v>節水</v>
      </c>
      <c r="D142" s="1616">
        <f>IF(I$141=0,0,G142/I$141)</f>
        <v>0.40000000000000008</v>
      </c>
      <c r="E142" s="1591">
        <f>IF(J$141=0,0,H142/J$141)</f>
        <v>0</v>
      </c>
      <c r="G142" s="1591">
        <f t="shared" si="138"/>
        <v>0.40000000000000008</v>
      </c>
      <c r="H142" s="1591">
        <f t="shared" si="139"/>
        <v>0</v>
      </c>
      <c r="I142" s="1591"/>
      <c r="J142" s="1591"/>
      <c r="K142" s="1591">
        <f>IF(スコア表示!W142=0,0,1)</f>
        <v>1</v>
      </c>
      <c r="L142" s="1591">
        <f>IF(スコア表示!AA142=0,0,1)</f>
        <v>0</v>
      </c>
      <c r="M142" s="1591">
        <f t="shared" si="141"/>
        <v>0.40000000000000008</v>
      </c>
      <c r="N142" s="1591">
        <f t="shared" si="102"/>
        <v>0</v>
      </c>
      <c r="P142" s="1547">
        <f t="shared" si="103"/>
        <v>1.1000000000000001</v>
      </c>
      <c r="Q142" s="1547" t="str">
        <f t="shared" si="104"/>
        <v>LR2 1</v>
      </c>
      <c r="R142" s="1637" t="str">
        <f t="shared" si="142"/>
        <v>節水</v>
      </c>
      <c r="S142" s="1518">
        <f t="shared" si="110"/>
        <v>0.4</v>
      </c>
      <c r="T142" s="1518">
        <f t="shared" si="111"/>
        <v>0.4</v>
      </c>
      <c r="U142" s="1518">
        <f t="shared" si="112"/>
        <v>0.4</v>
      </c>
      <c r="V142" s="1518">
        <f t="shared" si="113"/>
        <v>0.4</v>
      </c>
      <c r="W142" s="1518">
        <f t="shared" si="114"/>
        <v>0.4</v>
      </c>
      <c r="X142" s="1518">
        <f t="shared" si="115"/>
        <v>0.4</v>
      </c>
      <c r="Y142" s="1518">
        <f t="shared" si="116"/>
        <v>0.4</v>
      </c>
      <c r="Z142" s="1526">
        <f t="shared" si="117"/>
        <v>0.4</v>
      </c>
      <c r="AA142" s="1518">
        <f t="shared" si="118"/>
        <v>0.4</v>
      </c>
      <c r="AB142" s="1518">
        <f t="shared" si="119"/>
        <v>0.4</v>
      </c>
      <c r="AC142" s="1588">
        <f t="shared" si="107"/>
        <v>0</v>
      </c>
      <c r="AD142" s="1533">
        <f t="shared" si="108"/>
        <v>0</v>
      </c>
      <c r="AE142" s="1533">
        <f t="shared" si="109"/>
        <v>0</v>
      </c>
      <c r="AG142" s="1547">
        <v>1.1000000000000001</v>
      </c>
      <c r="AH142" s="1593" t="s">
        <v>327</v>
      </c>
      <c r="AI142" s="1964" t="s">
        <v>701</v>
      </c>
      <c r="AJ142" s="1523">
        <v>0.4</v>
      </c>
      <c r="AK142" s="1523">
        <v>0.4</v>
      </c>
      <c r="AL142" s="1523">
        <v>0.4</v>
      </c>
      <c r="AM142" s="1523">
        <v>0.4</v>
      </c>
      <c r="AN142" s="1523">
        <v>0.4</v>
      </c>
      <c r="AO142" s="1523">
        <v>0.4</v>
      </c>
      <c r="AP142" s="1523">
        <v>0.4</v>
      </c>
      <c r="AQ142" s="1524">
        <v>0.4</v>
      </c>
      <c r="AR142" s="1523">
        <v>0.4</v>
      </c>
      <c r="AS142" s="1523">
        <v>0.4</v>
      </c>
      <c r="AT142" s="1770"/>
      <c r="AU142" s="1615"/>
      <c r="AV142" s="1615"/>
      <c r="AX142" s="1547">
        <v>1.1000000000000001</v>
      </c>
      <c r="AY142" s="1593" t="s">
        <v>327</v>
      </c>
      <c r="AZ142" s="1964" t="s">
        <v>701</v>
      </c>
      <c r="BA142" s="1523">
        <v>0.4</v>
      </c>
      <c r="BB142" s="1523">
        <v>0.4</v>
      </c>
      <c r="BC142" s="1523">
        <v>0.4</v>
      </c>
      <c r="BD142" s="1523">
        <v>0.4</v>
      </c>
      <c r="BE142" s="1523">
        <v>0.4</v>
      </c>
      <c r="BF142" s="1523">
        <v>0.4</v>
      </c>
      <c r="BG142" s="1523">
        <v>0.4</v>
      </c>
      <c r="BH142" s="1524">
        <v>0.4</v>
      </c>
      <c r="BI142" s="1523">
        <v>0.4</v>
      </c>
      <c r="BJ142" s="1523">
        <v>0.4</v>
      </c>
      <c r="BK142" s="1770"/>
      <c r="BL142" s="1615"/>
      <c r="BM142" s="1615"/>
      <c r="BO142" s="1547">
        <v>1.1000000000000001</v>
      </c>
      <c r="BP142" s="1593" t="s">
        <v>327</v>
      </c>
      <c r="BQ142" s="1964" t="s">
        <v>701</v>
      </c>
      <c r="BR142" s="1523">
        <v>0.4</v>
      </c>
      <c r="BS142" s="1523">
        <v>0.4</v>
      </c>
      <c r="BT142" s="1523">
        <v>0.4</v>
      </c>
      <c r="BU142" s="1523">
        <v>0.4</v>
      </c>
      <c r="BV142" s="1523">
        <v>0.4</v>
      </c>
      <c r="BW142" s="1523">
        <v>0.4</v>
      </c>
      <c r="BX142" s="1523">
        <v>0.4</v>
      </c>
      <c r="BY142" s="1524">
        <v>0.4</v>
      </c>
      <c r="BZ142" s="1523">
        <v>0.4</v>
      </c>
      <c r="CA142" s="1523">
        <v>0.4</v>
      </c>
      <c r="CB142" s="1770"/>
      <c r="CC142" s="1615"/>
      <c r="CD142" s="1615"/>
    </row>
    <row r="143" spans="1:83">
      <c r="B143" s="1497">
        <f t="shared" ref="B143:B174" si="143">P143</f>
        <v>1.2</v>
      </c>
      <c r="C143" s="1547" t="str">
        <f t="shared" si="140"/>
        <v>雨水利用・雑排水再利用</v>
      </c>
      <c r="D143" s="1616">
        <f>IF(I$141=0,0,G143/I$141)</f>
        <v>0.6</v>
      </c>
      <c r="E143" s="1591">
        <f>IF(J$141=0,0,H143/J$141)</f>
        <v>0</v>
      </c>
      <c r="G143" s="1591">
        <f t="shared" si="138"/>
        <v>0.6</v>
      </c>
      <c r="H143" s="1591">
        <f t="shared" si="139"/>
        <v>0</v>
      </c>
      <c r="I143" s="1591">
        <f>SUM(G144:G145)</f>
        <v>1</v>
      </c>
      <c r="J143" s="1591">
        <f>SUM(H144:H145)</f>
        <v>0</v>
      </c>
      <c r="K143" s="1591">
        <f>IF(スコア表示!W143=0,0,1)</f>
        <v>1</v>
      </c>
      <c r="L143" s="1591">
        <f>IF(スコア表示!AA143=0,0,1)</f>
        <v>0</v>
      </c>
      <c r="M143" s="1591">
        <f t="shared" si="141"/>
        <v>0.6</v>
      </c>
      <c r="N143" s="1591">
        <f t="shared" si="102"/>
        <v>0</v>
      </c>
      <c r="P143" s="1992">
        <f t="shared" si="103"/>
        <v>1.2</v>
      </c>
      <c r="Q143" s="1547" t="str">
        <f t="shared" si="104"/>
        <v>LR2 1</v>
      </c>
      <c r="R143" s="1637" t="str">
        <f t="shared" si="142"/>
        <v>雨水利用・雑排水再利用</v>
      </c>
      <c r="S143" s="1518">
        <f t="shared" si="110"/>
        <v>0.6</v>
      </c>
      <c r="T143" s="1518">
        <f t="shared" si="111"/>
        <v>0.6</v>
      </c>
      <c r="U143" s="1518">
        <f t="shared" si="112"/>
        <v>0.6</v>
      </c>
      <c r="V143" s="1518">
        <f t="shared" si="113"/>
        <v>0.6</v>
      </c>
      <c r="W143" s="1518">
        <f t="shared" si="114"/>
        <v>0.6</v>
      </c>
      <c r="X143" s="1518">
        <f t="shared" si="115"/>
        <v>0.6</v>
      </c>
      <c r="Y143" s="1518">
        <f t="shared" si="116"/>
        <v>0.6</v>
      </c>
      <c r="Z143" s="1526">
        <f t="shared" si="117"/>
        <v>0.6</v>
      </c>
      <c r="AA143" s="1518">
        <f t="shared" si="118"/>
        <v>0.6</v>
      </c>
      <c r="AB143" s="1518">
        <f t="shared" si="119"/>
        <v>0.6</v>
      </c>
      <c r="AC143" s="1588">
        <f t="shared" si="107"/>
        <v>0</v>
      </c>
      <c r="AD143" s="1533">
        <f t="shared" si="108"/>
        <v>0</v>
      </c>
      <c r="AE143" s="1533">
        <f t="shared" si="109"/>
        <v>0</v>
      </c>
      <c r="AG143" s="1992">
        <v>1.2</v>
      </c>
      <c r="AH143" s="1593" t="s">
        <v>327</v>
      </c>
      <c r="AI143" s="1637" t="s">
        <v>702</v>
      </c>
      <c r="AJ143" s="1523">
        <v>0.6</v>
      </c>
      <c r="AK143" s="1523">
        <v>0.6</v>
      </c>
      <c r="AL143" s="1523">
        <v>0.6</v>
      </c>
      <c r="AM143" s="1523">
        <v>0.6</v>
      </c>
      <c r="AN143" s="1523">
        <v>0.6</v>
      </c>
      <c r="AO143" s="1523">
        <v>0.6</v>
      </c>
      <c r="AP143" s="1523">
        <v>0.6</v>
      </c>
      <c r="AQ143" s="1524">
        <v>0.6</v>
      </c>
      <c r="AR143" s="1523">
        <v>0.6</v>
      </c>
      <c r="AS143" s="1523">
        <v>0.6</v>
      </c>
      <c r="AT143" s="1770"/>
      <c r="AU143" s="1615"/>
      <c r="AV143" s="1615"/>
      <c r="AX143" s="1992">
        <v>1.2</v>
      </c>
      <c r="AY143" s="1593" t="s">
        <v>327</v>
      </c>
      <c r="AZ143" s="1637" t="s">
        <v>702</v>
      </c>
      <c r="BA143" s="1523">
        <v>0.6</v>
      </c>
      <c r="BB143" s="1523">
        <v>0.6</v>
      </c>
      <c r="BC143" s="1523">
        <v>0.6</v>
      </c>
      <c r="BD143" s="1523">
        <v>0.6</v>
      </c>
      <c r="BE143" s="1523">
        <v>0.6</v>
      </c>
      <c r="BF143" s="1523">
        <v>0.6</v>
      </c>
      <c r="BG143" s="1523">
        <v>0.6</v>
      </c>
      <c r="BH143" s="1524">
        <v>0.6</v>
      </c>
      <c r="BI143" s="1523">
        <v>0.6</v>
      </c>
      <c r="BJ143" s="1523">
        <v>0.6</v>
      </c>
      <c r="BK143" s="1770"/>
      <c r="BL143" s="1615"/>
      <c r="BM143" s="1615"/>
      <c r="BO143" s="1992">
        <v>1.2</v>
      </c>
      <c r="BP143" s="1593" t="s">
        <v>327</v>
      </c>
      <c r="BQ143" s="1637" t="s">
        <v>702</v>
      </c>
      <c r="BR143" s="1523">
        <v>0.6</v>
      </c>
      <c r="BS143" s="1523">
        <v>0.6</v>
      </c>
      <c r="BT143" s="1523">
        <v>0.6</v>
      </c>
      <c r="BU143" s="1523">
        <v>0.6</v>
      </c>
      <c r="BV143" s="1523">
        <v>0.6</v>
      </c>
      <c r="BW143" s="1523">
        <v>0.6</v>
      </c>
      <c r="BX143" s="1523">
        <v>0.6</v>
      </c>
      <c r="BY143" s="1524">
        <v>0.6</v>
      </c>
      <c r="BZ143" s="1523">
        <v>0.6</v>
      </c>
      <c r="CA143" s="1523">
        <v>0.6</v>
      </c>
      <c r="CB143" s="1770"/>
      <c r="CC143" s="1615"/>
      <c r="CD143" s="1615"/>
    </row>
    <row r="144" spans="1:83">
      <c r="B144" s="1497" t="str">
        <f t="shared" si="143"/>
        <v>1.2.1</v>
      </c>
      <c r="C144" s="1514" t="str">
        <f t="shared" si="140"/>
        <v>雨水利用システム導入の有無</v>
      </c>
      <c r="D144" s="1621">
        <f>IF(I$143&gt;0,G144/I$143,0)</f>
        <v>0.70000000000000007</v>
      </c>
      <c r="E144" s="1591">
        <f>IF(J$143&gt;0,H144/J$143,0)</f>
        <v>0</v>
      </c>
      <c r="G144" s="1591">
        <f t="shared" si="138"/>
        <v>0.70000000000000007</v>
      </c>
      <c r="H144" s="1591">
        <f t="shared" si="139"/>
        <v>0</v>
      </c>
      <c r="I144" s="1591"/>
      <c r="J144" s="1591"/>
      <c r="K144" s="1591">
        <f>IF(スコア表示!W144=0,0,1)</f>
        <v>1</v>
      </c>
      <c r="L144" s="1591">
        <f>IF(スコア表示!AA144=0,0,1)</f>
        <v>0</v>
      </c>
      <c r="M144" s="1591">
        <f t="shared" si="141"/>
        <v>0.70000000000000007</v>
      </c>
      <c r="N144" s="1591">
        <f t="shared" si="102"/>
        <v>0</v>
      </c>
      <c r="P144" s="1547" t="str">
        <f t="shared" si="103"/>
        <v>1.2.1</v>
      </c>
      <c r="Q144" s="1547" t="str">
        <f t="shared" si="104"/>
        <v>LR2 1.2</v>
      </c>
      <c r="R144" s="1637" t="str">
        <f t="shared" si="142"/>
        <v>雨水利用システム導入の有無</v>
      </c>
      <c r="S144" s="1518">
        <f t="shared" si="110"/>
        <v>0.7</v>
      </c>
      <c r="T144" s="1518">
        <f t="shared" si="111"/>
        <v>0.7</v>
      </c>
      <c r="U144" s="1518">
        <f t="shared" si="112"/>
        <v>0.7</v>
      </c>
      <c r="V144" s="1518">
        <f t="shared" si="113"/>
        <v>0.7</v>
      </c>
      <c r="W144" s="1518">
        <f t="shared" si="114"/>
        <v>0.7</v>
      </c>
      <c r="X144" s="1518">
        <f t="shared" si="115"/>
        <v>0.7</v>
      </c>
      <c r="Y144" s="1518">
        <f t="shared" si="116"/>
        <v>0.7</v>
      </c>
      <c r="Z144" s="1526">
        <f t="shared" si="117"/>
        <v>0.7</v>
      </c>
      <c r="AA144" s="1518">
        <f t="shared" si="118"/>
        <v>0.7</v>
      </c>
      <c r="AB144" s="1518">
        <f t="shared" si="119"/>
        <v>0.7</v>
      </c>
      <c r="AC144" s="1588">
        <f t="shared" si="107"/>
        <v>0</v>
      </c>
      <c r="AD144" s="1533">
        <f t="shared" si="108"/>
        <v>0</v>
      </c>
      <c r="AE144" s="1533">
        <f t="shared" si="109"/>
        <v>0</v>
      </c>
      <c r="AG144" s="1547" t="s">
        <v>1471</v>
      </c>
      <c r="AH144" s="1593" t="s">
        <v>328</v>
      </c>
      <c r="AI144" s="1964" t="s">
        <v>1571</v>
      </c>
      <c r="AJ144" s="1523">
        <v>0.7</v>
      </c>
      <c r="AK144" s="1523">
        <v>0.7</v>
      </c>
      <c r="AL144" s="1523">
        <v>0.7</v>
      </c>
      <c r="AM144" s="1523">
        <v>0.7</v>
      </c>
      <c r="AN144" s="1523">
        <v>0.7</v>
      </c>
      <c r="AO144" s="1523">
        <v>0.7</v>
      </c>
      <c r="AP144" s="1523">
        <v>0.7</v>
      </c>
      <c r="AQ144" s="1524">
        <v>0.7</v>
      </c>
      <c r="AR144" s="1523">
        <v>0.7</v>
      </c>
      <c r="AS144" s="1523">
        <v>0.7</v>
      </c>
      <c r="AT144" s="1770"/>
      <c r="AU144" s="1615"/>
      <c r="AV144" s="1615"/>
      <c r="AX144" s="1547" t="s">
        <v>1367</v>
      </c>
      <c r="AY144" s="1593" t="s">
        <v>328</v>
      </c>
      <c r="AZ144" s="1964" t="s">
        <v>1440</v>
      </c>
      <c r="BA144" s="1523">
        <v>0.7</v>
      </c>
      <c r="BB144" s="1523">
        <v>0.7</v>
      </c>
      <c r="BC144" s="1523">
        <v>0.7</v>
      </c>
      <c r="BD144" s="1523">
        <v>0.7</v>
      </c>
      <c r="BE144" s="1523">
        <v>0.7</v>
      </c>
      <c r="BF144" s="1523">
        <v>0.7</v>
      </c>
      <c r="BG144" s="1523">
        <v>0.7</v>
      </c>
      <c r="BH144" s="1524">
        <v>0.7</v>
      </c>
      <c r="BI144" s="1523">
        <v>0.7</v>
      </c>
      <c r="BJ144" s="1523">
        <v>0.7</v>
      </c>
      <c r="BK144" s="1770"/>
      <c r="BL144" s="1615"/>
      <c r="BM144" s="1615"/>
      <c r="BO144" s="1547" t="s">
        <v>1367</v>
      </c>
      <c r="BP144" s="1593" t="s">
        <v>328</v>
      </c>
      <c r="BQ144" s="1964" t="s">
        <v>1440</v>
      </c>
      <c r="BR144" s="1523">
        <v>0.7</v>
      </c>
      <c r="BS144" s="1523">
        <v>0.7</v>
      </c>
      <c r="BT144" s="1523">
        <v>0.7</v>
      </c>
      <c r="BU144" s="1523">
        <v>0.7</v>
      </c>
      <c r="BV144" s="1523">
        <v>0.7</v>
      </c>
      <c r="BW144" s="1523">
        <v>0.7</v>
      </c>
      <c r="BX144" s="1523">
        <v>0.7</v>
      </c>
      <c r="BY144" s="1524">
        <v>0.7</v>
      </c>
      <c r="BZ144" s="1523">
        <v>0.7</v>
      </c>
      <c r="CA144" s="1523">
        <v>0.7</v>
      </c>
      <c r="CB144" s="1770"/>
      <c r="CC144" s="1615"/>
      <c r="CD144" s="1615"/>
    </row>
    <row r="145" spans="1:83">
      <c r="B145" s="1497" t="str">
        <f t="shared" si="143"/>
        <v>1.2.2</v>
      </c>
      <c r="C145" s="1514" t="str">
        <f t="shared" si="140"/>
        <v>雑排水等再利用システム導入の有無</v>
      </c>
      <c r="D145" s="1621">
        <f>IF(I$143&gt;0,G145/I$143,0)</f>
        <v>0.3</v>
      </c>
      <c r="E145" s="1591">
        <f>IF(J$143&gt;0,H145/J$143,0)</f>
        <v>0</v>
      </c>
      <c r="G145" s="1591">
        <f t="shared" si="138"/>
        <v>0.3</v>
      </c>
      <c r="H145" s="1591">
        <f t="shared" si="139"/>
        <v>0</v>
      </c>
      <c r="I145" s="1591"/>
      <c r="J145" s="1591"/>
      <c r="K145" s="1591">
        <f>IF(スコア表示!W145=0,0,1)</f>
        <v>1</v>
      </c>
      <c r="L145" s="1591">
        <f>IF(スコア表示!AA145=0,0,1)</f>
        <v>0</v>
      </c>
      <c r="M145" s="1591">
        <f t="shared" si="141"/>
        <v>0.3</v>
      </c>
      <c r="N145" s="1591">
        <f t="shared" si="102"/>
        <v>0</v>
      </c>
      <c r="P145" s="1547" t="str">
        <f t="shared" si="103"/>
        <v>1.2.2</v>
      </c>
      <c r="Q145" s="1547" t="str">
        <f t="shared" si="104"/>
        <v>LR2 1.2</v>
      </c>
      <c r="R145" s="1637" t="str">
        <f t="shared" si="142"/>
        <v>雑排水等再利用システム導入の有無</v>
      </c>
      <c r="S145" s="1518">
        <f t="shared" si="110"/>
        <v>0.3</v>
      </c>
      <c r="T145" s="1518">
        <f t="shared" si="111"/>
        <v>0.3</v>
      </c>
      <c r="U145" s="1518">
        <f t="shared" si="112"/>
        <v>0.3</v>
      </c>
      <c r="V145" s="1518">
        <f t="shared" si="113"/>
        <v>0.3</v>
      </c>
      <c r="W145" s="1518">
        <f t="shared" si="114"/>
        <v>0.3</v>
      </c>
      <c r="X145" s="1518">
        <f t="shared" si="115"/>
        <v>0.3</v>
      </c>
      <c r="Y145" s="1518">
        <f t="shared" si="116"/>
        <v>0.3</v>
      </c>
      <c r="Z145" s="1526">
        <f t="shared" si="117"/>
        <v>0.3</v>
      </c>
      <c r="AA145" s="1518">
        <f t="shared" si="118"/>
        <v>0.3</v>
      </c>
      <c r="AB145" s="1518">
        <f t="shared" si="119"/>
        <v>0.3</v>
      </c>
      <c r="AC145" s="1588">
        <f t="shared" si="107"/>
        <v>0</v>
      </c>
      <c r="AD145" s="1533">
        <f t="shared" si="108"/>
        <v>0</v>
      </c>
      <c r="AE145" s="1533">
        <f t="shared" si="109"/>
        <v>0</v>
      </c>
      <c r="AG145" s="1547" t="s">
        <v>1473</v>
      </c>
      <c r="AH145" s="1593" t="s">
        <v>328</v>
      </c>
      <c r="AI145" s="1964" t="s">
        <v>847</v>
      </c>
      <c r="AJ145" s="1523">
        <v>0.3</v>
      </c>
      <c r="AK145" s="1523">
        <v>0.3</v>
      </c>
      <c r="AL145" s="1523">
        <v>0.3</v>
      </c>
      <c r="AM145" s="1523">
        <v>0.3</v>
      </c>
      <c r="AN145" s="1523">
        <v>0.3</v>
      </c>
      <c r="AO145" s="1523">
        <v>0.3</v>
      </c>
      <c r="AP145" s="1523">
        <v>0.3</v>
      </c>
      <c r="AQ145" s="1524">
        <v>0.3</v>
      </c>
      <c r="AR145" s="1523">
        <v>0.3</v>
      </c>
      <c r="AS145" s="1523">
        <v>0.3</v>
      </c>
      <c r="AT145" s="1770"/>
      <c r="AU145" s="1615"/>
      <c r="AV145" s="1615"/>
      <c r="AX145" s="1547" t="s">
        <v>1368</v>
      </c>
      <c r="AY145" s="1593" t="s">
        <v>328</v>
      </c>
      <c r="AZ145" s="1964" t="s">
        <v>847</v>
      </c>
      <c r="BA145" s="1523">
        <v>0.3</v>
      </c>
      <c r="BB145" s="1523">
        <v>0.3</v>
      </c>
      <c r="BC145" s="1523">
        <v>0.3</v>
      </c>
      <c r="BD145" s="1523">
        <v>0.3</v>
      </c>
      <c r="BE145" s="1523">
        <v>0.3</v>
      </c>
      <c r="BF145" s="1523">
        <v>0.3</v>
      </c>
      <c r="BG145" s="1523">
        <v>0.3</v>
      </c>
      <c r="BH145" s="1524">
        <v>0.3</v>
      </c>
      <c r="BI145" s="1523">
        <v>0.3</v>
      </c>
      <c r="BJ145" s="1523">
        <v>0.3</v>
      </c>
      <c r="BK145" s="1770"/>
      <c r="BL145" s="1615"/>
      <c r="BM145" s="1615"/>
      <c r="BO145" s="1547" t="s">
        <v>1368</v>
      </c>
      <c r="BP145" s="1593" t="s">
        <v>328</v>
      </c>
      <c r="BQ145" s="1964" t="s">
        <v>847</v>
      </c>
      <c r="BR145" s="1523">
        <v>0.3</v>
      </c>
      <c r="BS145" s="1523">
        <v>0.3</v>
      </c>
      <c r="BT145" s="1523">
        <v>0.3</v>
      </c>
      <c r="BU145" s="1523">
        <v>0.3</v>
      </c>
      <c r="BV145" s="1523">
        <v>0.3</v>
      </c>
      <c r="BW145" s="1523">
        <v>0.3</v>
      </c>
      <c r="BX145" s="1523">
        <v>0.3</v>
      </c>
      <c r="BY145" s="1524">
        <v>0.3</v>
      </c>
      <c r="BZ145" s="1523">
        <v>0.3</v>
      </c>
      <c r="CA145" s="1523">
        <v>0.3</v>
      </c>
      <c r="CB145" s="1770"/>
      <c r="CC145" s="1615"/>
      <c r="CD145" s="1615"/>
    </row>
    <row r="146" spans="1:83" s="1505" customFormat="1">
      <c r="A146"/>
      <c r="B146" s="1497">
        <f t="shared" si="143"/>
        <v>2</v>
      </c>
      <c r="C146" s="1589" t="str">
        <f t="shared" si="140"/>
        <v>非再生性資源の使用量削減</v>
      </c>
      <c r="D146" s="1962">
        <f>IF(I$140=0,0,G146/I$140)</f>
        <v>0.6</v>
      </c>
      <c r="E146" s="1643">
        <f>IF(J$140=0,0,H146/J$140)</f>
        <v>0</v>
      </c>
      <c r="F146"/>
      <c r="G146" s="1643">
        <f t="shared" si="138"/>
        <v>0.6</v>
      </c>
      <c r="H146" s="1643">
        <f t="shared" si="139"/>
        <v>0</v>
      </c>
      <c r="I146" s="1643">
        <f>G147+G148+G149+G150+G151+G152</f>
        <v>1.0000000000000002</v>
      </c>
      <c r="J146" s="1643">
        <f>H147+H148+H149+H150+H151+H152</f>
        <v>0</v>
      </c>
      <c r="K146" s="1643">
        <f>IF(スコア表示!W146=0,0,1)</f>
        <v>1</v>
      </c>
      <c r="L146" s="1643">
        <f>IF(スコア表示!AA146=0,0,1)</f>
        <v>0</v>
      </c>
      <c r="M146" s="1643">
        <f t="shared" si="141"/>
        <v>0.6</v>
      </c>
      <c r="N146" s="1643">
        <f t="shared" si="102"/>
        <v>0</v>
      </c>
      <c r="O146"/>
      <c r="P146" s="1541">
        <f t="shared" si="103"/>
        <v>2</v>
      </c>
      <c r="Q146" s="1541" t="str">
        <f t="shared" si="104"/>
        <v>LR2</v>
      </c>
      <c r="R146" s="1680" t="str">
        <f t="shared" si="142"/>
        <v>非再生性資源の使用量削減</v>
      </c>
      <c r="S146" s="1510">
        <f t="shared" si="110"/>
        <v>0.6</v>
      </c>
      <c r="T146" s="1510">
        <f t="shared" si="111"/>
        <v>0.6</v>
      </c>
      <c r="U146" s="1510">
        <f t="shared" si="112"/>
        <v>0.6</v>
      </c>
      <c r="V146" s="1510">
        <f t="shared" si="113"/>
        <v>0.6</v>
      </c>
      <c r="W146" s="1510">
        <f t="shared" si="114"/>
        <v>0.6</v>
      </c>
      <c r="X146" s="1510">
        <f t="shared" si="115"/>
        <v>0.6</v>
      </c>
      <c r="Y146" s="1510">
        <f t="shared" si="116"/>
        <v>0.6</v>
      </c>
      <c r="Z146" s="1546">
        <f t="shared" si="117"/>
        <v>0.6</v>
      </c>
      <c r="AA146" s="1510">
        <f t="shared" si="118"/>
        <v>0.6</v>
      </c>
      <c r="AB146" s="1510">
        <f t="shared" si="119"/>
        <v>0.6</v>
      </c>
      <c r="AC146" s="1586">
        <f t="shared" si="107"/>
        <v>0</v>
      </c>
      <c r="AD146" s="1587">
        <f t="shared" si="108"/>
        <v>0</v>
      </c>
      <c r="AE146" s="1587">
        <f t="shared" si="109"/>
        <v>0</v>
      </c>
      <c r="AF146"/>
      <c r="AG146" s="1541">
        <v>2</v>
      </c>
      <c r="AH146" s="1644" t="s">
        <v>326</v>
      </c>
      <c r="AI146" s="1687" t="s">
        <v>706</v>
      </c>
      <c r="AJ146" s="1611">
        <v>0.6</v>
      </c>
      <c r="AK146" s="1611">
        <v>0.6</v>
      </c>
      <c r="AL146" s="1611">
        <v>0.6</v>
      </c>
      <c r="AM146" s="1611">
        <v>0.6</v>
      </c>
      <c r="AN146" s="1611">
        <v>0.6</v>
      </c>
      <c r="AO146" s="1611">
        <v>0.6</v>
      </c>
      <c r="AP146" s="1611">
        <v>0.6</v>
      </c>
      <c r="AQ146" s="1611">
        <v>0.6</v>
      </c>
      <c r="AR146" s="1611">
        <v>0.6</v>
      </c>
      <c r="AS146" s="1611">
        <v>0.6</v>
      </c>
      <c r="AT146" s="1998"/>
      <c r="AU146" s="1999"/>
      <c r="AV146" s="1999"/>
      <c r="AW146"/>
      <c r="AX146" s="1541">
        <v>2</v>
      </c>
      <c r="AY146" s="1644" t="s">
        <v>326</v>
      </c>
      <c r="AZ146" s="1687" t="s">
        <v>706</v>
      </c>
      <c r="BA146" s="1611">
        <v>0.6</v>
      </c>
      <c r="BB146" s="1611">
        <v>0.6</v>
      </c>
      <c r="BC146" s="1611">
        <v>0.6</v>
      </c>
      <c r="BD146" s="1611">
        <v>0.6</v>
      </c>
      <c r="BE146" s="1611">
        <v>0.6</v>
      </c>
      <c r="BF146" s="1611">
        <v>0.6</v>
      </c>
      <c r="BG146" s="1611">
        <v>0.6</v>
      </c>
      <c r="BH146" s="1611">
        <v>0.6</v>
      </c>
      <c r="BI146" s="1611">
        <v>0.6</v>
      </c>
      <c r="BJ146" s="1611">
        <v>0.6</v>
      </c>
      <c r="BK146" s="1998"/>
      <c r="BL146" s="1999"/>
      <c r="BM146" s="1999"/>
      <c r="BN146"/>
      <c r="BO146" s="1541">
        <v>2</v>
      </c>
      <c r="BP146" s="1644" t="s">
        <v>326</v>
      </c>
      <c r="BQ146" s="1687" t="s">
        <v>706</v>
      </c>
      <c r="BR146" s="1611">
        <v>0.6</v>
      </c>
      <c r="BS146" s="1611">
        <v>0.6</v>
      </c>
      <c r="BT146" s="1611">
        <v>0.6</v>
      </c>
      <c r="BU146" s="1611">
        <v>0.6</v>
      </c>
      <c r="BV146" s="1611">
        <v>0.6</v>
      </c>
      <c r="BW146" s="1611">
        <v>0.6</v>
      </c>
      <c r="BX146" s="1611">
        <v>0.6</v>
      </c>
      <c r="BY146" s="1611">
        <v>0.6</v>
      </c>
      <c r="BZ146" s="1611">
        <v>0.6</v>
      </c>
      <c r="CA146" s="1611">
        <v>0.6</v>
      </c>
      <c r="CB146" s="1998"/>
      <c r="CC146" s="1999"/>
      <c r="CD146" s="1999"/>
      <c r="CE146"/>
    </row>
    <row r="147" spans="1:83" s="1505" customFormat="1">
      <c r="A147"/>
      <c r="B147" s="1497" t="str">
        <f t="shared" si="143"/>
        <v>2.1</v>
      </c>
      <c r="C147" s="1547" t="str">
        <f t="shared" si="140"/>
        <v>材料使用量の削減</v>
      </c>
      <c r="D147" s="1616">
        <f t="shared" ref="D147:E152" si="144">IF(I$146=0,0,G147/I$146)</f>
        <v>9.9999999999999992E-2</v>
      </c>
      <c r="E147" s="1591">
        <f t="shared" si="144"/>
        <v>0</v>
      </c>
      <c r="F147"/>
      <c r="G147" s="1591">
        <f t="shared" si="138"/>
        <v>0.10000000000000002</v>
      </c>
      <c r="H147" s="1591">
        <f t="shared" si="139"/>
        <v>0</v>
      </c>
      <c r="I147" s="1591"/>
      <c r="J147" s="1591"/>
      <c r="K147" s="1591">
        <f>IF(スコア表示!W147=0,0,1)</f>
        <v>1</v>
      </c>
      <c r="L147" s="1591">
        <f>IF(スコア表示!AA147=0,0,1)</f>
        <v>0</v>
      </c>
      <c r="M147" s="1591">
        <f t="shared" si="141"/>
        <v>0.10000000000000002</v>
      </c>
      <c r="N147" s="1591">
        <f t="shared" si="102"/>
        <v>0</v>
      </c>
      <c r="O147"/>
      <c r="P147" s="1547" t="str">
        <f t="shared" si="103"/>
        <v>2.1</v>
      </c>
      <c r="Q147" s="1547" t="str">
        <f t="shared" si="104"/>
        <v>LR2 2</v>
      </c>
      <c r="R147" s="1637" t="str">
        <f t="shared" si="142"/>
        <v>材料使用量の削減</v>
      </c>
      <c r="S147" s="1518">
        <f t="shared" si="110"/>
        <v>0.1</v>
      </c>
      <c r="T147" s="1518">
        <f t="shared" si="111"/>
        <v>0.1</v>
      </c>
      <c r="U147" s="1518">
        <f t="shared" si="112"/>
        <v>0.1</v>
      </c>
      <c r="V147" s="1518">
        <f t="shared" si="113"/>
        <v>0.1</v>
      </c>
      <c r="W147" s="1518">
        <f t="shared" si="114"/>
        <v>0.1</v>
      </c>
      <c r="X147" s="1518">
        <f t="shared" si="115"/>
        <v>0.1</v>
      </c>
      <c r="Y147" s="1518">
        <f t="shared" si="116"/>
        <v>0.1</v>
      </c>
      <c r="Z147" s="1526">
        <f t="shared" si="117"/>
        <v>0.1</v>
      </c>
      <c r="AA147" s="1518">
        <f t="shared" si="118"/>
        <v>0.1</v>
      </c>
      <c r="AB147" s="1518">
        <f t="shared" si="119"/>
        <v>0.1</v>
      </c>
      <c r="AC147" s="1588">
        <f t="shared" si="107"/>
        <v>0</v>
      </c>
      <c r="AD147" s="1533">
        <f t="shared" si="108"/>
        <v>0</v>
      </c>
      <c r="AE147" s="1533">
        <f t="shared" si="109"/>
        <v>0</v>
      </c>
      <c r="AF147"/>
      <c r="AG147" s="1547" t="s">
        <v>1416</v>
      </c>
      <c r="AH147" s="1644" t="s">
        <v>329</v>
      </c>
      <c r="AI147" s="1964" t="s">
        <v>707</v>
      </c>
      <c r="AJ147" s="1987">
        <v>0.1</v>
      </c>
      <c r="AK147" s="1987">
        <v>0.1</v>
      </c>
      <c r="AL147" s="1987">
        <v>0.1</v>
      </c>
      <c r="AM147" s="1987">
        <v>0.1</v>
      </c>
      <c r="AN147" s="1987">
        <v>0.1</v>
      </c>
      <c r="AO147" s="1987">
        <v>0.1</v>
      </c>
      <c r="AP147" s="1987">
        <v>0.1</v>
      </c>
      <c r="AQ147" s="1987">
        <v>0.1</v>
      </c>
      <c r="AR147" s="1987">
        <v>0.1</v>
      </c>
      <c r="AS147" s="1987">
        <v>0.1</v>
      </c>
      <c r="AT147" s="2000"/>
      <c r="AU147" s="1999"/>
      <c r="AV147" s="1999"/>
      <c r="AW147"/>
      <c r="AX147" s="1547" t="s">
        <v>1417</v>
      </c>
      <c r="AY147" s="1644" t="s">
        <v>329</v>
      </c>
      <c r="AZ147" s="1964" t="s">
        <v>707</v>
      </c>
      <c r="BA147" s="1987">
        <v>0.1</v>
      </c>
      <c r="BB147" s="1987">
        <v>0.1</v>
      </c>
      <c r="BC147" s="1987">
        <v>0.1</v>
      </c>
      <c r="BD147" s="1987">
        <v>0.1</v>
      </c>
      <c r="BE147" s="1987">
        <v>0.1</v>
      </c>
      <c r="BF147" s="1987">
        <v>0.1</v>
      </c>
      <c r="BG147" s="1987">
        <v>0.1</v>
      </c>
      <c r="BH147" s="1987">
        <v>0.1</v>
      </c>
      <c r="BI147" s="1987">
        <v>0.1</v>
      </c>
      <c r="BJ147" s="1987">
        <v>0.1</v>
      </c>
      <c r="BK147" s="1998"/>
      <c r="BL147" s="1999"/>
      <c r="BM147" s="1999"/>
      <c r="BN147"/>
      <c r="BO147" s="1547" t="s">
        <v>1417</v>
      </c>
      <c r="BP147" s="1644" t="s">
        <v>329</v>
      </c>
      <c r="BQ147" s="1964" t="s">
        <v>707</v>
      </c>
      <c r="BR147" s="1987">
        <v>0.1</v>
      </c>
      <c r="BS147" s="1987">
        <v>0.1</v>
      </c>
      <c r="BT147" s="1987">
        <v>0.1</v>
      </c>
      <c r="BU147" s="1987">
        <v>0.1</v>
      </c>
      <c r="BV147" s="1987">
        <v>0.1</v>
      </c>
      <c r="BW147" s="1987">
        <v>0.1</v>
      </c>
      <c r="BX147" s="1987">
        <v>0.1</v>
      </c>
      <c r="BY147" s="1987">
        <v>0.1</v>
      </c>
      <c r="BZ147" s="1987">
        <v>0.1</v>
      </c>
      <c r="CA147" s="1987">
        <v>0.1</v>
      </c>
      <c r="CB147" s="1998"/>
      <c r="CC147" s="1999"/>
      <c r="CD147" s="1999"/>
      <c r="CE147"/>
    </row>
    <row r="148" spans="1:83">
      <c r="B148" s="1497" t="str">
        <f t="shared" si="143"/>
        <v>2.2</v>
      </c>
      <c r="C148" s="1547" t="str">
        <f t="shared" si="140"/>
        <v>既存建築躯体等の継続使用</v>
      </c>
      <c r="D148" s="1616">
        <f t="shared" si="144"/>
        <v>0.19999999999999998</v>
      </c>
      <c r="E148" s="1591">
        <f t="shared" si="144"/>
        <v>0</v>
      </c>
      <c r="G148" s="1591">
        <f t="shared" si="138"/>
        <v>0.20000000000000004</v>
      </c>
      <c r="H148" s="1591">
        <f t="shared" si="139"/>
        <v>0</v>
      </c>
      <c r="I148" s="1591"/>
      <c r="J148" s="1591"/>
      <c r="K148" s="1591">
        <f>IF(スコア表示!W148=0,0,1)</f>
        <v>1</v>
      </c>
      <c r="L148" s="1591">
        <f>IF(スコア表示!AA148=0,0,1)</f>
        <v>0</v>
      </c>
      <c r="M148" s="1591">
        <f t="shared" si="141"/>
        <v>0.20000000000000004</v>
      </c>
      <c r="N148" s="1591">
        <f t="shared" si="102"/>
        <v>0</v>
      </c>
      <c r="P148" s="1547" t="str">
        <f t="shared" si="103"/>
        <v>2.2</v>
      </c>
      <c r="Q148" s="1547" t="str">
        <f t="shared" si="104"/>
        <v>LR2 2</v>
      </c>
      <c r="R148" s="1637" t="str">
        <f t="shared" si="142"/>
        <v>既存建築躯体等の継続使用</v>
      </c>
      <c r="S148" s="1518">
        <f t="shared" si="110"/>
        <v>0.2</v>
      </c>
      <c r="T148" s="1518">
        <f t="shared" si="111"/>
        <v>0.2</v>
      </c>
      <c r="U148" s="1518">
        <f t="shared" si="112"/>
        <v>0.2</v>
      </c>
      <c r="V148" s="1518">
        <f t="shared" si="113"/>
        <v>0.2</v>
      </c>
      <c r="W148" s="1518">
        <f t="shared" si="114"/>
        <v>0.2</v>
      </c>
      <c r="X148" s="1518">
        <f t="shared" si="115"/>
        <v>0.2</v>
      </c>
      <c r="Y148" s="1518">
        <f t="shared" si="116"/>
        <v>0.2</v>
      </c>
      <c r="Z148" s="1526">
        <f t="shared" si="117"/>
        <v>0.2</v>
      </c>
      <c r="AA148" s="1518">
        <f t="shared" si="118"/>
        <v>0.2</v>
      </c>
      <c r="AB148" s="1518">
        <f t="shared" si="119"/>
        <v>0.2</v>
      </c>
      <c r="AC148" s="1588">
        <f t="shared" si="107"/>
        <v>0</v>
      </c>
      <c r="AD148" s="1533">
        <f t="shared" si="108"/>
        <v>0</v>
      </c>
      <c r="AE148" s="1533">
        <f t="shared" si="109"/>
        <v>0</v>
      </c>
      <c r="AG148" s="1547" t="s">
        <v>1418</v>
      </c>
      <c r="AH148" s="1593" t="s">
        <v>329</v>
      </c>
      <c r="AI148" s="1637" t="s">
        <v>708</v>
      </c>
      <c r="AJ148" s="1523">
        <v>0.2</v>
      </c>
      <c r="AK148" s="1523">
        <v>0.2</v>
      </c>
      <c r="AL148" s="1523">
        <v>0.2</v>
      </c>
      <c r="AM148" s="1523">
        <v>0.2</v>
      </c>
      <c r="AN148" s="1523">
        <v>0.2</v>
      </c>
      <c r="AO148" s="1523">
        <v>0.2</v>
      </c>
      <c r="AP148" s="1523">
        <v>0.2</v>
      </c>
      <c r="AQ148" s="1523">
        <v>0.2</v>
      </c>
      <c r="AR148" s="1523">
        <v>0.2</v>
      </c>
      <c r="AS148" s="1523">
        <v>0.2</v>
      </c>
      <c r="AT148" s="1770"/>
      <c r="AU148" s="1615"/>
      <c r="AV148" s="1615"/>
      <c r="AX148" s="1547" t="s">
        <v>1419</v>
      </c>
      <c r="AY148" s="1593" t="s">
        <v>329</v>
      </c>
      <c r="AZ148" s="1637" t="s">
        <v>708</v>
      </c>
      <c r="BA148" s="1523">
        <v>0.2</v>
      </c>
      <c r="BB148" s="1523">
        <v>0.2</v>
      </c>
      <c r="BC148" s="1523">
        <v>0.2</v>
      </c>
      <c r="BD148" s="1523">
        <v>0.2</v>
      </c>
      <c r="BE148" s="1523">
        <v>0.2</v>
      </c>
      <c r="BF148" s="1523">
        <v>0.2</v>
      </c>
      <c r="BG148" s="1523">
        <v>0.2</v>
      </c>
      <c r="BH148" s="1523">
        <v>0.2</v>
      </c>
      <c r="BI148" s="1523">
        <v>0.2</v>
      </c>
      <c r="BJ148" s="1523">
        <v>0.2</v>
      </c>
      <c r="BK148" s="1770"/>
      <c r="BL148" s="1615"/>
      <c r="BM148" s="1615"/>
      <c r="BO148" s="1547" t="s">
        <v>1419</v>
      </c>
      <c r="BP148" s="1593" t="s">
        <v>329</v>
      </c>
      <c r="BQ148" s="1637" t="s">
        <v>708</v>
      </c>
      <c r="BR148" s="1523">
        <v>0.2</v>
      </c>
      <c r="BS148" s="1523">
        <v>0.2</v>
      </c>
      <c r="BT148" s="1523">
        <v>0.2</v>
      </c>
      <c r="BU148" s="1523">
        <v>0.2</v>
      </c>
      <c r="BV148" s="1523">
        <v>0.2</v>
      </c>
      <c r="BW148" s="1523">
        <v>0.2</v>
      </c>
      <c r="BX148" s="1523">
        <v>0.2</v>
      </c>
      <c r="BY148" s="1523">
        <v>0.2</v>
      </c>
      <c r="BZ148" s="1523">
        <v>0.2</v>
      </c>
      <c r="CA148" s="1523">
        <v>0.2</v>
      </c>
      <c r="CB148" s="1770"/>
      <c r="CC148" s="1615"/>
      <c r="CD148" s="1615"/>
    </row>
    <row r="149" spans="1:83">
      <c r="B149" s="1497" t="str">
        <f t="shared" si="143"/>
        <v>2.3</v>
      </c>
      <c r="C149" s="1547" t="str">
        <f t="shared" si="140"/>
        <v>躯体材料におけるリサイクル材の使用</v>
      </c>
      <c r="D149" s="1616">
        <f t="shared" si="144"/>
        <v>0.19999999999999998</v>
      </c>
      <c r="E149" s="1591">
        <f t="shared" si="144"/>
        <v>0</v>
      </c>
      <c r="G149" s="1591">
        <f t="shared" si="138"/>
        <v>0.20000000000000004</v>
      </c>
      <c r="H149" s="1591">
        <f t="shared" si="139"/>
        <v>0</v>
      </c>
      <c r="I149" s="1591"/>
      <c r="J149" s="1591"/>
      <c r="K149" s="1591">
        <f>IF(スコア表示!W149=0,0,1)</f>
        <v>1</v>
      </c>
      <c r="L149" s="1591">
        <f>IF(スコア表示!AA149=0,0,1)</f>
        <v>0</v>
      </c>
      <c r="M149" s="1591">
        <f t="shared" si="141"/>
        <v>0.20000000000000004</v>
      </c>
      <c r="N149" s="1591">
        <f t="shared" si="102"/>
        <v>0</v>
      </c>
      <c r="P149" s="1547" t="str">
        <f t="shared" si="103"/>
        <v>2.3</v>
      </c>
      <c r="Q149" s="1547" t="str">
        <f t="shared" si="104"/>
        <v>LR2 2</v>
      </c>
      <c r="R149" s="1637" t="str">
        <f t="shared" si="142"/>
        <v>躯体材料におけるリサイクル材の使用</v>
      </c>
      <c r="S149" s="1518">
        <f t="shared" si="110"/>
        <v>0.2</v>
      </c>
      <c r="T149" s="1518">
        <f t="shared" si="111"/>
        <v>0.2</v>
      </c>
      <c r="U149" s="1518">
        <f t="shared" si="112"/>
        <v>0.2</v>
      </c>
      <c r="V149" s="1518">
        <f t="shared" si="113"/>
        <v>0.2</v>
      </c>
      <c r="W149" s="1518">
        <f t="shared" si="114"/>
        <v>0.2</v>
      </c>
      <c r="X149" s="1518">
        <f t="shared" si="115"/>
        <v>0.2</v>
      </c>
      <c r="Y149" s="1518">
        <f t="shared" si="116"/>
        <v>0.2</v>
      </c>
      <c r="Z149" s="1526">
        <f t="shared" si="117"/>
        <v>0.2</v>
      </c>
      <c r="AA149" s="1518">
        <f t="shared" si="118"/>
        <v>0.2</v>
      </c>
      <c r="AB149" s="1518">
        <f t="shared" si="119"/>
        <v>0.2</v>
      </c>
      <c r="AC149" s="1588">
        <f t="shared" si="107"/>
        <v>0</v>
      </c>
      <c r="AD149" s="1533">
        <f t="shared" si="108"/>
        <v>0</v>
      </c>
      <c r="AE149" s="1533">
        <f t="shared" si="109"/>
        <v>0</v>
      </c>
      <c r="AG149" s="1547" t="s">
        <v>1457</v>
      </c>
      <c r="AH149" s="1593" t="s">
        <v>329</v>
      </c>
      <c r="AI149" s="1637" t="s">
        <v>710</v>
      </c>
      <c r="AJ149" s="1523">
        <v>0.2</v>
      </c>
      <c r="AK149" s="1523">
        <v>0.2</v>
      </c>
      <c r="AL149" s="1523">
        <v>0.2</v>
      </c>
      <c r="AM149" s="1523">
        <v>0.2</v>
      </c>
      <c r="AN149" s="1523">
        <v>0.2</v>
      </c>
      <c r="AO149" s="1523">
        <v>0.2</v>
      </c>
      <c r="AP149" s="1523">
        <v>0.2</v>
      </c>
      <c r="AQ149" s="1523">
        <v>0.2</v>
      </c>
      <c r="AR149" s="1523">
        <v>0.2</v>
      </c>
      <c r="AS149" s="1523">
        <v>0.2</v>
      </c>
      <c r="AT149" s="1770"/>
      <c r="AU149" s="1615"/>
      <c r="AV149" s="1615"/>
      <c r="AX149" s="1547" t="s">
        <v>1441</v>
      </c>
      <c r="AY149" s="1593" t="s">
        <v>329</v>
      </c>
      <c r="AZ149" s="1637" t="s">
        <v>710</v>
      </c>
      <c r="BA149" s="1523">
        <v>0.2</v>
      </c>
      <c r="BB149" s="1523">
        <v>0.2</v>
      </c>
      <c r="BC149" s="1523">
        <v>0.2</v>
      </c>
      <c r="BD149" s="1523">
        <v>0.2</v>
      </c>
      <c r="BE149" s="1523">
        <v>0.2</v>
      </c>
      <c r="BF149" s="1523">
        <v>0.2</v>
      </c>
      <c r="BG149" s="1523">
        <v>0.2</v>
      </c>
      <c r="BH149" s="1523">
        <v>0.2</v>
      </c>
      <c r="BI149" s="1523">
        <v>0.2</v>
      </c>
      <c r="BJ149" s="1523">
        <v>0.2</v>
      </c>
      <c r="BK149" s="1770"/>
      <c r="BL149" s="1615"/>
      <c r="BM149" s="1615"/>
      <c r="BO149" s="1547" t="s">
        <v>1441</v>
      </c>
      <c r="BP149" s="1593" t="s">
        <v>329</v>
      </c>
      <c r="BQ149" s="1637" t="s">
        <v>710</v>
      </c>
      <c r="BR149" s="1523">
        <v>0.2</v>
      </c>
      <c r="BS149" s="1523">
        <v>0.2</v>
      </c>
      <c r="BT149" s="1523">
        <v>0.2</v>
      </c>
      <c r="BU149" s="1523">
        <v>0.2</v>
      </c>
      <c r="BV149" s="1523">
        <v>0.2</v>
      </c>
      <c r="BW149" s="1523">
        <v>0.2</v>
      </c>
      <c r="BX149" s="1523">
        <v>0.2</v>
      </c>
      <c r="BY149" s="1523">
        <v>0.2</v>
      </c>
      <c r="BZ149" s="1523">
        <v>0.2</v>
      </c>
      <c r="CA149" s="1523">
        <v>0.2</v>
      </c>
      <c r="CB149" s="1770"/>
      <c r="CC149" s="1615"/>
      <c r="CD149" s="1615"/>
    </row>
    <row r="150" spans="1:83">
      <c r="B150" s="1497" t="str">
        <f t="shared" si="143"/>
        <v>2.4</v>
      </c>
      <c r="C150" s="1514" t="str">
        <f t="shared" si="140"/>
        <v>躯体材料以外におけるリサイクル材の使用</v>
      </c>
      <c r="D150" s="1616">
        <f t="shared" si="144"/>
        <v>0.19999999999999998</v>
      </c>
      <c r="E150" s="1591">
        <f t="shared" si="144"/>
        <v>0</v>
      </c>
      <c r="G150" s="1591">
        <f t="shared" si="138"/>
        <v>0.20000000000000004</v>
      </c>
      <c r="H150" s="1591">
        <f t="shared" si="139"/>
        <v>0</v>
      </c>
      <c r="I150" s="1591"/>
      <c r="J150" s="1591"/>
      <c r="K150" s="1591">
        <f>IF(スコア表示!W150=0,0,1)</f>
        <v>1</v>
      </c>
      <c r="L150" s="1591">
        <f>IF(スコア表示!AA150=0,0,1)</f>
        <v>0</v>
      </c>
      <c r="M150" s="1591">
        <f t="shared" si="141"/>
        <v>0.20000000000000004</v>
      </c>
      <c r="N150" s="1591">
        <f t="shared" si="102"/>
        <v>0</v>
      </c>
      <c r="P150" s="1547" t="str">
        <f t="shared" si="103"/>
        <v>2.4</v>
      </c>
      <c r="Q150" s="1547" t="str">
        <f t="shared" si="104"/>
        <v>LR2 2</v>
      </c>
      <c r="R150" s="1637" t="str">
        <f t="shared" si="142"/>
        <v>躯体材料以外におけるリサイクル材の使用</v>
      </c>
      <c r="S150" s="1518">
        <f t="shared" si="110"/>
        <v>0.2</v>
      </c>
      <c r="T150" s="1518">
        <f t="shared" si="111"/>
        <v>0.2</v>
      </c>
      <c r="U150" s="1518">
        <f t="shared" si="112"/>
        <v>0.2</v>
      </c>
      <c r="V150" s="1518">
        <f t="shared" si="113"/>
        <v>0.2</v>
      </c>
      <c r="W150" s="1518">
        <f t="shared" si="114"/>
        <v>0.2</v>
      </c>
      <c r="X150" s="1518">
        <f t="shared" si="115"/>
        <v>0.2</v>
      </c>
      <c r="Y150" s="1518">
        <f t="shared" si="116"/>
        <v>0.2</v>
      </c>
      <c r="Z150" s="1526">
        <f t="shared" si="117"/>
        <v>0.2</v>
      </c>
      <c r="AA150" s="1518">
        <f t="shared" si="118"/>
        <v>0.2</v>
      </c>
      <c r="AB150" s="1518">
        <f t="shared" si="119"/>
        <v>0.2</v>
      </c>
      <c r="AC150" s="1588">
        <f t="shared" si="107"/>
        <v>0</v>
      </c>
      <c r="AD150" s="1533">
        <f t="shared" si="108"/>
        <v>0</v>
      </c>
      <c r="AE150" s="1533">
        <f t="shared" si="109"/>
        <v>0</v>
      </c>
      <c r="AG150" s="1547" t="s">
        <v>1572</v>
      </c>
      <c r="AH150" s="1593" t="s">
        <v>329</v>
      </c>
      <c r="AI150" s="1637" t="s">
        <v>1443</v>
      </c>
      <c r="AJ150" s="1523">
        <v>0.2</v>
      </c>
      <c r="AK150" s="1523">
        <v>0.2</v>
      </c>
      <c r="AL150" s="1523">
        <v>0.2</v>
      </c>
      <c r="AM150" s="1523">
        <v>0.2</v>
      </c>
      <c r="AN150" s="1523">
        <v>0.2</v>
      </c>
      <c r="AO150" s="1523">
        <v>0.2</v>
      </c>
      <c r="AP150" s="1523">
        <v>0.2</v>
      </c>
      <c r="AQ150" s="1523">
        <v>0.2</v>
      </c>
      <c r="AR150" s="1523">
        <v>0.2</v>
      </c>
      <c r="AS150" s="1523">
        <v>0.2</v>
      </c>
      <c r="AT150" s="1770"/>
      <c r="AU150" s="1615"/>
      <c r="AV150" s="1615"/>
      <c r="AX150" s="1547" t="s">
        <v>1442</v>
      </c>
      <c r="AY150" s="1593" t="s">
        <v>329</v>
      </c>
      <c r="AZ150" s="1637" t="s">
        <v>1443</v>
      </c>
      <c r="BA150" s="1523">
        <v>0.2</v>
      </c>
      <c r="BB150" s="1523">
        <v>0.2</v>
      </c>
      <c r="BC150" s="1523">
        <v>0.2</v>
      </c>
      <c r="BD150" s="1523">
        <v>0.2</v>
      </c>
      <c r="BE150" s="1523">
        <v>0.2</v>
      </c>
      <c r="BF150" s="1523">
        <v>0.2</v>
      </c>
      <c r="BG150" s="1523">
        <v>0.2</v>
      </c>
      <c r="BH150" s="1523">
        <v>0.2</v>
      </c>
      <c r="BI150" s="1523">
        <v>0.2</v>
      </c>
      <c r="BJ150" s="1523">
        <v>0.2</v>
      </c>
      <c r="BK150" s="1770"/>
      <c r="BL150" s="1615"/>
      <c r="BM150" s="1615"/>
      <c r="BO150" s="1547" t="s">
        <v>1442</v>
      </c>
      <c r="BP150" s="1593" t="s">
        <v>329</v>
      </c>
      <c r="BQ150" s="1637" t="s">
        <v>1443</v>
      </c>
      <c r="BR150" s="1523">
        <v>0.2</v>
      </c>
      <c r="BS150" s="1523">
        <v>0.2</v>
      </c>
      <c r="BT150" s="1523">
        <v>0.2</v>
      </c>
      <c r="BU150" s="1523">
        <v>0.2</v>
      </c>
      <c r="BV150" s="1523">
        <v>0.2</v>
      </c>
      <c r="BW150" s="1523">
        <v>0.2</v>
      </c>
      <c r="BX150" s="1523">
        <v>0.2</v>
      </c>
      <c r="BY150" s="1523">
        <v>0.2</v>
      </c>
      <c r="BZ150" s="1523">
        <v>0.2</v>
      </c>
      <c r="CA150" s="1523">
        <v>0.2</v>
      </c>
      <c r="CB150" s="1770"/>
      <c r="CC150" s="1615"/>
      <c r="CD150" s="1615"/>
    </row>
    <row r="151" spans="1:83">
      <c r="B151" s="1497" t="str">
        <f t="shared" si="143"/>
        <v>2.5</v>
      </c>
      <c r="C151" s="1514" t="str">
        <f t="shared" si="140"/>
        <v>持続可能な森林から産出された木材</v>
      </c>
      <c r="D151" s="1616">
        <f t="shared" si="144"/>
        <v>9.9999999999999992E-2</v>
      </c>
      <c r="E151" s="1591">
        <f t="shared" si="144"/>
        <v>0</v>
      </c>
      <c r="G151" s="1591">
        <f t="shared" si="138"/>
        <v>0.10000000000000002</v>
      </c>
      <c r="H151" s="1591">
        <f t="shared" si="139"/>
        <v>0</v>
      </c>
      <c r="I151" s="1591"/>
      <c r="J151" s="1591"/>
      <c r="K151" s="1591">
        <f>IF(スコア表示!W151=0,0,1)</f>
        <v>1</v>
      </c>
      <c r="L151" s="1591">
        <f>IF(スコア表示!AA151=0,0,1)</f>
        <v>0</v>
      </c>
      <c r="M151" s="1591">
        <f t="shared" si="141"/>
        <v>0.10000000000000002</v>
      </c>
      <c r="N151" s="1591">
        <f t="shared" si="102"/>
        <v>0</v>
      </c>
      <c r="P151" s="1547" t="str">
        <f t="shared" si="103"/>
        <v>2.5</v>
      </c>
      <c r="Q151" s="1547" t="str">
        <f t="shared" si="104"/>
        <v>LR2 2</v>
      </c>
      <c r="R151" s="1637" t="str">
        <f t="shared" si="142"/>
        <v>持続可能な森林から産出された木材</v>
      </c>
      <c r="S151" s="1518">
        <f t="shared" si="110"/>
        <v>0.1</v>
      </c>
      <c r="T151" s="1518">
        <f t="shared" si="111"/>
        <v>0.1</v>
      </c>
      <c r="U151" s="1518">
        <f t="shared" si="112"/>
        <v>0.1</v>
      </c>
      <c r="V151" s="1518">
        <f t="shared" si="113"/>
        <v>0.1</v>
      </c>
      <c r="W151" s="1518">
        <f t="shared" si="114"/>
        <v>0.1</v>
      </c>
      <c r="X151" s="1518">
        <f t="shared" si="115"/>
        <v>0.1</v>
      </c>
      <c r="Y151" s="1518">
        <f t="shared" si="116"/>
        <v>0.1</v>
      </c>
      <c r="Z151" s="1526">
        <f t="shared" si="117"/>
        <v>0.1</v>
      </c>
      <c r="AA151" s="1518">
        <f t="shared" si="118"/>
        <v>0.1</v>
      </c>
      <c r="AB151" s="1518">
        <f t="shared" si="119"/>
        <v>0.1</v>
      </c>
      <c r="AC151" s="1588">
        <f t="shared" si="107"/>
        <v>0</v>
      </c>
      <c r="AD151" s="1533">
        <f t="shared" si="108"/>
        <v>0</v>
      </c>
      <c r="AE151" s="1533">
        <f t="shared" si="109"/>
        <v>0</v>
      </c>
      <c r="AG151" s="1547" t="s">
        <v>1573</v>
      </c>
      <c r="AH151" s="1593" t="s">
        <v>329</v>
      </c>
      <c r="AI151" s="1964" t="s">
        <v>1574</v>
      </c>
      <c r="AJ151" s="1523">
        <v>0.1</v>
      </c>
      <c r="AK151" s="1523">
        <v>0.1</v>
      </c>
      <c r="AL151" s="1523">
        <v>0.1</v>
      </c>
      <c r="AM151" s="1523">
        <v>0.1</v>
      </c>
      <c r="AN151" s="1523">
        <v>0.1</v>
      </c>
      <c r="AO151" s="1523">
        <v>0.1</v>
      </c>
      <c r="AP151" s="1523">
        <v>0.1</v>
      </c>
      <c r="AQ151" s="1523">
        <v>0.1</v>
      </c>
      <c r="AR151" s="1523">
        <v>0.1</v>
      </c>
      <c r="AS151" s="1523">
        <v>0.1</v>
      </c>
      <c r="AT151" s="1770"/>
      <c r="AU151" s="1615"/>
      <c r="AV151" s="1615"/>
      <c r="AX151" s="1547" t="s">
        <v>1444</v>
      </c>
      <c r="AY151" s="1593" t="s">
        <v>329</v>
      </c>
      <c r="AZ151" s="1964" t="s">
        <v>1445</v>
      </c>
      <c r="BA151" s="1523">
        <v>0.1</v>
      </c>
      <c r="BB151" s="1523">
        <v>0.1</v>
      </c>
      <c r="BC151" s="1523">
        <v>0.1</v>
      </c>
      <c r="BD151" s="1523">
        <v>0.1</v>
      </c>
      <c r="BE151" s="1523">
        <v>0.1</v>
      </c>
      <c r="BF151" s="1523">
        <v>0.1</v>
      </c>
      <c r="BG151" s="1523">
        <v>0.1</v>
      </c>
      <c r="BH151" s="1523">
        <v>0.1</v>
      </c>
      <c r="BI151" s="1523">
        <v>0.1</v>
      </c>
      <c r="BJ151" s="1523">
        <v>0.1</v>
      </c>
      <c r="BK151" s="1770"/>
      <c r="BL151" s="1615"/>
      <c r="BM151" s="1615"/>
      <c r="BO151" s="1547" t="s">
        <v>1444</v>
      </c>
      <c r="BP151" s="1593" t="s">
        <v>329</v>
      </c>
      <c r="BQ151" s="1964" t="s">
        <v>1445</v>
      </c>
      <c r="BR151" s="1523">
        <v>0.1</v>
      </c>
      <c r="BS151" s="1523">
        <v>0.1</v>
      </c>
      <c r="BT151" s="1523">
        <v>0.1</v>
      </c>
      <c r="BU151" s="1523">
        <v>0.1</v>
      </c>
      <c r="BV151" s="1523">
        <v>0.1</v>
      </c>
      <c r="BW151" s="1523">
        <v>0.1</v>
      </c>
      <c r="BX151" s="1523">
        <v>0.1</v>
      </c>
      <c r="BY151" s="1523">
        <v>0.1</v>
      </c>
      <c r="BZ151" s="1523">
        <v>0.1</v>
      </c>
      <c r="CA151" s="1523">
        <v>0.1</v>
      </c>
      <c r="CB151" s="1770"/>
      <c r="CC151" s="1615"/>
      <c r="CD151" s="1615"/>
    </row>
    <row r="152" spans="1:83">
      <c r="B152" s="1497" t="str">
        <f t="shared" si="143"/>
        <v>2.6</v>
      </c>
      <c r="C152" s="1547" t="str">
        <f t="shared" si="140"/>
        <v>部材の再利用可能性向上への取組み</v>
      </c>
      <c r="D152" s="1616">
        <f t="shared" si="144"/>
        <v>0.19999999999999998</v>
      </c>
      <c r="E152" s="1591">
        <f t="shared" si="144"/>
        <v>0</v>
      </c>
      <c r="G152" s="1591">
        <f t="shared" si="138"/>
        <v>0.20000000000000004</v>
      </c>
      <c r="H152" s="1591">
        <f t="shared" si="139"/>
        <v>0</v>
      </c>
      <c r="I152" s="1591"/>
      <c r="J152" s="1591"/>
      <c r="K152" s="1591">
        <f>IF(スコア表示!W152=0,0,1)</f>
        <v>1</v>
      </c>
      <c r="L152" s="1591">
        <f>IF(スコア表示!AA152=0,0,1)</f>
        <v>0</v>
      </c>
      <c r="M152" s="1591">
        <f t="shared" si="141"/>
        <v>0.20000000000000004</v>
      </c>
      <c r="N152" s="1591">
        <f t="shared" ref="N152:N180" si="145">(AC$7*AC152)+(AD$7*AD152)+(AE$7*AE152)</f>
        <v>0</v>
      </c>
      <c r="P152" s="1547" t="str">
        <f t="shared" ref="P152:P180" si="146">IF($P$3=1,AX152,BO152)</f>
        <v>2.6</v>
      </c>
      <c r="Q152" s="1547" t="str">
        <f t="shared" si="104"/>
        <v>LR2 2</v>
      </c>
      <c r="R152" s="1637" t="str">
        <f t="shared" si="142"/>
        <v>部材の再利用可能性向上への取組み</v>
      </c>
      <c r="S152" s="1518">
        <f t="shared" si="110"/>
        <v>0.2</v>
      </c>
      <c r="T152" s="1518">
        <f t="shared" si="111"/>
        <v>0.2</v>
      </c>
      <c r="U152" s="1518">
        <f t="shared" si="112"/>
        <v>0.2</v>
      </c>
      <c r="V152" s="1518">
        <f t="shared" si="113"/>
        <v>0.2</v>
      </c>
      <c r="W152" s="1518">
        <f t="shared" si="114"/>
        <v>0.2</v>
      </c>
      <c r="X152" s="1518">
        <f t="shared" si="115"/>
        <v>0.2</v>
      </c>
      <c r="Y152" s="1518">
        <f t="shared" si="116"/>
        <v>0.2</v>
      </c>
      <c r="Z152" s="1526">
        <f t="shared" si="117"/>
        <v>0.2</v>
      </c>
      <c r="AA152" s="1518">
        <f t="shared" si="118"/>
        <v>0.2</v>
      </c>
      <c r="AB152" s="1518">
        <f t="shared" si="119"/>
        <v>0.2</v>
      </c>
      <c r="AC152" s="1588">
        <f t="shared" si="107"/>
        <v>0</v>
      </c>
      <c r="AD152" s="1533">
        <f t="shared" si="108"/>
        <v>0</v>
      </c>
      <c r="AE152" s="1533">
        <f t="shared" si="109"/>
        <v>0</v>
      </c>
      <c r="AG152" s="1547" t="s">
        <v>1575</v>
      </c>
      <c r="AH152" s="1593" t="s">
        <v>329</v>
      </c>
      <c r="AI152" s="1637" t="s">
        <v>712</v>
      </c>
      <c r="AJ152" s="1523">
        <v>0.2</v>
      </c>
      <c r="AK152" s="1523">
        <v>0.2</v>
      </c>
      <c r="AL152" s="1523">
        <v>0.2</v>
      </c>
      <c r="AM152" s="1523">
        <v>0.2</v>
      </c>
      <c r="AN152" s="1523">
        <v>0.2</v>
      </c>
      <c r="AO152" s="1523">
        <v>0.2</v>
      </c>
      <c r="AP152" s="1523">
        <v>0.2</v>
      </c>
      <c r="AQ152" s="1523">
        <v>0.2</v>
      </c>
      <c r="AR152" s="1523">
        <v>0.2</v>
      </c>
      <c r="AS152" s="1523">
        <v>0.2</v>
      </c>
      <c r="AT152" s="1770"/>
      <c r="AU152" s="1615"/>
      <c r="AV152" s="1615"/>
      <c r="AX152" s="1547" t="s">
        <v>1446</v>
      </c>
      <c r="AY152" s="1593" t="s">
        <v>329</v>
      </c>
      <c r="AZ152" s="1637" t="s">
        <v>712</v>
      </c>
      <c r="BA152" s="1523">
        <v>0.2</v>
      </c>
      <c r="BB152" s="1523">
        <v>0.2</v>
      </c>
      <c r="BC152" s="1523">
        <v>0.2</v>
      </c>
      <c r="BD152" s="1523">
        <v>0.2</v>
      </c>
      <c r="BE152" s="1523">
        <v>0.2</v>
      </c>
      <c r="BF152" s="1523">
        <v>0.2</v>
      </c>
      <c r="BG152" s="1523">
        <v>0.2</v>
      </c>
      <c r="BH152" s="1523">
        <v>0.2</v>
      </c>
      <c r="BI152" s="1523">
        <v>0.2</v>
      </c>
      <c r="BJ152" s="1523">
        <v>0.2</v>
      </c>
      <c r="BK152" s="1770"/>
      <c r="BL152" s="1615"/>
      <c r="BM152" s="1615"/>
      <c r="BO152" s="1547" t="s">
        <v>1446</v>
      </c>
      <c r="BP152" s="1593" t="s">
        <v>329</v>
      </c>
      <c r="BQ152" s="1637" t="s">
        <v>712</v>
      </c>
      <c r="BR152" s="1523">
        <v>0.2</v>
      </c>
      <c r="BS152" s="1523">
        <v>0.2</v>
      </c>
      <c r="BT152" s="1523">
        <v>0.2</v>
      </c>
      <c r="BU152" s="1523">
        <v>0.2</v>
      </c>
      <c r="BV152" s="1523">
        <v>0.2</v>
      </c>
      <c r="BW152" s="1523">
        <v>0.2</v>
      </c>
      <c r="BX152" s="1523">
        <v>0.2</v>
      </c>
      <c r="BY152" s="1523">
        <v>0.2</v>
      </c>
      <c r="BZ152" s="1523">
        <v>0.2</v>
      </c>
      <c r="CA152" s="1523">
        <v>0.2</v>
      </c>
      <c r="CB152" s="1770"/>
      <c r="CC152" s="1615"/>
      <c r="CD152" s="1615"/>
    </row>
    <row r="153" spans="1:83" s="1505" customFormat="1">
      <c r="A153"/>
      <c r="B153" s="1497">
        <f t="shared" si="143"/>
        <v>3</v>
      </c>
      <c r="C153" s="1589" t="str">
        <f t="shared" si="140"/>
        <v>汚染物質含有材料の使用回避</v>
      </c>
      <c r="D153" s="1962">
        <f>IF(I$140=0,0,G153/I$140)</f>
        <v>0.20000000000000004</v>
      </c>
      <c r="E153" s="1643">
        <f>IF(J$140=0,0,H153/J$140)</f>
        <v>0</v>
      </c>
      <c r="F153"/>
      <c r="G153" s="1643">
        <f t="shared" si="138"/>
        <v>0.20000000000000004</v>
      </c>
      <c r="H153" s="1643">
        <f t="shared" si="139"/>
        <v>0</v>
      </c>
      <c r="I153" s="1643">
        <f>G154+G155</f>
        <v>1</v>
      </c>
      <c r="J153" s="1643">
        <f>H154+H155</f>
        <v>0</v>
      </c>
      <c r="K153" s="1643">
        <f>IF(スコア表示!W153=0,0,1)</f>
        <v>1</v>
      </c>
      <c r="L153" s="1643">
        <f>IF(スコア表示!AA153=0,0,1)</f>
        <v>0</v>
      </c>
      <c r="M153" s="1643">
        <f t="shared" si="141"/>
        <v>0.20000000000000004</v>
      </c>
      <c r="N153" s="1643">
        <f t="shared" si="145"/>
        <v>0</v>
      </c>
      <c r="O153"/>
      <c r="P153" s="1541">
        <f t="shared" si="146"/>
        <v>3</v>
      </c>
      <c r="Q153" s="1541" t="str">
        <f t="shared" ref="Q153:Q180" si="147">IF($P$3=1,AY153,BP153)</f>
        <v>LR2</v>
      </c>
      <c r="R153" s="1680" t="str">
        <f t="shared" si="142"/>
        <v>汚染物質含有材料の使用回避</v>
      </c>
      <c r="S153" s="1510">
        <f t="shared" si="110"/>
        <v>0.2</v>
      </c>
      <c r="T153" s="1510">
        <f t="shared" si="111"/>
        <v>0.2</v>
      </c>
      <c r="U153" s="1510">
        <f t="shared" si="112"/>
        <v>0.2</v>
      </c>
      <c r="V153" s="1510">
        <f t="shared" si="113"/>
        <v>0.2</v>
      </c>
      <c r="W153" s="1510">
        <f t="shared" si="114"/>
        <v>0.2</v>
      </c>
      <c r="X153" s="1510">
        <f t="shared" si="115"/>
        <v>0.2</v>
      </c>
      <c r="Y153" s="1510">
        <f t="shared" si="116"/>
        <v>0.2</v>
      </c>
      <c r="Z153" s="1546">
        <f t="shared" si="117"/>
        <v>0.2</v>
      </c>
      <c r="AA153" s="1510">
        <f t="shared" si="118"/>
        <v>0.2</v>
      </c>
      <c r="AB153" s="1510">
        <f t="shared" si="119"/>
        <v>0.2</v>
      </c>
      <c r="AC153" s="1586">
        <f t="shared" si="107"/>
        <v>0</v>
      </c>
      <c r="AD153" s="1587">
        <f t="shared" si="108"/>
        <v>0</v>
      </c>
      <c r="AE153" s="1587">
        <f t="shared" si="109"/>
        <v>0</v>
      </c>
      <c r="AF153"/>
      <c r="AG153" s="1541">
        <v>3</v>
      </c>
      <c r="AH153" s="1644" t="s">
        <v>326</v>
      </c>
      <c r="AI153" s="1687" t="s">
        <v>713</v>
      </c>
      <c r="AJ153" s="1611">
        <v>0.2</v>
      </c>
      <c r="AK153" s="1611">
        <v>0.2</v>
      </c>
      <c r="AL153" s="1611">
        <v>0.2</v>
      </c>
      <c r="AM153" s="1611">
        <v>0.2</v>
      </c>
      <c r="AN153" s="1611">
        <v>0.2</v>
      </c>
      <c r="AO153" s="1611">
        <v>0.2</v>
      </c>
      <c r="AP153" s="1611">
        <v>0.2</v>
      </c>
      <c r="AQ153" s="1611">
        <v>0.2</v>
      </c>
      <c r="AR153" s="1611">
        <v>0.2</v>
      </c>
      <c r="AS153" s="1611">
        <v>0.2</v>
      </c>
      <c r="AT153" s="1998">
        <v>0</v>
      </c>
      <c r="AU153" s="1999">
        <v>0</v>
      </c>
      <c r="AV153" s="1999">
        <v>0</v>
      </c>
      <c r="AW153"/>
      <c r="AX153" s="1541">
        <v>3</v>
      </c>
      <c r="AY153" s="1644" t="s">
        <v>326</v>
      </c>
      <c r="AZ153" s="1687" t="s">
        <v>713</v>
      </c>
      <c r="BA153" s="1611">
        <v>0.2</v>
      </c>
      <c r="BB153" s="1611">
        <v>0.2</v>
      </c>
      <c r="BC153" s="1611">
        <v>0.2</v>
      </c>
      <c r="BD153" s="1611">
        <v>0.2</v>
      </c>
      <c r="BE153" s="1611">
        <v>0.2</v>
      </c>
      <c r="BF153" s="1611">
        <v>0.2</v>
      </c>
      <c r="BG153" s="1611">
        <v>0.2</v>
      </c>
      <c r="BH153" s="1611">
        <v>0.2</v>
      </c>
      <c r="BI153" s="1611">
        <v>0.2</v>
      </c>
      <c r="BJ153" s="1611">
        <v>0.2</v>
      </c>
      <c r="BK153" s="1998"/>
      <c r="BL153" s="1999"/>
      <c r="BM153" s="1999"/>
      <c r="BN153"/>
      <c r="BO153" s="1541">
        <v>3</v>
      </c>
      <c r="BP153" s="1644" t="s">
        <v>326</v>
      </c>
      <c r="BQ153" s="1687" t="s">
        <v>713</v>
      </c>
      <c r="BR153" s="1611">
        <v>0.2</v>
      </c>
      <c r="BS153" s="1611">
        <v>0.2</v>
      </c>
      <c r="BT153" s="1611">
        <v>0.2</v>
      </c>
      <c r="BU153" s="1611">
        <v>0.2</v>
      </c>
      <c r="BV153" s="1611">
        <v>0.2</v>
      </c>
      <c r="BW153" s="1611">
        <v>0.2</v>
      </c>
      <c r="BX153" s="1611">
        <v>0.2</v>
      </c>
      <c r="BY153" s="1611">
        <v>0.2</v>
      </c>
      <c r="BZ153" s="1611">
        <v>0.2</v>
      </c>
      <c r="CA153" s="1611">
        <v>0.2</v>
      </c>
      <c r="CB153" s="1998"/>
      <c r="CC153" s="1999"/>
      <c r="CD153" s="1999"/>
      <c r="CE153"/>
    </row>
    <row r="154" spans="1:83">
      <c r="B154" s="1497" t="str">
        <f t="shared" si="143"/>
        <v>3.1</v>
      </c>
      <c r="C154" s="1547" t="str">
        <f t="shared" si="140"/>
        <v>有害物質を含まない材料の使用</v>
      </c>
      <c r="D154" s="1616">
        <f>IF(I$153=0,0,G154/I$153)</f>
        <v>0.3</v>
      </c>
      <c r="E154" s="1591">
        <f>IF(J$153=0,0,H154/J$153)</f>
        <v>0</v>
      </c>
      <c r="G154" s="1591">
        <f t="shared" si="138"/>
        <v>0.3</v>
      </c>
      <c r="H154" s="1591">
        <f t="shared" si="139"/>
        <v>0</v>
      </c>
      <c r="I154" s="1591"/>
      <c r="J154" s="1591"/>
      <c r="K154" s="1591">
        <f>IF(スコア表示!W154=0,0,1)</f>
        <v>1</v>
      </c>
      <c r="L154" s="1591">
        <f>IF(スコア表示!AA154=0,0,1)</f>
        <v>0</v>
      </c>
      <c r="M154" s="1591">
        <f t="shared" si="141"/>
        <v>0.3</v>
      </c>
      <c r="N154" s="1591">
        <f t="shared" si="145"/>
        <v>0</v>
      </c>
      <c r="P154" s="1547" t="str">
        <f t="shared" si="146"/>
        <v>3.1</v>
      </c>
      <c r="Q154" s="1547" t="str">
        <f t="shared" si="147"/>
        <v>LR2 3</v>
      </c>
      <c r="R154" s="1637" t="str">
        <f t="shared" si="142"/>
        <v>有害物質を含まない材料の使用</v>
      </c>
      <c r="S154" s="1518">
        <f t="shared" si="110"/>
        <v>0.3</v>
      </c>
      <c r="T154" s="1518">
        <f t="shared" si="111"/>
        <v>0.3</v>
      </c>
      <c r="U154" s="1518">
        <f t="shared" si="112"/>
        <v>0.3</v>
      </c>
      <c r="V154" s="1518">
        <f t="shared" si="113"/>
        <v>0.3</v>
      </c>
      <c r="W154" s="1518">
        <f t="shared" si="114"/>
        <v>0.3</v>
      </c>
      <c r="X154" s="1518">
        <f t="shared" si="115"/>
        <v>0.3</v>
      </c>
      <c r="Y154" s="1518">
        <f t="shared" si="116"/>
        <v>0.3</v>
      </c>
      <c r="Z154" s="1526">
        <f t="shared" si="117"/>
        <v>0.3</v>
      </c>
      <c r="AA154" s="1518">
        <f t="shared" si="118"/>
        <v>0.3</v>
      </c>
      <c r="AB154" s="1518">
        <f t="shared" si="119"/>
        <v>0.3</v>
      </c>
      <c r="AC154" s="1588">
        <f t="shared" si="107"/>
        <v>0</v>
      </c>
      <c r="AD154" s="1533">
        <f t="shared" si="108"/>
        <v>0</v>
      </c>
      <c r="AE154" s="1533">
        <f t="shared" si="109"/>
        <v>0</v>
      </c>
      <c r="AG154" s="1547" t="s">
        <v>1401</v>
      </c>
      <c r="AH154" s="1593" t="s">
        <v>330</v>
      </c>
      <c r="AI154" s="1637" t="s">
        <v>714</v>
      </c>
      <c r="AJ154" s="1523">
        <v>0.3</v>
      </c>
      <c r="AK154" s="1523">
        <v>0.3</v>
      </c>
      <c r="AL154" s="1523">
        <v>0.3</v>
      </c>
      <c r="AM154" s="1523">
        <v>0.3</v>
      </c>
      <c r="AN154" s="1523">
        <v>0.3</v>
      </c>
      <c r="AO154" s="1523">
        <v>0.3</v>
      </c>
      <c r="AP154" s="1523">
        <v>0.3</v>
      </c>
      <c r="AQ154" s="1523">
        <v>0.3</v>
      </c>
      <c r="AR154" s="1523">
        <v>0.3</v>
      </c>
      <c r="AS154" s="1523">
        <v>0.3</v>
      </c>
      <c r="AT154" s="1770">
        <v>0</v>
      </c>
      <c r="AU154" s="1615">
        <v>0</v>
      </c>
      <c r="AV154" s="1615">
        <v>0</v>
      </c>
      <c r="AX154" s="1547" t="s">
        <v>1402</v>
      </c>
      <c r="AY154" s="1593" t="s">
        <v>330</v>
      </c>
      <c r="AZ154" s="1637" t="s">
        <v>714</v>
      </c>
      <c r="BA154" s="1523">
        <v>0.3</v>
      </c>
      <c r="BB154" s="1523">
        <v>0.3</v>
      </c>
      <c r="BC154" s="1523">
        <v>0.3</v>
      </c>
      <c r="BD154" s="1523">
        <v>0.3</v>
      </c>
      <c r="BE154" s="1523">
        <v>0.3</v>
      </c>
      <c r="BF154" s="1523">
        <v>0.3</v>
      </c>
      <c r="BG154" s="1523">
        <v>0.3</v>
      </c>
      <c r="BH154" s="1523">
        <v>0.3</v>
      </c>
      <c r="BI154" s="1523">
        <v>0.3</v>
      </c>
      <c r="BJ154" s="1523">
        <v>0.3</v>
      </c>
      <c r="BK154" s="1770"/>
      <c r="BL154" s="1615"/>
      <c r="BM154" s="1615"/>
      <c r="BO154" s="1547" t="s">
        <v>1402</v>
      </c>
      <c r="BP154" s="1593" t="s">
        <v>330</v>
      </c>
      <c r="BQ154" s="1637" t="s">
        <v>714</v>
      </c>
      <c r="BR154" s="1523">
        <v>0.3</v>
      </c>
      <c r="BS154" s="1523">
        <v>0.3</v>
      </c>
      <c r="BT154" s="1523">
        <v>0.3</v>
      </c>
      <c r="BU154" s="1523">
        <v>0.3</v>
      </c>
      <c r="BV154" s="1523">
        <v>0.3</v>
      </c>
      <c r="BW154" s="1523">
        <v>0.3</v>
      </c>
      <c r="BX154" s="1523">
        <v>0.3</v>
      </c>
      <c r="BY154" s="1523">
        <v>0.3</v>
      </c>
      <c r="BZ154" s="1523">
        <v>0.3</v>
      </c>
      <c r="CA154" s="1523">
        <v>0.3</v>
      </c>
      <c r="CB154" s="1770"/>
      <c r="CC154" s="1615"/>
      <c r="CD154" s="1615"/>
    </row>
    <row r="155" spans="1:83">
      <c r="B155" s="1497" t="str">
        <f t="shared" si="143"/>
        <v>3.2</v>
      </c>
      <c r="C155" s="1547" t="str">
        <f t="shared" si="140"/>
        <v>フロン・ハロンの回避</v>
      </c>
      <c r="D155" s="1616">
        <f>IF(I$153=0,0,G155/I$153)</f>
        <v>0.70000000000000007</v>
      </c>
      <c r="E155" s="1591">
        <f>IF(J$153=0,0,H155/J$153)</f>
        <v>0</v>
      </c>
      <c r="G155" s="1591">
        <f t="shared" si="138"/>
        <v>0.70000000000000007</v>
      </c>
      <c r="H155" s="1591">
        <f t="shared" si="139"/>
        <v>0</v>
      </c>
      <c r="I155" s="1591">
        <f>SUM(G156:G158)</f>
        <v>1</v>
      </c>
      <c r="J155" s="1591">
        <f>SUM(H156:H158)</f>
        <v>0</v>
      </c>
      <c r="K155" s="1591">
        <f>IF(スコア表示!W155=0,0,1)</f>
        <v>1</v>
      </c>
      <c r="L155" s="1591">
        <f>IF(スコア表示!AA155=0,0,1)</f>
        <v>0</v>
      </c>
      <c r="M155" s="1591">
        <f t="shared" si="141"/>
        <v>0.70000000000000007</v>
      </c>
      <c r="N155" s="1591">
        <f t="shared" si="145"/>
        <v>0</v>
      </c>
      <c r="P155" s="1547" t="str">
        <f t="shared" si="146"/>
        <v>3.2</v>
      </c>
      <c r="Q155" s="1547" t="str">
        <f t="shared" si="147"/>
        <v>LR2 3</v>
      </c>
      <c r="R155" s="1637" t="str">
        <f t="shared" si="142"/>
        <v>フロン・ハロンの回避</v>
      </c>
      <c r="S155" s="1518">
        <f t="shared" si="110"/>
        <v>0.7</v>
      </c>
      <c r="T155" s="1518">
        <f t="shared" si="111"/>
        <v>0.7</v>
      </c>
      <c r="U155" s="1518">
        <f t="shared" si="112"/>
        <v>0.7</v>
      </c>
      <c r="V155" s="1518">
        <f t="shared" si="113"/>
        <v>0.7</v>
      </c>
      <c r="W155" s="1518">
        <f t="shared" si="114"/>
        <v>0.7</v>
      </c>
      <c r="X155" s="1518">
        <f t="shared" si="115"/>
        <v>0.7</v>
      </c>
      <c r="Y155" s="1518">
        <f t="shared" si="116"/>
        <v>0.7</v>
      </c>
      <c r="Z155" s="1526">
        <f t="shared" si="117"/>
        <v>0.7</v>
      </c>
      <c r="AA155" s="1518">
        <f t="shared" si="118"/>
        <v>0.7</v>
      </c>
      <c r="AB155" s="1518">
        <f t="shared" si="119"/>
        <v>0.7</v>
      </c>
      <c r="AC155" s="1588">
        <f t="shared" si="107"/>
        <v>0</v>
      </c>
      <c r="AD155" s="1533">
        <f t="shared" si="108"/>
        <v>0</v>
      </c>
      <c r="AE155" s="1533">
        <f t="shared" si="109"/>
        <v>0</v>
      </c>
      <c r="AG155" s="1547" t="s">
        <v>1405</v>
      </c>
      <c r="AH155" s="1593" t="s">
        <v>330</v>
      </c>
      <c r="AI155" s="1637" t="s">
        <v>715</v>
      </c>
      <c r="AJ155" s="1523">
        <v>0.7</v>
      </c>
      <c r="AK155" s="1523">
        <v>0.7</v>
      </c>
      <c r="AL155" s="1523">
        <v>0.7</v>
      </c>
      <c r="AM155" s="1523">
        <v>0.7</v>
      </c>
      <c r="AN155" s="1523">
        <v>0.7</v>
      </c>
      <c r="AO155" s="1523">
        <v>0.7</v>
      </c>
      <c r="AP155" s="1523">
        <v>0.7</v>
      </c>
      <c r="AQ155" s="1523">
        <v>0.7</v>
      </c>
      <c r="AR155" s="1523">
        <v>0.7</v>
      </c>
      <c r="AS155" s="1523">
        <v>0.7</v>
      </c>
      <c r="AT155" s="1770">
        <v>0</v>
      </c>
      <c r="AU155" s="1615">
        <v>0</v>
      </c>
      <c r="AV155" s="1615">
        <v>0</v>
      </c>
      <c r="AX155" s="1547" t="s">
        <v>1406</v>
      </c>
      <c r="AY155" s="1593" t="s">
        <v>330</v>
      </c>
      <c r="AZ155" s="1637" t="s">
        <v>715</v>
      </c>
      <c r="BA155" s="1523">
        <v>0.7</v>
      </c>
      <c r="BB155" s="1523">
        <v>0.7</v>
      </c>
      <c r="BC155" s="1523">
        <v>0.7</v>
      </c>
      <c r="BD155" s="1523">
        <v>0.7</v>
      </c>
      <c r="BE155" s="1523">
        <v>0.7</v>
      </c>
      <c r="BF155" s="1523">
        <v>0.7</v>
      </c>
      <c r="BG155" s="1523">
        <v>0.7</v>
      </c>
      <c r="BH155" s="1523">
        <v>0.7</v>
      </c>
      <c r="BI155" s="1523">
        <v>0.7</v>
      </c>
      <c r="BJ155" s="1523">
        <v>0.7</v>
      </c>
      <c r="BK155" s="1770"/>
      <c r="BL155" s="1615"/>
      <c r="BM155" s="1615"/>
      <c r="BO155" s="1547" t="s">
        <v>1406</v>
      </c>
      <c r="BP155" s="1593" t="s">
        <v>330</v>
      </c>
      <c r="BQ155" s="1637" t="s">
        <v>715</v>
      </c>
      <c r="BR155" s="1523">
        <v>0.7</v>
      </c>
      <c r="BS155" s="1523">
        <v>0.7</v>
      </c>
      <c r="BT155" s="1523">
        <v>0.7</v>
      </c>
      <c r="BU155" s="1523">
        <v>0.7</v>
      </c>
      <c r="BV155" s="1523">
        <v>0.7</v>
      </c>
      <c r="BW155" s="1523">
        <v>0.7</v>
      </c>
      <c r="BX155" s="1523">
        <v>0.7</v>
      </c>
      <c r="BY155" s="1523">
        <v>0.7</v>
      </c>
      <c r="BZ155" s="1523">
        <v>0.7</v>
      </c>
      <c r="CA155" s="1523">
        <v>0.7</v>
      </c>
      <c r="CB155" s="1770"/>
      <c r="CC155" s="1615"/>
      <c r="CD155" s="1615"/>
    </row>
    <row r="156" spans="1:83">
      <c r="B156" s="1497" t="str">
        <f t="shared" si="143"/>
        <v>3.2.1</v>
      </c>
      <c r="C156" s="1514" t="str">
        <f t="shared" si="140"/>
        <v>消火剤</v>
      </c>
      <c r="D156" s="1621">
        <f t="shared" ref="D156:E158" si="148">IF(I$155&gt;0,G156/I$155,0)</f>
        <v>0.33333333333333337</v>
      </c>
      <c r="E156" s="1591">
        <f t="shared" si="148"/>
        <v>0</v>
      </c>
      <c r="G156" s="1591">
        <f t="shared" si="138"/>
        <v>0.33333333333333337</v>
      </c>
      <c r="H156" s="1591">
        <f t="shared" si="139"/>
        <v>0</v>
      </c>
      <c r="I156" s="1591"/>
      <c r="J156" s="1591"/>
      <c r="K156" s="1591">
        <f>IF(スコア表示!W156=0,0,1)</f>
        <v>1</v>
      </c>
      <c r="L156" s="1591">
        <f>IF(スコア表示!AA156=0,0,1)</f>
        <v>0</v>
      </c>
      <c r="M156" s="1591">
        <f t="shared" si="141"/>
        <v>0.33333333333333337</v>
      </c>
      <c r="N156" s="1591">
        <f t="shared" si="145"/>
        <v>0</v>
      </c>
      <c r="P156" s="1547" t="str">
        <f t="shared" si="146"/>
        <v>3.2.1</v>
      </c>
      <c r="Q156" s="1547" t="str">
        <f t="shared" si="147"/>
        <v>LR2 3.2</v>
      </c>
      <c r="R156" s="1637" t="str">
        <f t="shared" si="142"/>
        <v>消火剤</v>
      </c>
      <c r="S156" s="1518">
        <f t="shared" si="110"/>
        <v>0.33333333333333331</v>
      </c>
      <c r="T156" s="1518">
        <f t="shared" si="111"/>
        <v>0.33333333333333331</v>
      </c>
      <c r="U156" s="1518">
        <f t="shared" si="112"/>
        <v>0.33333333333333331</v>
      </c>
      <c r="V156" s="1518">
        <f t="shared" si="113"/>
        <v>0.33333333333333331</v>
      </c>
      <c r="W156" s="1518">
        <f t="shared" si="114"/>
        <v>0.33333333333333331</v>
      </c>
      <c r="X156" s="1518">
        <f t="shared" si="115"/>
        <v>0.33333333333333331</v>
      </c>
      <c r="Y156" s="1518">
        <f t="shared" si="116"/>
        <v>0.33333333333333331</v>
      </c>
      <c r="Z156" s="1526">
        <f t="shared" si="117"/>
        <v>0.33333333333333331</v>
      </c>
      <c r="AA156" s="1518">
        <f t="shared" si="118"/>
        <v>0.33333333333333331</v>
      </c>
      <c r="AB156" s="1518">
        <f t="shared" si="119"/>
        <v>0.33333333333333331</v>
      </c>
      <c r="AC156" s="1588">
        <f t="shared" ref="AC156:AC180" si="149">IF($P$3=1,BK156,IF($P$3=2,CB156,AT156))</f>
        <v>0</v>
      </c>
      <c r="AD156" s="1533">
        <f t="shared" ref="AD156:AD180" si="150">IF($P$3=1,BL156,IF($P$3=2,CC156,AU156))</f>
        <v>0</v>
      </c>
      <c r="AE156" s="1533">
        <f t="shared" ref="AE156:AE180" si="151">IF($P$3=1,BM156,IF($P$3=2,CD156,AV156))</f>
        <v>0</v>
      </c>
      <c r="AG156" s="1547" t="s">
        <v>1335</v>
      </c>
      <c r="AH156" s="1593" t="s">
        <v>331</v>
      </c>
      <c r="AI156" s="1964" t="s">
        <v>1448</v>
      </c>
      <c r="AJ156" s="1523">
        <v>0.33333333333333331</v>
      </c>
      <c r="AK156" s="1523">
        <v>0.33333333333333331</v>
      </c>
      <c r="AL156" s="1523">
        <v>0.33333333333333331</v>
      </c>
      <c r="AM156" s="1523">
        <v>0.33333333333333331</v>
      </c>
      <c r="AN156" s="1523">
        <v>0.33333333333333331</v>
      </c>
      <c r="AO156" s="1523">
        <v>0.33333333333333331</v>
      </c>
      <c r="AP156" s="1523">
        <v>0.33333333333333331</v>
      </c>
      <c r="AQ156" s="1523">
        <v>0.33333333333333331</v>
      </c>
      <c r="AR156" s="1523">
        <v>0.33333333333333331</v>
      </c>
      <c r="AS156" s="1523">
        <v>0.33333333333333331</v>
      </c>
      <c r="AT156" s="1770">
        <v>0</v>
      </c>
      <c r="AU156" s="1615">
        <v>0</v>
      </c>
      <c r="AV156" s="1615">
        <v>0</v>
      </c>
      <c r="AX156" s="1547" t="s">
        <v>1447</v>
      </c>
      <c r="AY156" s="1593" t="s">
        <v>331</v>
      </c>
      <c r="AZ156" s="1964" t="s">
        <v>1449</v>
      </c>
      <c r="BA156" s="1523">
        <v>0.33333333333333331</v>
      </c>
      <c r="BB156" s="1523">
        <v>0.33333333333333331</v>
      </c>
      <c r="BC156" s="1523">
        <v>0.33333333333333331</v>
      </c>
      <c r="BD156" s="1523">
        <v>0.33333333333333331</v>
      </c>
      <c r="BE156" s="1523">
        <v>0.33333333333333331</v>
      </c>
      <c r="BF156" s="1523">
        <v>0.33333333333333331</v>
      </c>
      <c r="BG156" s="1523">
        <v>0.33333333333333331</v>
      </c>
      <c r="BH156" s="1523">
        <v>0.33333333333333331</v>
      </c>
      <c r="BI156" s="1523">
        <v>0.33333333333333331</v>
      </c>
      <c r="BJ156" s="1523">
        <v>0.33333333333333331</v>
      </c>
      <c r="BK156" s="1770"/>
      <c r="BL156" s="1615"/>
      <c r="BM156" s="1615"/>
      <c r="BO156" s="1547" t="s">
        <v>1447</v>
      </c>
      <c r="BP156" s="1593" t="s">
        <v>331</v>
      </c>
      <c r="BQ156" s="1964" t="s">
        <v>1449</v>
      </c>
      <c r="BR156" s="1523">
        <v>0.33333333333333331</v>
      </c>
      <c r="BS156" s="1523">
        <v>0.33333333333333331</v>
      </c>
      <c r="BT156" s="1523">
        <v>0.33333333333333331</v>
      </c>
      <c r="BU156" s="1523">
        <v>0.33333333333333331</v>
      </c>
      <c r="BV156" s="1523">
        <v>0.33333333333333331</v>
      </c>
      <c r="BW156" s="1523">
        <v>0.33333333333333331</v>
      </c>
      <c r="BX156" s="1523">
        <v>0.33333333333333331</v>
      </c>
      <c r="BY156" s="1523">
        <v>0.33333333333333331</v>
      </c>
      <c r="BZ156" s="1523">
        <v>0.33333333333333331</v>
      </c>
      <c r="CA156" s="1523">
        <v>0.33333333333333331</v>
      </c>
      <c r="CB156" s="1770"/>
      <c r="CC156" s="1615"/>
      <c r="CD156" s="1615"/>
    </row>
    <row r="157" spans="1:83">
      <c r="B157" s="1497" t="str">
        <f t="shared" si="143"/>
        <v>3.2.2</v>
      </c>
      <c r="C157" s="1514" t="str">
        <f t="shared" si="140"/>
        <v>発泡剤（断熱材等）</v>
      </c>
      <c r="D157" s="1621">
        <f t="shared" si="148"/>
        <v>0.33333333333333337</v>
      </c>
      <c r="E157" s="1591">
        <f t="shared" si="148"/>
        <v>0</v>
      </c>
      <c r="G157" s="1591">
        <f t="shared" si="138"/>
        <v>0.33333333333333337</v>
      </c>
      <c r="H157" s="1591">
        <f t="shared" si="139"/>
        <v>0</v>
      </c>
      <c r="I157" s="1591"/>
      <c r="J157" s="1591"/>
      <c r="K157" s="1591">
        <f>IF(スコア表示!W157=0,0,1)</f>
        <v>1</v>
      </c>
      <c r="L157" s="1591">
        <f>IF(スコア表示!AA157=0,0,1)</f>
        <v>0</v>
      </c>
      <c r="M157" s="1591">
        <f t="shared" si="141"/>
        <v>0.33333333333333337</v>
      </c>
      <c r="N157" s="1591">
        <f t="shared" si="145"/>
        <v>0</v>
      </c>
      <c r="P157" s="1547" t="str">
        <f t="shared" si="146"/>
        <v>3.2.2</v>
      </c>
      <c r="Q157" s="1547" t="str">
        <f t="shared" si="147"/>
        <v>LR2 3.2</v>
      </c>
      <c r="R157" s="1637" t="str">
        <f t="shared" si="142"/>
        <v>発泡剤（断熱材等）</v>
      </c>
      <c r="S157" s="1518">
        <f t="shared" si="110"/>
        <v>0.33333333333333331</v>
      </c>
      <c r="T157" s="1518">
        <f t="shared" si="111"/>
        <v>0.33333333333333331</v>
      </c>
      <c r="U157" s="1518">
        <f t="shared" si="112"/>
        <v>0.33333333333333331</v>
      </c>
      <c r="V157" s="1518">
        <f t="shared" si="113"/>
        <v>0.33333333333333331</v>
      </c>
      <c r="W157" s="1518">
        <f t="shared" si="114"/>
        <v>0.33333333333333331</v>
      </c>
      <c r="X157" s="1518">
        <f t="shared" si="115"/>
        <v>0.33333333333333331</v>
      </c>
      <c r="Y157" s="1518">
        <f t="shared" si="116"/>
        <v>0.33333333333333331</v>
      </c>
      <c r="Z157" s="1526">
        <f t="shared" si="117"/>
        <v>0.33333333333333331</v>
      </c>
      <c r="AA157" s="1518">
        <f t="shared" si="118"/>
        <v>0.33333333333333331</v>
      </c>
      <c r="AB157" s="1518">
        <f t="shared" si="119"/>
        <v>0.33333333333333331</v>
      </c>
      <c r="AC157" s="1588">
        <f t="shared" si="149"/>
        <v>0</v>
      </c>
      <c r="AD157" s="1533">
        <f t="shared" si="150"/>
        <v>0</v>
      </c>
      <c r="AE157" s="1533">
        <f t="shared" si="151"/>
        <v>0</v>
      </c>
      <c r="AG157" s="1547" t="s">
        <v>1337</v>
      </c>
      <c r="AH157" s="1593" t="s">
        <v>331</v>
      </c>
      <c r="AI157" s="1964" t="s">
        <v>848</v>
      </c>
      <c r="AJ157" s="1523">
        <v>0.33333333333333331</v>
      </c>
      <c r="AK157" s="1523">
        <v>0.33333333333333331</v>
      </c>
      <c r="AL157" s="1523">
        <v>0.33333333333333331</v>
      </c>
      <c r="AM157" s="1523">
        <v>0.33333333333333331</v>
      </c>
      <c r="AN157" s="1523">
        <v>0.33333333333333331</v>
      </c>
      <c r="AO157" s="1523">
        <v>0.33333333333333331</v>
      </c>
      <c r="AP157" s="1523">
        <v>0.33333333333333331</v>
      </c>
      <c r="AQ157" s="1523">
        <v>0.33333333333333331</v>
      </c>
      <c r="AR157" s="1523">
        <v>0.33333333333333331</v>
      </c>
      <c r="AS157" s="1523">
        <v>0.33333333333333331</v>
      </c>
      <c r="AT157" s="1770">
        <v>0</v>
      </c>
      <c r="AU157" s="1615">
        <v>0</v>
      </c>
      <c r="AV157" s="1615">
        <v>0</v>
      </c>
      <c r="AX157" s="1547" t="s">
        <v>1450</v>
      </c>
      <c r="AY157" s="1593" t="s">
        <v>331</v>
      </c>
      <c r="AZ157" s="1964" t="s">
        <v>1451</v>
      </c>
      <c r="BA157" s="1523">
        <v>0.33333333333333331</v>
      </c>
      <c r="BB157" s="1523">
        <v>0.33333333333333331</v>
      </c>
      <c r="BC157" s="1523">
        <v>0.33333333333333331</v>
      </c>
      <c r="BD157" s="1523">
        <v>0.33333333333333331</v>
      </c>
      <c r="BE157" s="1523">
        <v>0.33333333333333331</v>
      </c>
      <c r="BF157" s="1523">
        <v>0.33333333333333331</v>
      </c>
      <c r="BG157" s="1523">
        <v>0.33333333333333331</v>
      </c>
      <c r="BH157" s="1523">
        <v>0.33333333333333331</v>
      </c>
      <c r="BI157" s="1523">
        <v>0.33333333333333331</v>
      </c>
      <c r="BJ157" s="1523">
        <v>0.33333333333333331</v>
      </c>
      <c r="BK157" s="1770"/>
      <c r="BL157" s="1615"/>
      <c r="BM157" s="1615"/>
      <c r="BO157" s="1547" t="s">
        <v>1450</v>
      </c>
      <c r="BP157" s="1593" t="s">
        <v>331</v>
      </c>
      <c r="BQ157" s="1964" t="s">
        <v>1451</v>
      </c>
      <c r="BR157" s="1523">
        <v>0.33333333333333331</v>
      </c>
      <c r="BS157" s="1523">
        <v>0.33333333333333331</v>
      </c>
      <c r="BT157" s="1523">
        <v>0.33333333333333331</v>
      </c>
      <c r="BU157" s="1523">
        <v>0.33333333333333331</v>
      </c>
      <c r="BV157" s="1523">
        <v>0.33333333333333331</v>
      </c>
      <c r="BW157" s="1523">
        <v>0.33333333333333331</v>
      </c>
      <c r="BX157" s="1523">
        <v>0.33333333333333331</v>
      </c>
      <c r="BY157" s="1523">
        <v>0.33333333333333331</v>
      </c>
      <c r="BZ157" s="1523">
        <v>0.33333333333333331</v>
      </c>
      <c r="CA157" s="1523">
        <v>0.33333333333333331</v>
      </c>
      <c r="CB157" s="1770"/>
      <c r="CC157" s="1615"/>
      <c r="CD157" s="1615"/>
    </row>
    <row r="158" spans="1:83">
      <c r="B158" s="1497" t="str">
        <f t="shared" si="143"/>
        <v>3.2.3</v>
      </c>
      <c r="C158" s="1514" t="str">
        <f t="shared" si="140"/>
        <v>冷媒</v>
      </c>
      <c r="D158" s="1621">
        <f t="shared" si="148"/>
        <v>0.33333333333333337</v>
      </c>
      <c r="E158" s="1591">
        <f t="shared" si="148"/>
        <v>0</v>
      </c>
      <c r="G158" s="1591">
        <f t="shared" si="138"/>
        <v>0.33333333333333337</v>
      </c>
      <c r="H158" s="1591">
        <f t="shared" si="139"/>
        <v>0</v>
      </c>
      <c r="I158" s="1591"/>
      <c r="J158" s="1591"/>
      <c r="K158" s="1591">
        <f>IF(スコア表示!W158=0,0,1)</f>
        <v>1</v>
      </c>
      <c r="L158" s="1591">
        <f>IF(スコア表示!AA158=0,0,1)</f>
        <v>0</v>
      </c>
      <c r="M158" s="1591">
        <f t="shared" si="141"/>
        <v>0.33333333333333337</v>
      </c>
      <c r="N158" s="1591">
        <f t="shared" si="145"/>
        <v>0</v>
      </c>
      <c r="P158" s="1547" t="str">
        <f t="shared" si="146"/>
        <v>3.2.3</v>
      </c>
      <c r="Q158" s="1547" t="str">
        <f t="shared" si="147"/>
        <v>LR2 3.2</v>
      </c>
      <c r="R158" s="1637" t="str">
        <f t="shared" si="142"/>
        <v>冷媒</v>
      </c>
      <c r="S158" s="1518">
        <f t="shared" si="110"/>
        <v>0.33333333333333331</v>
      </c>
      <c r="T158" s="1518">
        <f t="shared" si="111"/>
        <v>0.33333333333333331</v>
      </c>
      <c r="U158" s="1518">
        <f t="shared" si="112"/>
        <v>0.33333333333333331</v>
      </c>
      <c r="V158" s="1518">
        <f t="shared" si="113"/>
        <v>0.33333333333333331</v>
      </c>
      <c r="W158" s="1518">
        <f t="shared" si="114"/>
        <v>0.33333333333333331</v>
      </c>
      <c r="X158" s="1518">
        <f t="shared" si="115"/>
        <v>0.33333333333333331</v>
      </c>
      <c r="Y158" s="1518">
        <f t="shared" si="116"/>
        <v>0.33333333333333331</v>
      </c>
      <c r="Z158" s="1526">
        <f t="shared" si="117"/>
        <v>0.33333333333333331</v>
      </c>
      <c r="AA158" s="1518">
        <f t="shared" si="118"/>
        <v>0.33333333333333331</v>
      </c>
      <c r="AB158" s="1518">
        <f t="shared" si="119"/>
        <v>0.33333333333333331</v>
      </c>
      <c r="AC158" s="1588">
        <f t="shared" si="149"/>
        <v>0</v>
      </c>
      <c r="AD158" s="1533">
        <f t="shared" si="150"/>
        <v>0</v>
      </c>
      <c r="AE158" s="1533">
        <f t="shared" si="151"/>
        <v>0</v>
      </c>
      <c r="AG158" s="1547" t="s">
        <v>1452</v>
      </c>
      <c r="AH158" s="1593" t="s">
        <v>331</v>
      </c>
      <c r="AI158" s="1964" t="s">
        <v>333</v>
      </c>
      <c r="AJ158" s="1523">
        <v>0.33333333333333331</v>
      </c>
      <c r="AK158" s="1523">
        <v>0.33333333333333331</v>
      </c>
      <c r="AL158" s="1523">
        <v>0.33333333333333331</v>
      </c>
      <c r="AM158" s="1523">
        <v>0.33333333333333331</v>
      </c>
      <c r="AN158" s="1523">
        <v>0.33333333333333331</v>
      </c>
      <c r="AO158" s="1523">
        <v>0.33333333333333331</v>
      </c>
      <c r="AP158" s="1523">
        <v>0.33333333333333331</v>
      </c>
      <c r="AQ158" s="1523">
        <v>0.33333333333333331</v>
      </c>
      <c r="AR158" s="1523">
        <v>0.33333333333333331</v>
      </c>
      <c r="AS158" s="1523">
        <v>0.33333333333333331</v>
      </c>
      <c r="AT158" s="1770">
        <v>0</v>
      </c>
      <c r="AU158" s="1615">
        <v>0</v>
      </c>
      <c r="AV158" s="1615">
        <v>0</v>
      </c>
      <c r="AX158" s="1547" t="s">
        <v>1453</v>
      </c>
      <c r="AY158" s="1593" t="s">
        <v>331</v>
      </c>
      <c r="AZ158" s="1964" t="s">
        <v>333</v>
      </c>
      <c r="BA158" s="1523">
        <v>0.33333333333333331</v>
      </c>
      <c r="BB158" s="1523">
        <v>0.33333333333333331</v>
      </c>
      <c r="BC158" s="1523">
        <v>0.33333333333333331</v>
      </c>
      <c r="BD158" s="1523">
        <v>0.33333333333333331</v>
      </c>
      <c r="BE158" s="1523">
        <v>0.33333333333333331</v>
      </c>
      <c r="BF158" s="1523">
        <v>0.33333333333333331</v>
      </c>
      <c r="BG158" s="1523">
        <v>0.33333333333333331</v>
      </c>
      <c r="BH158" s="1523">
        <v>0.33333333333333331</v>
      </c>
      <c r="BI158" s="1523">
        <v>0.33333333333333331</v>
      </c>
      <c r="BJ158" s="1523">
        <v>0.33333333333333331</v>
      </c>
      <c r="BK158" s="1770"/>
      <c r="BL158" s="1615"/>
      <c r="BM158" s="1615"/>
      <c r="BO158" s="1547" t="s">
        <v>1453</v>
      </c>
      <c r="BP158" s="1593" t="s">
        <v>331</v>
      </c>
      <c r="BQ158" s="1964" t="s">
        <v>333</v>
      </c>
      <c r="BR158" s="1523">
        <v>0.33333333333333331</v>
      </c>
      <c r="BS158" s="1523">
        <v>0.33333333333333331</v>
      </c>
      <c r="BT158" s="1523">
        <v>0.33333333333333331</v>
      </c>
      <c r="BU158" s="1523">
        <v>0.33333333333333331</v>
      </c>
      <c r="BV158" s="1523">
        <v>0.33333333333333331</v>
      </c>
      <c r="BW158" s="1523">
        <v>0.33333333333333331</v>
      </c>
      <c r="BX158" s="1523">
        <v>0.33333333333333331</v>
      </c>
      <c r="BY158" s="1523">
        <v>0.33333333333333331</v>
      </c>
      <c r="BZ158" s="1523">
        <v>0.33333333333333331</v>
      </c>
      <c r="CA158" s="1523">
        <v>0.33333333333333331</v>
      </c>
      <c r="CB158" s="1770"/>
      <c r="CC158" s="1615"/>
      <c r="CD158" s="1615"/>
    </row>
    <row r="159" spans="1:83" s="1505" customFormat="1">
      <c r="A159"/>
      <c r="B159" s="1497" t="str">
        <f t="shared" si="143"/>
        <v>LR3</v>
      </c>
      <c r="C159" s="1498" t="str">
        <f t="shared" si="140"/>
        <v>敷地外環境</v>
      </c>
      <c r="D159" s="1991" t="e">
        <f>IF(I$116=0,0,G159/I$116)</f>
        <v>#VALUE!</v>
      </c>
      <c r="E159" s="1957">
        <f>IF(J$116=0,0,H159/J$116)</f>
        <v>0</v>
      </c>
      <c r="F159"/>
      <c r="G159" s="1957" t="e">
        <f t="shared" si="138"/>
        <v>#VALUE!</v>
      </c>
      <c r="H159" s="1957">
        <f t="shared" si="139"/>
        <v>0</v>
      </c>
      <c r="I159" s="1957" t="e">
        <f>G160+G161+G169</f>
        <v>#VALUE!</v>
      </c>
      <c r="J159" s="1957">
        <f>H160+H161+H169</f>
        <v>0</v>
      </c>
      <c r="K159" s="1957" t="e">
        <f>IF(スコア表示!W159=0,0,1)</f>
        <v>#VALUE!</v>
      </c>
      <c r="L159" s="1957">
        <f>IF(スコア表示!AA159=0,0,1)</f>
        <v>0</v>
      </c>
      <c r="M159" s="1957">
        <f t="shared" si="141"/>
        <v>0.3</v>
      </c>
      <c r="N159" s="1957">
        <f t="shared" si="145"/>
        <v>0</v>
      </c>
      <c r="O159"/>
      <c r="P159" s="1498" t="str">
        <f t="shared" si="146"/>
        <v>LR3</v>
      </c>
      <c r="Q159" s="1498" t="str">
        <f t="shared" si="147"/>
        <v>LR</v>
      </c>
      <c r="R159" s="1958" t="str">
        <f t="shared" si="142"/>
        <v>敷地外環境</v>
      </c>
      <c r="S159" s="1503">
        <f t="shared" si="110"/>
        <v>0.3</v>
      </c>
      <c r="T159" s="1503">
        <f t="shared" si="111"/>
        <v>0.3</v>
      </c>
      <c r="U159" s="1503">
        <f t="shared" si="112"/>
        <v>0.3</v>
      </c>
      <c r="V159" s="1503">
        <f t="shared" si="113"/>
        <v>0.3</v>
      </c>
      <c r="W159" s="1503">
        <f t="shared" si="114"/>
        <v>0.3</v>
      </c>
      <c r="X159" s="1503">
        <f t="shared" si="115"/>
        <v>0.3</v>
      </c>
      <c r="Y159" s="1503">
        <f t="shared" si="116"/>
        <v>0.3</v>
      </c>
      <c r="Z159" s="1503">
        <f t="shared" si="117"/>
        <v>0.3</v>
      </c>
      <c r="AA159" s="1503">
        <f t="shared" si="118"/>
        <v>0.3</v>
      </c>
      <c r="AB159" s="1503">
        <f t="shared" si="119"/>
        <v>0.3</v>
      </c>
      <c r="AC159" s="1583">
        <f t="shared" si="149"/>
        <v>0</v>
      </c>
      <c r="AD159" s="1584">
        <f t="shared" si="150"/>
        <v>0</v>
      </c>
      <c r="AE159" s="1584">
        <f t="shared" si="151"/>
        <v>0</v>
      </c>
      <c r="AF159"/>
      <c r="AG159" s="1498" t="s">
        <v>1576</v>
      </c>
      <c r="AH159" s="1994" t="s">
        <v>1411</v>
      </c>
      <c r="AI159" s="1958" t="s">
        <v>1577</v>
      </c>
      <c r="AJ159" s="1960">
        <v>0.3</v>
      </c>
      <c r="AK159" s="1960">
        <v>0.3</v>
      </c>
      <c r="AL159" s="1960">
        <v>0.3</v>
      </c>
      <c r="AM159" s="1960">
        <v>0.3</v>
      </c>
      <c r="AN159" s="1960">
        <v>0.3</v>
      </c>
      <c r="AO159" s="1960">
        <v>0.3</v>
      </c>
      <c r="AP159" s="1960">
        <v>0.3</v>
      </c>
      <c r="AQ159" s="1960">
        <v>0.3</v>
      </c>
      <c r="AR159" s="1960">
        <v>0.3</v>
      </c>
      <c r="AS159" s="1960">
        <v>0.3</v>
      </c>
      <c r="AT159" s="1996">
        <v>0</v>
      </c>
      <c r="AU159" s="1997">
        <v>0</v>
      </c>
      <c r="AV159" s="1997">
        <v>0</v>
      </c>
      <c r="AW159"/>
      <c r="AX159" s="1498" t="s">
        <v>1454</v>
      </c>
      <c r="AY159" s="1994" t="s">
        <v>1412</v>
      </c>
      <c r="AZ159" s="1958" t="s">
        <v>1455</v>
      </c>
      <c r="BA159" s="1960">
        <v>0.3</v>
      </c>
      <c r="BB159" s="1960">
        <v>0.3</v>
      </c>
      <c r="BC159" s="1960">
        <v>0.3</v>
      </c>
      <c r="BD159" s="1960">
        <v>0.3</v>
      </c>
      <c r="BE159" s="1960">
        <v>0.3</v>
      </c>
      <c r="BF159" s="1960">
        <v>0.3</v>
      </c>
      <c r="BG159" s="1960">
        <v>0.3</v>
      </c>
      <c r="BH159" s="1960">
        <v>0.3</v>
      </c>
      <c r="BI159" s="1960">
        <v>0.3</v>
      </c>
      <c r="BJ159" s="1960">
        <v>0.3</v>
      </c>
      <c r="BK159" s="1996"/>
      <c r="BL159" s="1997"/>
      <c r="BM159" s="1997"/>
      <c r="BN159"/>
      <c r="BO159" s="1498" t="s">
        <v>1454</v>
      </c>
      <c r="BP159" s="1994" t="s">
        <v>1412</v>
      </c>
      <c r="BQ159" s="1958" t="s">
        <v>1455</v>
      </c>
      <c r="BR159" s="1960">
        <v>0.3</v>
      </c>
      <c r="BS159" s="1960">
        <v>0.3</v>
      </c>
      <c r="BT159" s="1960">
        <v>0.3</v>
      </c>
      <c r="BU159" s="1960">
        <v>0.3</v>
      </c>
      <c r="BV159" s="1960">
        <v>0.3</v>
      </c>
      <c r="BW159" s="1960">
        <v>0.3</v>
      </c>
      <c r="BX159" s="1960">
        <v>0.3</v>
      </c>
      <c r="BY159" s="1960">
        <v>0.3</v>
      </c>
      <c r="BZ159" s="1960">
        <v>0.3</v>
      </c>
      <c r="CA159" s="1960">
        <v>0.3</v>
      </c>
      <c r="CB159" s="1996"/>
      <c r="CC159" s="1997"/>
      <c r="CD159" s="1997"/>
      <c r="CE159"/>
    </row>
    <row r="160" spans="1:83" s="1505" customFormat="1">
      <c r="A160"/>
      <c r="B160" s="1959">
        <f t="shared" si="143"/>
        <v>1</v>
      </c>
      <c r="C160" s="1541" t="str">
        <f t="shared" si="140"/>
        <v>地球温暖化への配慮</v>
      </c>
      <c r="D160" s="1962" t="e">
        <f>IF(I$159=0,0,G160/I$159)</f>
        <v>#VALUE!</v>
      </c>
      <c r="E160" s="1962">
        <f>IF(J$159=0,0,H160/J$159)</f>
        <v>0</v>
      </c>
      <c r="F160"/>
      <c r="G160" s="1643" t="e">
        <f t="shared" si="138"/>
        <v>#VALUE!</v>
      </c>
      <c r="H160" s="1643">
        <f t="shared" si="139"/>
        <v>0</v>
      </c>
      <c r="I160" s="1643"/>
      <c r="J160" s="1643"/>
      <c r="K160" s="1643" t="e">
        <f>IF(スコア表示!W160=0,0,1)</f>
        <v>#VALUE!</v>
      </c>
      <c r="L160" s="1643">
        <f>IF(スコア表示!AA160=0,0,1)</f>
        <v>0</v>
      </c>
      <c r="M160" s="1643">
        <f t="shared" si="141"/>
        <v>0.33333333333333337</v>
      </c>
      <c r="N160" s="1643">
        <f t="shared" si="145"/>
        <v>0</v>
      </c>
      <c r="O160"/>
      <c r="P160" s="2001">
        <f t="shared" si="146"/>
        <v>1</v>
      </c>
      <c r="Q160" s="1644" t="str">
        <f t="shared" si="147"/>
        <v>LR3</v>
      </c>
      <c r="R160" s="1680" t="str">
        <f t="shared" si="142"/>
        <v>地球温暖化への配慮</v>
      </c>
      <c r="S160" s="1611">
        <f t="shared" ref="S160:S180" si="152">IF($P$3=1,BA160,IF($P$3=2,BR160,AJ160))</f>
        <v>0.33333333333333331</v>
      </c>
      <c r="T160" s="1611">
        <f t="shared" ref="T160:T180" si="153">IF($P$3=1,BB160,IF($P$3=2,BS160,AK160))</f>
        <v>0.33333333333333331</v>
      </c>
      <c r="U160" s="1611">
        <f t="shared" ref="U160:U180" si="154">IF($P$3=1,BC160,IF($P$3=2,BT160,AL160))</f>
        <v>0.33333333333333331</v>
      </c>
      <c r="V160" s="1611">
        <f t="shared" ref="V160:V180" si="155">IF($P$3=1,BD160,IF($P$3=2,BU160,AM160))</f>
        <v>0.33333333333333331</v>
      </c>
      <c r="W160" s="1611">
        <f t="shared" ref="W160:W180" si="156">IF($P$3=1,BE160,IF($P$3=2,BV160,AN160))</f>
        <v>0.33333333333333331</v>
      </c>
      <c r="X160" s="1611">
        <f t="shared" ref="X160:X180" si="157">IF($P$3=1,BF160,IF($P$3=2,BW160,AO160))</f>
        <v>0.33333333333333331</v>
      </c>
      <c r="Y160" s="1611">
        <f t="shared" ref="Y160:Y180" si="158">IF($P$3=1,BG160,IF($P$3=2,BX160,AP160))</f>
        <v>0.33333333333333331</v>
      </c>
      <c r="Z160" s="1611">
        <f t="shared" ref="Z160:Z180" si="159">IF($P$3=1,BH160,IF($P$3=2,BY160,AQ160))</f>
        <v>0.33333333333333331</v>
      </c>
      <c r="AA160" s="1611">
        <f t="shared" ref="AA160:AA180" si="160">IF($P$3=1,BI160,IF($P$3=2,BZ160,AR160))</f>
        <v>0.33333333333333331</v>
      </c>
      <c r="AB160" s="1611">
        <f t="shared" ref="AB160:AB180" si="161">IF($P$3=1,BJ160,IF($P$3=2,CA160,AS160))</f>
        <v>0.33333333333333331</v>
      </c>
      <c r="AC160" s="1559">
        <f t="shared" si="149"/>
        <v>0</v>
      </c>
      <c r="AD160" s="1510">
        <f t="shared" si="150"/>
        <v>0</v>
      </c>
      <c r="AE160" s="1510">
        <f t="shared" si="151"/>
        <v>0</v>
      </c>
      <c r="AF160"/>
      <c r="AG160" s="1541">
        <v>1</v>
      </c>
      <c r="AH160" s="1644" t="s">
        <v>334</v>
      </c>
      <c r="AI160" s="1680" t="s">
        <v>1007</v>
      </c>
      <c r="AJ160" s="1611">
        <v>0.33333333333333331</v>
      </c>
      <c r="AK160" s="1611">
        <v>0.33333333333333331</v>
      </c>
      <c r="AL160" s="1611">
        <v>0.33333333333333331</v>
      </c>
      <c r="AM160" s="1611">
        <v>0.33333333333333331</v>
      </c>
      <c r="AN160" s="1611">
        <v>0.33333333333333331</v>
      </c>
      <c r="AO160" s="1611">
        <v>0.33333333333333331</v>
      </c>
      <c r="AP160" s="1611">
        <v>0.33333333333333331</v>
      </c>
      <c r="AQ160" s="1611">
        <v>0.33333333333333331</v>
      </c>
      <c r="AR160" s="1611">
        <v>0.33333333333333331</v>
      </c>
      <c r="AS160" s="1611">
        <v>0.33333333333333331</v>
      </c>
      <c r="AT160" s="1963">
        <v>0</v>
      </c>
      <c r="AU160" s="1611">
        <v>0</v>
      </c>
      <c r="AV160" s="1611">
        <v>0</v>
      </c>
      <c r="AW160"/>
      <c r="AX160" s="1541">
        <v>1</v>
      </c>
      <c r="AY160" s="1644" t="s">
        <v>334</v>
      </c>
      <c r="AZ160" s="1680" t="s">
        <v>1007</v>
      </c>
      <c r="BA160" s="1611">
        <f t="shared" ref="BA160:BJ161" si="162">1/3</f>
        <v>0.33333333333333331</v>
      </c>
      <c r="BB160" s="1611">
        <f t="shared" si="162"/>
        <v>0.33333333333333331</v>
      </c>
      <c r="BC160" s="1611">
        <f t="shared" si="162"/>
        <v>0.33333333333333331</v>
      </c>
      <c r="BD160" s="1611">
        <f t="shared" si="162"/>
        <v>0.33333333333333331</v>
      </c>
      <c r="BE160" s="1611">
        <f t="shared" si="162"/>
        <v>0.33333333333333331</v>
      </c>
      <c r="BF160" s="1611">
        <f t="shared" si="162"/>
        <v>0.33333333333333331</v>
      </c>
      <c r="BG160" s="1611">
        <f t="shared" si="162"/>
        <v>0.33333333333333331</v>
      </c>
      <c r="BH160" s="1611">
        <f t="shared" si="162"/>
        <v>0.33333333333333331</v>
      </c>
      <c r="BI160" s="1611">
        <f t="shared" si="162"/>
        <v>0.33333333333333331</v>
      </c>
      <c r="BJ160" s="1611">
        <f t="shared" si="162"/>
        <v>0.33333333333333331</v>
      </c>
      <c r="BK160" s="1963"/>
      <c r="BL160" s="1611"/>
      <c r="BM160" s="1611"/>
      <c r="BN160"/>
      <c r="BO160" s="1541">
        <v>1</v>
      </c>
      <c r="BP160" s="1644" t="s">
        <v>334</v>
      </c>
      <c r="BQ160" s="1680" t="s">
        <v>1007</v>
      </c>
      <c r="BR160" s="1611">
        <f t="shared" ref="BR160:CA161" si="163">1/3</f>
        <v>0.33333333333333331</v>
      </c>
      <c r="BS160" s="1611">
        <f t="shared" si="163"/>
        <v>0.33333333333333331</v>
      </c>
      <c r="BT160" s="1611">
        <f t="shared" si="163"/>
        <v>0.33333333333333331</v>
      </c>
      <c r="BU160" s="1611">
        <f t="shared" si="163"/>
        <v>0.33333333333333331</v>
      </c>
      <c r="BV160" s="1611">
        <f t="shared" si="163"/>
        <v>0.33333333333333331</v>
      </c>
      <c r="BW160" s="1611">
        <f t="shared" si="163"/>
        <v>0.33333333333333331</v>
      </c>
      <c r="BX160" s="1611">
        <f t="shared" si="163"/>
        <v>0.33333333333333331</v>
      </c>
      <c r="BY160" s="1611">
        <f t="shared" si="163"/>
        <v>0.33333333333333331</v>
      </c>
      <c r="BZ160" s="1611">
        <f t="shared" si="163"/>
        <v>0.33333333333333331</v>
      </c>
      <c r="CA160" s="1611">
        <f t="shared" si="163"/>
        <v>0.33333333333333331</v>
      </c>
      <c r="CB160" s="1963"/>
      <c r="CC160" s="1611"/>
      <c r="CD160" s="1611"/>
      <c r="CE160"/>
    </row>
    <row r="161" spans="1:83" s="1505" customFormat="1">
      <c r="A161"/>
      <c r="B161" s="1497">
        <f t="shared" si="143"/>
        <v>2</v>
      </c>
      <c r="C161" s="1541" t="str">
        <f t="shared" si="140"/>
        <v>地域環境への配慮</v>
      </c>
      <c r="D161" s="1962" t="e">
        <f>IF(I$159=0,0,G161/I$159)</f>
        <v>#VALUE!</v>
      </c>
      <c r="E161" s="1962">
        <f>IF(J$159=0,0,H161/J$159)</f>
        <v>0</v>
      </c>
      <c r="F161"/>
      <c r="G161" s="1643">
        <f t="shared" si="138"/>
        <v>0.33333333333333337</v>
      </c>
      <c r="H161" s="1643">
        <f t="shared" si="139"/>
        <v>0</v>
      </c>
      <c r="I161" s="1643">
        <f>G162+G163+G164</f>
        <v>1.0000000000000002</v>
      </c>
      <c r="J161" s="1643">
        <f>H162+H163+H164</f>
        <v>0</v>
      </c>
      <c r="K161" s="1643">
        <f>IF(スコア表示!W161=0,0,1)</f>
        <v>1</v>
      </c>
      <c r="L161" s="1643">
        <f>IF(スコア表示!AA161=0,0,1)</f>
        <v>0</v>
      </c>
      <c r="M161" s="1643">
        <f t="shared" si="141"/>
        <v>0.33333333333333337</v>
      </c>
      <c r="N161" s="1643">
        <f t="shared" si="145"/>
        <v>0</v>
      </c>
      <c r="O161"/>
      <c r="P161" s="2001">
        <f t="shared" si="146"/>
        <v>2</v>
      </c>
      <c r="Q161" s="1644" t="str">
        <f t="shared" si="147"/>
        <v>LR3</v>
      </c>
      <c r="R161" s="1680" t="str">
        <f t="shared" si="142"/>
        <v>地域環境への配慮</v>
      </c>
      <c r="S161" s="1611">
        <f t="shared" si="152"/>
        <v>0.33333333333333331</v>
      </c>
      <c r="T161" s="1611">
        <f t="shared" si="153"/>
        <v>0.33333333333333331</v>
      </c>
      <c r="U161" s="1611">
        <f t="shared" si="154"/>
        <v>0.33333333333333331</v>
      </c>
      <c r="V161" s="1611">
        <f t="shared" si="155"/>
        <v>0.33333333333333331</v>
      </c>
      <c r="W161" s="1611">
        <f t="shared" si="156"/>
        <v>0.33333333333333331</v>
      </c>
      <c r="X161" s="1611">
        <f t="shared" si="157"/>
        <v>0.33333333333333331</v>
      </c>
      <c r="Y161" s="1611">
        <f t="shared" si="158"/>
        <v>0.33333333333333331</v>
      </c>
      <c r="Z161" s="1611">
        <f t="shared" si="159"/>
        <v>0.33333333333333331</v>
      </c>
      <c r="AA161" s="1611">
        <f t="shared" si="160"/>
        <v>0.33333333333333331</v>
      </c>
      <c r="AB161" s="1611">
        <f t="shared" si="161"/>
        <v>0.33333333333333331</v>
      </c>
      <c r="AC161" s="1559">
        <f t="shared" si="149"/>
        <v>0</v>
      </c>
      <c r="AD161" s="1510">
        <f t="shared" si="150"/>
        <v>0</v>
      </c>
      <c r="AE161" s="1510">
        <f t="shared" si="151"/>
        <v>0</v>
      </c>
      <c r="AF161"/>
      <c r="AG161" s="1541">
        <v>2</v>
      </c>
      <c r="AH161" s="1644" t="s">
        <v>334</v>
      </c>
      <c r="AI161" s="1680" t="s">
        <v>1008</v>
      </c>
      <c r="AJ161" s="1611">
        <v>0.33333333333333331</v>
      </c>
      <c r="AK161" s="1611">
        <v>0.33333333333333331</v>
      </c>
      <c r="AL161" s="1611">
        <v>0.33333333333333331</v>
      </c>
      <c r="AM161" s="1611">
        <v>0.33333333333333331</v>
      </c>
      <c r="AN161" s="1611">
        <v>0.33333333333333331</v>
      </c>
      <c r="AO161" s="1611">
        <v>0.33333333333333331</v>
      </c>
      <c r="AP161" s="1611">
        <v>0.33333333333333331</v>
      </c>
      <c r="AQ161" s="1611">
        <v>0.33333333333333331</v>
      </c>
      <c r="AR161" s="1611">
        <v>0.33333333333333331</v>
      </c>
      <c r="AS161" s="1611">
        <v>0.33333333333333331</v>
      </c>
      <c r="AT161" s="1963">
        <v>0</v>
      </c>
      <c r="AU161" s="1611">
        <v>0</v>
      </c>
      <c r="AV161" s="1611">
        <v>0</v>
      </c>
      <c r="AW161"/>
      <c r="AX161" s="1541">
        <v>2</v>
      </c>
      <c r="AY161" s="1644" t="s">
        <v>334</v>
      </c>
      <c r="AZ161" s="1680" t="s">
        <v>1008</v>
      </c>
      <c r="BA161" s="1611">
        <f t="shared" si="162"/>
        <v>0.33333333333333331</v>
      </c>
      <c r="BB161" s="1611">
        <f t="shared" si="162"/>
        <v>0.33333333333333331</v>
      </c>
      <c r="BC161" s="1611">
        <f t="shared" si="162"/>
        <v>0.33333333333333331</v>
      </c>
      <c r="BD161" s="1611">
        <f t="shared" si="162"/>
        <v>0.33333333333333331</v>
      </c>
      <c r="BE161" s="1611">
        <f t="shared" si="162"/>
        <v>0.33333333333333331</v>
      </c>
      <c r="BF161" s="1611">
        <f t="shared" si="162"/>
        <v>0.33333333333333331</v>
      </c>
      <c r="BG161" s="1611">
        <f t="shared" si="162"/>
        <v>0.33333333333333331</v>
      </c>
      <c r="BH161" s="1611">
        <f t="shared" si="162"/>
        <v>0.33333333333333331</v>
      </c>
      <c r="BI161" s="1611">
        <f t="shared" si="162"/>
        <v>0.33333333333333331</v>
      </c>
      <c r="BJ161" s="1611">
        <f t="shared" si="162"/>
        <v>0.33333333333333331</v>
      </c>
      <c r="BK161" s="1963"/>
      <c r="BL161" s="1611"/>
      <c r="BM161" s="1611"/>
      <c r="BN161"/>
      <c r="BO161" s="1541">
        <v>2</v>
      </c>
      <c r="BP161" s="1644" t="s">
        <v>334</v>
      </c>
      <c r="BQ161" s="1680" t="s">
        <v>1008</v>
      </c>
      <c r="BR161" s="1611">
        <f t="shared" si="163"/>
        <v>0.33333333333333331</v>
      </c>
      <c r="BS161" s="1611">
        <f t="shared" si="163"/>
        <v>0.33333333333333331</v>
      </c>
      <c r="BT161" s="1611">
        <f t="shared" si="163"/>
        <v>0.33333333333333331</v>
      </c>
      <c r="BU161" s="1611">
        <f t="shared" si="163"/>
        <v>0.33333333333333331</v>
      </c>
      <c r="BV161" s="1611">
        <f t="shared" si="163"/>
        <v>0.33333333333333331</v>
      </c>
      <c r="BW161" s="1611">
        <f t="shared" si="163"/>
        <v>0.33333333333333331</v>
      </c>
      <c r="BX161" s="1611">
        <f t="shared" si="163"/>
        <v>0.33333333333333331</v>
      </c>
      <c r="BY161" s="1611">
        <f t="shared" si="163"/>
        <v>0.33333333333333331</v>
      </c>
      <c r="BZ161" s="1611">
        <f t="shared" si="163"/>
        <v>0.33333333333333331</v>
      </c>
      <c r="CA161" s="1611">
        <f t="shared" si="163"/>
        <v>0.33333333333333331</v>
      </c>
      <c r="CB161" s="1963"/>
      <c r="CC161" s="1611"/>
      <c r="CD161" s="1611"/>
      <c r="CE161"/>
    </row>
    <row r="162" spans="1:83">
      <c r="B162" s="1497" t="str">
        <f t="shared" si="143"/>
        <v>2.1</v>
      </c>
      <c r="C162" s="1634" t="str">
        <f t="shared" si="140"/>
        <v>大気汚染防止</v>
      </c>
      <c r="D162" s="1616">
        <f t="shared" ref="D162:E164" si="164">IF(I$161=0,0,G162/I$161)</f>
        <v>0.25</v>
      </c>
      <c r="E162" s="1616">
        <f t="shared" si="164"/>
        <v>0</v>
      </c>
      <c r="G162" s="1591">
        <f t="shared" si="138"/>
        <v>0.25000000000000006</v>
      </c>
      <c r="H162" s="1591">
        <f t="shared" si="139"/>
        <v>0</v>
      </c>
      <c r="I162" s="1591"/>
      <c r="J162" s="1591"/>
      <c r="K162" s="1591">
        <f>IF(スコア表示!W162=0,0,1)</f>
        <v>1</v>
      </c>
      <c r="L162" s="1591">
        <f>IF(スコア表示!AA162=0,0,1)</f>
        <v>0</v>
      </c>
      <c r="M162" s="1591">
        <f t="shared" si="141"/>
        <v>0.25000000000000006</v>
      </c>
      <c r="N162" s="1591">
        <f t="shared" si="145"/>
        <v>0</v>
      </c>
      <c r="P162" s="2002" t="str">
        <f t="shared" si="146"/>
        <v>2.1</v>
      </c>
      <c r="Q162" s="1593" t="str">
        <f t="shared" si="147"/>
        <v>LR3 2</v>
      </c>
      <c r="R162" s="1637" t="str">
        <f t="shared" si="142"/>
        <v>大気汚染防止</v>
      </c>
      <c r="S162" s="1523">
        <f t="shared" si="152"/>
        <v>0.25</v>
      </c>
      <c r="T162" s="1523">
        <f t="shared" si="153"/>
        <v>0.25</v>
      </c>
      <c r="U162" s="1523">
        <f t="shared" si="154"/>
        <v>0.25</v>
      </c>
      <c r="V162" s="1523">
        <f t="shared" si="155"/>
        <v>0.25</v>
      </c>
      <c r="W162" s="1523">
        <f t="shared" si="156"/>
        <v>0.25</v>
      </c>
      <c r="X162" s="1523">
        <f t="shared" si="157"/>
        <v>0.25</v>
      </c>
      <c r="Y162" s="1523">
        <f t="shared" si="158"/>
        <v>0.25</v>
      </c>
      <c r="Z162" s="1523">
        <f t="shared" si="159"/>
        <v>0.25</v>
      </c>
      <c r="AA162" s="1523">
        <f t="shared" si="160"/>
        <v>0.25</v>
      </c>
      <c r="AB162" s="1523">
        <f t="shared" si="161"/>
        <v>0.25</v>
      </c>
      <c r="AC162" s="1519">
        <f t="shared" si="149"/>
        <v>0</v>
      </c>
      <c r="AD162" s="1518">
        <f t="shared" si="150"/>
        <v>0</v>
      </c>
      <c r="AE162" s="1518">
        <f t="shared" si="151"/>
        <v>0</v>
      </c>
      <c r="AG162" s="1530" t="s">
        <v>1416</v>
      </c>
      <c r="AH162" s="1593" t="s">
        <v>335</v>
      </c>
      <c r="AI162" s="1637" t="s">
        <v>1009</v>
      </c>
      <c r="AJ162" s="1523">
        <v>0.25</v>
      </c>
      <c r="AK162" s="1523">
        <v>0.25</v>
      </c>
      <c r="AL162" s="1523">
        <v>0.25</v>
      </c>
      <c r="AM162" s="1523">
        <v>0.25</v>
      </c>
      <c r="AN162" s="1523">
        <v>0.25</v>
      </c>
      <c r="AO162" s="1523">
        <v>0.25</v>
      </c>
      <c r="AP162" s="1523">
        <v>0.25</v>
      </c>
      <c r="AQ162" s="1523">
        <v>0.25</v>
      </c>
      <c r="AR162" s="1523">
        <v>0.25</v>
      </c>
      <c r="AS162" s="1523">
        <v>0.25</v>
      </c>
      <c r="AT162" s="1525"/>
      <c r="AU162" s="1523"/>
      <c r="AV162" s="1523"/>
      <c r="AX162" s="1530" t="s">
        <v>1416</v>
      </c>
      <c r="AY162" s="1593" t="s">
        <v>335</v>
      </c>
      <c r="AZ162" s="1637" t="s">
        <v>1009</v>
      </c>
      <c r="BA162" s="1523">
        <v>0.25</v>
      </c>
      <c r="BB162" s="1523">
        <v>0.25</v>
      </c>
      <c r="BC162" s="1523">
        <v>0.25</v>
      </c>
      <c r="BD162" s="1523">
        <v>0.25</v>
      </c>
      <c r="BE162" s="1523">
        <v>0.25</v>
      </c>
      <c r="BF162" s="1523">
        <v>0.25</v>
      </c>
      <c r="BG162" s="1523">
        <v>0.25</v>
      </c>
      <c r="BH162" s="1523">
        <v>0.25</v>
      </c>
      <c r="BI162" s="1523">
        <v>0.25</v>
      </c>
      <c r="BJ162" s="1523">
        <v>0.25</v>
      </c>
      <c r="BK162" s="1525"/>
      <c r="BL162" s="1523"/>
      <c r="BM162" s="1523"/>
      <c r="BO162" s="1530" t="s">
        <v>1502</v>
      </c>
      <c r="BP162" s="1593" t="s">
        <v>335</v>
      </c>
      <c r="BQ162" s="1637" t="s">
        <v>1009</v>
      </c>
      <c r="BR162" s="1523">
        <v>0.25</v>
      </c>
      <c r="BS162" s="1523">
        <v>0.25</v>
      </c>
      <c r="BT162" s="1523">
        <v>0.25</v>
      </c>
      <c r="BU162" s="1523">
        <v>0.25</v>
      </c>
      <c r="BV162" s="1523">
        <v>0.25</v>
      </c>
      <c r="BW162" s="1523">
        <v>0.25</v>
      </c>
      <c r="BX162" s="1523">
        <v>0.25</v>
      </c>
      <c r="BY162" s="1523">
        <v>0.25</v>
      </c>
      <c r="BZ162" s="1523">
        <v>0.25</v>
      </c>
      <c r="CA162" s="1523">
        <v>0.25</v>
      </c>
      <c r="CB162" s="1525"/>
      <c r="CC162" s="1523"/>
      <c r="CD162" s="1523"/>
    </row>
    <row r="163" spans="1:83">
      <c r="B163" s="1497" t="str">
        <f t="shared" si="143"/>
        <v>2.2</v>
      </c>
      <c r="C163" s="1634" t="str">
        <f t="shared" si="140"/>
        <v>温熱環境悪化の改善</v>
      </c>
      <c r="D163" s="1616">
        <f t="shared" si="164"/>
        <v>0.5</v>
      </c>
      <c r="E163" s="1616">
        <f t="shared" si="164"/>
        <v>0</v>
      </c>
      <c r="G163" s="1591">
        <f t="shared" si="138"/>
        <v>0.50000000000000011</v>
      </c>
      <c r="H163" s="1591">
        <f t="shared" si="139"/>
        <v>0</v>
      </c>
      <c r="I163" s="1591"/>
      <c r="J163" s="1591"/>
      <c r="K163" s="1591">
        <f>IF(スコア表示!W163=0,0,1)</f>
        <v>1</v>
      </c>
      <c r="L163" s="1591">
        <f>IF(スコア表示!AA163=0,0,1)</f>
        <v>0</v>
      </c>
      <c r="M163" s="1591">
        <f t="shared" si="141"/>
        <v>0.50000000000000011</v>
      </c>
      <c r="N163" s="1591">
        <f t="shared" si="145"/>
        <v>0</v>
      </c>
      <c r="P163" s="2002" t="str">
        <f t="shared" si="146"/>
        <v>2.2</v>
      </c>
      <c r="Q163" s="1593" t="str">
        <f t="shared" si="147"/>
        <v>LR3 2</v>
      </c>
      <c r="R163" s="1637" t="str">
        <f t="shared" si="142"/>
        <v>温熱環境悪化の改善</v>
      </c>
      <c r="S163" s="1987">
        <f t="shared" si="152"/>
        <v>0.5</v>
      </c>
      <c r="T163" s="1987">
        <f t="shared" si="153"/>
        <v>0.5</v>
      </c>
      <c r="U163" s="1987">
        <f t="shared" si="154"/>
        <v>0.5</v>
      </c>
      <c r="V163" s="1987">
        <f t="shared" si="155"/>
        <v>0.5</v>
      </c>
      <c r="W163" s="1987">
        <f t="shared" si="156"/>
        <v>0.5</v>
      </c>
      <c r="X163" s="1987">
        <f t="shared" si="157"/>
        <v>0.5</v>
      </c>
      <c r="Y163" s="1987">
        <f t="shared" si="158"/>
        <v>0.5</v>
      </c>
      <c r="Z163" s="1987">
        <f t="shared" si="159"/>
        <v>0.5</v>
      </c>
      <c r="AA163" s="1987">
        <f t="shared" si="160"/>
        <v>0.5</v>
      </c>
      <c r="AB163" s="1987">
        <f t="shared" si="161"/>
        <v>0.5</v>
      </c>
      <c r="AC163" s="1562">
        <f t="shared" si="149"/>
        <v>0</v>
      </c>
      <c r="AD163" s="1561">
        <f t="shared" si="150"/>
        <v>0</v>
      </c>
      <c r="AE163" s="1561">
        <f t="shared" si="151"/>
        <v>0</v>
      </c>
      <c r="AG163" s="1530" t="s">
        <v>1418</v>
      </c>
      <c r="AH163" s="1593" t="s">
        <v>335</v>
      </c>
      <c r="AI163" s="1637" t="s">
        <v>1456</v>
      </c>
      <c r="AJ163" s="1987">
        <v>0.5</v>
      </c>
      <c r="AK163" s="1987">
        <v>0.5</v>
      </c>
      <c r="AL163" s="1987">
        <v>0.5</v>
      </c>
      <c r="AM163" s="1987">
        <v>0.5</v>
      </c>
      <c r="AN163" s="1987">
        <v>0.5</v>
      </c>
      <c r="AO163" s="1987">
        <v>0.5</v>
      </c>
      <c r="AP163" s="1987">
        <v>0.5</v>
      </c>
      <c r="AQ163" s="1987">
        <v>0.5</v>
      </c>
      <c r="AR163" s="1987">
        <v>0.5</v>
      </c>
      <c r="AS163" s="1987">
        <v>0.5</v>
      </c>
      <c r="AT163" s="1988"/>
      <c r="AU163" s="1987"/>
      <c r="AV163" s="1987"/>
      <c r="AX163" s="1530" t="s">
        <v>1418</v>
      </c>
      <c r="AY163" s="1593" t="s">
        <v>335</v>
      </c>
      <c r="AZ163" s="1637" t="s">
        <v>1456</v>
      </c>
      <c r="BA163" s="1987">
        <v>0.5</v>
      </c>
      <c r="BB163" s="1987">
        <v>0.5</v>
      </c>
      <c r="BC163" s="1987">
        <v>0.5</v>
      </c>
      <c r="BD163" s="1987">
        <v>0.5</v>
      </c>
      <c r="BE163" s="1987">
        <v>0.5</v>
      </c>
      <c r="BF163" s="1987">
        <v>0.5</v>
      </c>
      <c r="BG163" s="1987">
        <v>0.5</v>
      </c>
      <c r="BH163" s="1987">
        <v>0.5</v>
      </c>
      <c r="BI163" s="1987">
        <v>0.5</v>
      </c>
      <c r="BJ163" s="1987">
        <v>0.5</v>
      </c>
      <c r="BK163" s="1988"/>
      <c r="BL163" s="1987"/>
      <c r="BM163" s="1987"/>
      <c r="BO163" s="1530" t="s">
        <v>1503</v>
      </c>
      <c r="BP163" s="1593" t="s">
        <v>335</v>
      </c>
      <c r="BQ163" s="1637" t="s">
        <v>1504</v>
      </c>
      <c r="BR163" s="1987">
        <v>0.5</v>
      </c>
      <c r="BS163" s="1987">
        <v>0.5</v>
      </c>
      <c r="BT163" s="1987">
        <v>0.5</v>
      </c>
      <c r="BU163" s="1987">
        <v>0.5</v>
      </c>
      <c r="BV163" s="1987">
        <v>0.5</v>
      </c>
      <c r="BW163" s="1987">
        <v>0.5</v>
      </c>
      <c r="BX163" s="1987">
        <v>0.5</v>
      </c>
      <c r="BY163" s="1987">
        <v>0.5</v>
      </c>
      <c r="BZ163" s="1987">
        <v>0.5</v>
      </c>
      <c r="CA163" s="1987">
        <v>0.5</v>
      </c>
      <c r="CB163" s="1988"/>
      <c r="CC163" s="1987"/>
      <c r="CD163" s="1987"/>
    </row>
    <row r="164" spans="1:83">
      <c r="B164" s="1497" t="str">
        <f t="shared" si="143"/>
        <v>2.3</v>
      </c>
      <c r="C164" s="1634" t="str">
        <f t="shared" si="140"/>
        <v>地域インフラへの負荷抑制</v>
      </c>
      <c r="D164" s="1616">
        <f t="shared" si="164"/>
        <v>0.25</v>
      </c>
      <c r="E164" s="1616">
        <f t="shared" si="164"/>
        <v>0</v>
      </c>
      <c r="G164" s="1591">
        <f t="shared" si="138"/>
        <v>0.25000000000000006</v>
      </c>
      <c r="H164" s="1591">
        <f t="shared" si="139"/>
        <v>0</v>
      </c>
      <c r="I164" s="1591">
        <f>SUM(G165:G168)</f>
        <v>1.0000000000000002</v>
      </c>
      <c r="J164" s="1591">
        <f>SUM(H165:H168)</f>
        <v>0</v>
      </c>
      <c r="K164" s="1591">
        <f>IF(スコア表示!W164=0,0,1)</f>
        <v>1</v>
      </c>
      <c r="L164" s="1591">
        <f>IF(スコア表示!AA164=0,0,1)</f>
        <v>0</v>
      </c>
      <c r="M164" s="1591">
        <f t="shared" si="141"/>
        <v>0.25000000000000006</v>
      </c>
      <c r="N164" s="1591">
        <f t="shared" si="145"/>
        <v>0</v>
      </c>
      <c r="P164" s="2002" t="str">
        <f t="shared" si="146"/>
        <v>2.3</v>
      </c>
      <c r="Q164" s="1593" t="str">
        <f t="shared" si="147"/>
        <v>LR3 2</v>
      </c>
      <c r="R164" s="1637" t="str">
        <f t="shared" si="142"/>
        <v>地域インフラへの負荷抑制</v>
      </c>
      <c r="S164" s="1987">
        <f t="shared" si="152"/>
        <v>0.25</v>
      </c>
      <c r="T164" s="1987">
        <f t="shared" si="153"/>
        <v>0.25</v>
      </c>
      <c r="U164" s="1987">
        <f t="shared" si="154"/>
        <v>0.25</v>
      </c>
      <c r="V164" s="1987">
        <f t="shared" si="155"/>
        <v>0.25</v>
      </c>
      <c r="W164" s="1987">
        <f t="shared" si="156"/>
        <v>0.25</v>
      </c>
      <c r="X164" s="1987">
        <f t="shared" si="157"/>
        <v>0.25</v>
      </c>
      <c r="Y164" s="1987">
        <f t="shared" si="158"/>
        <v>0.25</v>
      </c>
      <c r="Z164" s="1987">
        <f t="shared" si="159"/>
        <v>0.25</v>
      </c>
      <c r="AA164" s="1987">
        <f t="shared" si="160"/>
        <v>0.25</v>
      </c>
      <c r="AB164" s="1987">
        <f t="shared" si="161"/>
        <v>0.25</v>
      </c>
      <c r="AC164" s="1562">
        <f t="shared" si="149"/>
        <v>0</v>
      </c>
      <c r="AD164" s="1561">
        <f t="shared" si="150"/>
        <v>0</v>
      </c>
      <c r="AE164" s="1561">
        <f t="shared" si="151"/>
        <v>0</v>
      </c>
      <c r="AG164" s="1530" t="s">
        <v>1457</v>
      </c>
      <c r="AH164" s="1593" t="s">
        <v>335</v>
      </c>
      <c r="AI164" s="1637" t="s">
        <v>849</v>
      </c>
      <c r="AJ164" s="1987">
        <v>0.25</v>
      </c>
      <c r="AK164" s="1987">
        <v>0.25</v>
      </c>
      <c r="AL164" s="1987">
        <v>0.25</v>
      </c>
      <c r="AM164" s="1987">
        <v>0.25</v>
      </c>
      <c r="AN164" s="1987">
        <v>0.25</v>
      </c>
      <c r="AO164" s="1987">
        <v>0.25</v>
      </c>
      <c r="AP164" s="1987">
        <v>0.25</v>
      </c>
      <c r="AQ164" s="1987">
        <v>0.25</v>
      </c>
      <c r="AR164" s="1987">
        <v>0.25</v>
      </c>
      <c r="AS164" s="1987">
        <v>0.25</v>
      </c>
      <c r="AT164" s="1988"/>
      <c r="AU164" s="1987"/>
      <c r="AV164" s="1987"/>
      <c r="AX164" s="1530" t="s">
        <v>1457</v>
      </c>
      <c r="AY164" s="1593" t="s">
        <v>335</v>
      </c>
      <c r="AZ164" s="1637" t="s">
        <v>849</v>
      </c>
      <c r="BA164" s="1987">
        <v>0.25</v>
      </c>
      <c r="BB164" s="1987">
        <v>0.25</v>
      </c>
      <c r="BC164" s="1987">
        <v>0.25</v>
      </c>
      <c r="BD164" s="1987">
        <v>0.25</v>
      </c>
      <c r="BE164" s="1987">
        <v>0.25</v>
      </c>
      <c r="BF164" s="1987">
        <v>0.25</v>
      </c>
      <c r="BG164" s="1987">
        <v>0.25</v>
      </c>
      <c r="BH164" s="1987">
        <v>0.25</v>
      </c>
      <c r="BI164" s="1987">
        <v>0.25</v>
      </c>
      <c r="BJ164" s="1987">
        <v>0.25</v>
      </c>
      <c r="BK164" s="1988"/>
      <c r="BL164" s="1987"/>
      <c r="BM164" s="1987"/>
      <c r="BO164" s="1530" t="s">
        <v>1505</v>
      </c>
      <c r="BP164" s="1593" t="s">
        <v>335</v>
      </c>
      <c r="BQ164" s="1637" t="s">
        <v>849</v>
      </c>
      <c r="BR164" s="1987">
        <v>0.25</v>
      </c>
      <c r="BS164" s="1987">
        <v>0.25</v>
      </c>
      <c r="BT164" s="1987">
        <v>0.25</v>
      </c>
      <c r="BU164" s="1987">
        <v>0.25</v>
      </c>
      <c r="BV164" s="1987">
        <v>0.25</v>
      </c>
      <c r="BW164" s="1987">
        <v>0.25</v>
      </c>
      <c r="BX164" s="1987">
        <v>0.25</v>
      </c>
      <c r="BY164" s="1987">
        <v>0.25</v>
      </c>
      <c r="BZ164" s="1987">
        <v>0.25</v>
      </c>
      <c r="CA164" s="1987">
        <v>0.25</v>
      </c>
      <c r="CB164" s="1988"/>
      <c r="CC164" s="1987"/>
      <c r="CD164" s="1987"/>
    </row>
    <row r="165" spans="1:83">
      <c r="B165" s="1497" t="str">
        <f t="shared" si="143"/>
        <v>2.3.1</v>
      </c>
      <c r="C165" s="1547" t="str">
        <f t="shared" si="140"/>
        <v>雨水排水負荷低減</v>
      </c>
      <c r="D165" s="1616">
        <f t="shared" ref="D165:E168" si="165">IF(I$164=0,0,G165/I$164)</f>
        <v>0.25</v>
      </c>
      <c r="E165" s="1616">
        <f t="shared" si="165"/>
        <v>0</v>
      </c>
      <c r="G165" s="1591">
        <f t="shared" si="138"/>
        <v>0.25000000000000006</v>
      </c>
      <c r="H165" s="1591">
        <f t="shared" si="139"/>
        <v>0</v>
      </c>
      <c r="I165" s="1591"/>
      <c r="J165" s="1591"/>
      <c r="K165" s="1591">
        <f>IF(スコア表示!W165=0,0,1)</f>
        <v>1</v>
      </c>
      <c r="L165" s="1591">
        <f>IF(スコア表示!AA165=0,0,1)</f>
        <v>0</v>
      </c>
      <c r="M165" s="1591">
        <f t="shared" si="141"/>
        <v>0.25000000000000006</v>
      </c>
      <c r="N165" s="1591">
        <f t="shared" si="145"/>
        <v>0</v>
      </c>
      <c r="P165" s="1530" t="str">
        <f t="shared" si="146"/>
        <v>2.3.1</v>
      </c>
      <c r="Q165" s="1593" t="str">
        <f t="shared" si="147"/>
        <v>LR3 2.3</v>
      </c>
      <c r="R165" s="1594" t="str">
        <f t="shared" si="142"/>
        <v>雨水排水負荷低減</v>
      </c>
      <c r="S165" s="1523">
        <f t="shared" si="152"/>
        <v>0.25</v>
      </c>
      <c r="T165" s="1523">
        <f t="shared" si="153"/>
        <v>0.25</v>
      </c>
      <c r="U165" s="1523">
        <f t="shared" si="154"/>
        <v>0.25</v>
      </c>
      <c r="V165" s="1523">
        <f t="shared" si="155"/>
        <v>0.25</v>
      </c>
      <c r="W165" s="1523">
        <f t="shared" si="156"/>
        <v>0.25</v>
      </c>
      <c r="X165" s="1523">
        <f t="shared" si="157"/>
        <v>0.25</v>
      </c>
      <c r="Y165" s="1523">
        <f t="shared" si="158"/>
        <v>0.25</v>
      </c>
      <c r="Z165" s="1523">
        <f t="shared" si="159"/>
        <v>0.25</v>
      </c>
      <c r="AA165" s="1523">
        <f t="shared" si="160"/>
        <v>0.25</v>
      </c>
      <c r="AB165" s="1523">
        <f t="shared" si="161"/>
        <v>0.25</v>
      </c>
      <c r="AC165" s="1562">
        <f t="shared" si="149"/>
        <v>0</v>
      </c>
      <c r="AD165" s="1561">
        <f t="shared" si="150"/>
        <v>0</v>
      </c>
      <c r="AE165" s="1561">
        <f t="shared" si="151"/>
        <v>0</v>
      </c>
      <c r="AG165" s="1530" t="s">
        <v>1327</v>
      </c>
      <c r="AH165" s="1593" t="s">
        <v>336</v>
      </c>
      <c r="AI165" s="1594" t="s">
        <v>1458</v>
      </c>
      <c r="AJ165" s="1523">
        <v>0.25</v>
      </c>
      <c r="AK165" s="1523">
        <v>0.25</v>
      </c>
      <c r="AL165" s="1523">
        <v>0.25</v>
      </c>
      <c r="AM165" s="1523">
        <v>0.25</v>
      </c>
      <c r="AN165" s="1523">
        <v>0.25</v>
      </c>
      <c r="AO165" s="1523">
        <v>0.25</v>
      </c>
      <c r="AP165" s="1523">
        <v>0.25</v>
      </c>
      <c r="AQ165" s="1523">
        <v>0.25</v>
      </c>
      <c r="AR165" s="1523">
        <v>0.25</v>
      </c>
      <c r="AS165" s="1523">
        <v>0.25</v>
      </c>
      <c r="AT165" s="1988"/>
      <c r="AU165" s="1987"/>
      <c r="AV165" s="1987"/>
      <c r="AX165" s="1530" t="s">
        <v>1327</v>
      </c>
      <c r="AY165" s="1593" t="s">
        <v>336</v>
      </c>
      <c r="AZ165" s="1594" t="s">
        <v>1458</v>
      </c>
      <c r="BA165" s="1523">
        <v>0.25</v>
      </c>
      <c r="BB165" s="1523">
        <v>0.25</v>
      </c>
      <c r="BC165" s="1523">
        <v>0.25</v>
      </c>
      <c r="BD165" s="1523">
        <v>0.25</v>
      </c>
      <c r="BE165" s="1523">
        <v>0.25</v>
      </c>
      <c r="BF165" s="1523">
        <v>0.25</v>
      </c>
      <c r="BG165" s="1523">
        <v>0.25</v>
      </c>
      <c r="BH165" s="1523">
        <v>0.25</v>
      </c>
      <c r="BI165" s="1523">
        <v>0.25</v>
      </c>
      <c r="BJ165" s="1523">
        <v>0.25</v>
      </c>
      <c r="BK165" s="1988"/>
      <c r="BL165" s="1987"/>
      <c r="BM165" s="1987"/>
      <c r="BO165" s="1530" t="s">
        <v>1506</v>
      </c>
      <c r="BP165" s="1593" t="s">
        <v>336</v>
      </c>
      <c r="BQ165" s="1594" t="s">
        <v>1507</v>
      </c>
      <c r="BR165" s="1523">
        <v>0.25</v>
      </c>
      <c r="BS165" s="1523">
        <v>0.25</v>
      </c>
      <c r="BT165" s="1523">
        <v>0.25</v>
      </c>
      <c r="BU165" s="1523">
        <v>0.25</v>
      </c>
      <c r="BV165" s="1523">
        <v>0.25</v>
      </c>
      <c r="BW165" s="1523">
        <v>0.25</v>
      </c>
      <c r="BX165" s="1523">
        <v>0.25</v>
      </c>
      <c r="BY165" s="1523">
        <v>0.25</v>
      </c>
      <c r="BZ165" s="1523">
        <v>0.25</v>
      </c>
      <c r="CA165" s="1523">
        <v>0.25</v>
      </c>
      <c r="CB165" s="1988"/>
      <c r="CC165" s="1987"/>
      <c r="CD165" s="1987"/>
    </row>
    <row r="166" spans="1:83">
      <c r="B166" s="1497" t="str">
        <f t="shared" si="143"/>
        <v>2.3.2</v>
      </c>
      <c r="C166" s="1547" t="str">
        <f t="shared" si="140"/>
        <v>汚水処理負荷抑制</v>
      </c>
      <c r="D166" s="1616">
        <f t="shared" si="165"/>
        <v>0.25</v>
      </c>
      <c r="E166" s="1616">
        <f t="shared" si="165"/>
        <v>0</v>
      </c>
      <c r="G166" s="1591">
        <f t="shared" si="138"/>
        <v>0.25000000000000006</v>
      </c>
      <c r="H166" s="1591">
        <f t="shared" si="139"/>
        <v>0</v>
      </c>
      <c r="I166" s="1591"/>
      <c r="J166" s="1591"/>
      <c r="K166" s="1591">
        <f>IF(スコア表示!W166=0,0,1)</f>
        <v>1</v>
      </c>
      <c r="L166" s="1591">
        <f>IF(スコア表示!AA166=0,0,1)</f>
        <v>0</v>
      </c>
      <c r="M166" s="1591">
        <f t="shared" si="141"/>
        <v>0.25000000000000006</v>
      </c>
      <c r="N166" s="1591">
        <f t="shared" si="145"/>
        <v>0</v>
      </c>
      <c r="P166" s="1530" t="str">
        <f t="shared" si="146"/>
        <v>2.3.2</v>
      </c>
      <c r="Q166" s="1593" t="str">
        <f t="shared" si="147"/>
        <v>LR3 2.3</v>
      </c>
      <c r="R166" s="1594" t="str">
        <f t="shared" si="142"/>
        <v>汚水処理負荷抑制</v>
      </c>
      <c r="S166" s="1523">
        <f t="shared" si="152"/>
        <v>0.25</v>
      </c>
      <c r="T166" s="1523">
        <f t="shared" si="153"/>
        <v>0.25</v>
      </c>
      <c r="U166" s="1523">
        <f t="shared" si="154"/>
        <v>0.25</v>
      </c>
      <c r="V166" s="1523">
        <f t="shared" si="155"/>
        <v>0.25</v>
      </c>
      <c r="W166" s="1523">
        <f t="shared" si="156"/>
        <v>0.25</v>
      </c>
      <c r="X166" s="1523">
        <f t="shared" si="157"/>
        <v>0.25</v>
      </c>
      <c r="Y166" s="1523">
        <f t="shared" si="158"/>
        <v>0.25</v>
      </c>
      <c r="Z166" s="1523">
        <f t="shared" si="159"/>
        <v>0.25</v>
      </c>
      <c r="AA166" s="1523">
        <f t="shared" si="160"/>
        <v>0.25</v>
      </c>
      <c r="AB166" s="1523">
        <f t="shared" si="161"/>
        <v>0.25</v>
      </c>
      <c r="AC166" s="1562">
        <f t="shared" si="149"/>
        <v>0</v>
      </c>
      <c r="AD166" s="1561">
        <f t="shared" si="150"/>
        <v>0</v>
      </c>
      <c r="AE166" s="1561">
        <f t="shared" si="151"/>
        <v>0</v>
      </c>
      <c r="AG166" s="1530" t="s">
        <v>1329</v>
      </c>
      <c r="AH166" s="1593" t="s">
        <v>336</v>
      </c>
      <c r="AI166" s="1594" t="s">
        <v>1459</v>
      </c>
      <c r="AJ166" s="1523">
        <v>0.25</v>
      </c>
      <c r="AK166" s="1523">
        <v>0.25</v>
      </c>
      <c r="AL166" s="1523">
        <v>0.25</v>
      </c>
      <c r="AM166" s="1523">
        <v>0.25</v>
      </c>
      <c r="AN166" s="1523">
        <v>0.25</v>
      </c>
      <c r="AO166" s="1523">
        <v>0.25</v>
      </c>
      <c r="AP166" s="1523">
        <v>0.25</v>
      </c>
      <c r="AQ166" s="1523">
        <v>0.25</v>
      </c>
      <c r="AR166" s="1523">
        <v>0.25</v>
      </c>
      <c r="AS166" s="1523">
        <v>0.25</v>
      </c>
      <c r="AT166" s="1988"/>
      <c r="AU166" s="1987"/>
      <c r="AV166" s="1987"/>
      <c r="AX166" s="1530" t="s">
        <v>1329</v>
      </c>
      <c r="AY166" s="1593" t="s">
        <v>336</v>
      </c>
      <c r="AZ166" s="1594" t="s">
        <v>1459</v>
      </c>
      <c r="BA166" s="1523">
        <v>0.25</v>
      </c>
      <c r="BB166" s="1523">
        <v>0.25</v>
      </c>
      <c r="BC166" s="1523">
        <v>0.25</v>
      </c>
      <c r="BD166" s="1523">
        <v>0.25</v>
      </c>
      <c r="BE166" s="1523">
        <v>0.25</v>
      </c>
      <c r="BF166" s="1523">
        <v>0.25</v>
      </c>
      <c r="BG166" s="1523">
        <v>0.25</v>
      </c>
      <c r="BH166" s="1523">
        <v>0.25</v>
      </c>
      <c r="BI166" s="1523">
        <v>0.25</v>
      </c>
      <c r="BJ166" s="1523">
        <v>0.25</v>
      </c>
      <c r="BK166" s="1988"/>
      <c r="BL166" s="1987"/>
      <c r="BM166" s="1987"/>
      <c r="BO166" s="1530" t="s">
        <v>1508</v>
      </c>
      <c r="BP166" s="1593" t="s">
        <v>336</v>
      </c>
      <c r="BQ166" s="1594" t="s">
        <v>1509</v>
      </c>
      <c r="BR166" s="1523">
        <v>0.25</v>
      </c>
      <c r="BS166" s="1523">
        <v>0.25</v>
      </c>
      <c r="BT166" s="1523">
        <v>0.25</v>
      </c>
      <c r="BU166" s="1523">
        <v>0.25</v>
      </c>
      <c r="BV166" s="1523">
        <v>0.25</v>
      </c>
      <c r="BW166" s="1523">
        <v>0.25</v>
      </c>
      <c r="BX166" s="1523">
        <v>0.25</v>
      </c>
      <c r="BY166" s="1523">
        <v>0.25</v>
      </c>
      <c r="BZ166" s="1523">
        <v>0.25</v>
      </c>
      <c r="CA166" s="1523">
        <v>0.25</v>
      </c>
      <c r="CB166" s="1988"/>
      <c r="CC166" s="1987"/>
      <c r="CD166" s="1987"/>
    </row>
    <row r="167" spans="1:83">
      <c r="B167" s="1497" t="str">
        <f t="shared" si="143"/>
        <v>2.3.3</v>
      </c>
      <c r="C167" s="1547" t="str">
        <f t="shared" si="140"/>
        <v>交通負荷抑制</v>
      </c>
      <c r="D167" s="1616">
        <f t="shared" si="165"/>
        <v>0.25</v>
      </c>
      <c r="E167" s="1616">
        <f t="shared" si="165"/>
        <v>0</v>
      </c>
      <c r="G167" s="1591">
        <f t="shared" si="138"/>
        <v>0.25000000000000006</v>
      </c>
      <c r="H167" s="1591">
        <f t="shared" si="139"/>
        <v>0</v>
      </c>
      <c r="I167" s="1591"/>
      <c r="J167" s="1591"/>
      <c r="K167" s="1591">
        <f>IF(スコア表示!W167=0,0,1)</f>
        <v>1</v>
      </c>
      <c r="L167" s="1591">
        <f>IF(スコア表示!AA167=0,0,1)</f>
        <v>0</v>
      </c>
      <c r="M167" s="1591">
        <f t="shared" si="141"/>
        <v>0.25000000000000006</v>
      </c>
      <c r="N167" s="1591">
        <f t="shared" si="145"/>
        <v>0</v>
      </c>
      <c r="P167" s="1530" t="str">
        <f t="shared" si="146"/>
        <v>2.3.3</v>
      </c>
      <c r="Q167" s="1593" t="str">
        <f t="shared" si="147"/>
        <v>LR3 2.3</v>
      </c>
      <c r="R167" s="1594" t="str">
        <f t="shared" si="142"/>
        <v>交通負荷抑制</v>
      </c>
      <c r="S167" s="1523">
        <f t="shared" si="152"/>
        <v>0.25</v>
      </c>
      <c r="T167" s="1523">
        <f t="shared" si="153"/>
        <v>0.25</v>
      </c>
      <c r="U167" s="1523">
        <f t="shared" si="154"/>
        <v>0.25</v>
      </c>
      <c r="V167" s="1523">
        <f t="shared" si="155"/>
        <v>0.25</v>
      </c>
      <c r="W167" s="1523">
        <f t="shared" si="156"/>
        <v>0.25</v>
      </c>
      <c r="X167" s="1523">
        <f t="shared" si="157"/>
        <v>0.25</v>
      </c>
      <c r="Y167" s="1523">
        <f t="shared" si="158"/>
        <v>0.25</v>
      </c>
      <c r="Z167" s="1523">
        <f t="shared" si="159"/>
        <v>0.25</v>
      </c>
      <c r="AA167" s="1523">
        <f t="shared" si="160"/>
        <v>0.25</v>
      </c>
      <c r="AB167" s="1523">
        <f t="shared" si="161"/>
        <v>0.25</v>
      </c>
      <c r="AC167" s="1562">
        <f t="shared" si="149"/>
        <v>0</v>
      </c>
      <c r="AD167" s="1561">
        <f t="shared" si="150"/>
        <v>0</v>
      </c>
      <c r="AE167" s="1561">
        <f t="shared" si="151"/>
        <v>0</v>
      </c>
      <c r="AG167" s="1530" t="s">
        <v>1460</v>
      </c>
      <c r="AH167" s="1593" t="s">
        <v>336</v>
      </c>
      <c r="AI167" s="1594" t="s">
        <v>1010</v>
      </c>
      <c r="AJ167" s="1523">
        <v>0.25</v>
      </c>
      <c r="AK167" s="1523">
        <v>0.25</v>
      </c>
      <c r="AL167" s="1523">
        <v>0.25</v>
      </c>
      <c r="AM167" s="1523">
        <v>0.25</v>
      </c>
      <c r="AN167" s="1523">
        <v>0.25</v>
      </c>
      <c r="AO167" s="1523">
        <v>0.25</v>
      </c>
      <c r="AP167" s="1523">
        <v>0.25</v>
      </c>
      <c r="AQ167" s="1523">
        <v>0.25</v>
      </c>
      <c r="AR167" s="1523">
        <v>0.25</v>
      </c>
      <c r="AS167" s="1523">
        <v>0.25</v>
      </c>
      <c r="AT167" s="1988"/>
      <c r="AU167" s="1987"/>
      <c r="AV167" s="1987"/>
      <c r="AX167" s="1530" t="s">
        <v>1460</v>
      </c>
      <c r="AY167" s="1593" t="s">
        <v>336</v>
      </c>
      <c r="AZ167" s="1594" t="s">
        <v>1010</v>
      </c>
      <c r="BA167" s="1523">
        <v>0.25</v>
      </c>
      <c r="BB167" s="1523">
        <v>0.25</v>
      </c>
      <c r="BC167" s="1523">
        <v>0.25</v>
      </c>
      <c r="BD167" s="1523">
        <v>0.25</v>
      </c>
      <c r="BE167" s="1523">
        <v>0.25</v>
      </c>
      <c r="BF167" s="1523">
        <v>0.25</v>
      </c>
      <c r="BG167" s="1523">
        <v>0.25</v>
      </c>
      <c r="BH167" s="1523">
        <v>0.25</v>
      </c>
      <c r="BI167" s="1523">
        <v>0.25</v>
      </c>
      <c r="BJ167" s="1523">
        <v>0.25</v>
      </c>
      <c r="BK167" s="1988"/>
      <c r="BL167" s="1987"/>
      <c r="BM167" s="1987"/>
      <c r="BO167" s="1530" t="s">
        <v>1510</v>
      </c>
      <c r="BP167" s="1593" t="s">
        <v>336</v>
      </c>
      <c r="BQ167" s="1594" t="s">
        <v>1010</v>
      </c>
      <c r="BR167" s="1523">
        <v>0.25</v>
      </c>
      <c r="BS167" s="1523">
        <v>0.25</v>
      </c>
      <c r="BT167" s="1523">
        <v>0.25</v>
      </c>
      <c r="BU167" s="1523">
        <v>0.25</v>
      </c>
      <c r="BV167" s="1523">
        <v>0.25</v>
      </c>
      <c r="BW167" s="1523">
        <v>0.25</v>
      </c>
      <c r="BX167" s="1523">
        <v>0.25</v>
      </c>
      <c r="BY167" s="1523">
        <v>0.25</v>
      </c>
      <c r="BZ167" s="1523">
        <v>0.25</v>
      </c>
      <c r="CA167" s="1523">
        <v>0.25</v>
      </c>
      <c r="CB167" s="1988"/>
      <c r="CC167" s="1987"/>
      <c r="CD167" s="1987"/>
    </row>
    <row r="168" spans="1:83">
      <c r="B168" s="1497" t="str">
        <f t="shared" si="143"/>
        <v>2.3.4</v>
      </c>
      <c r="C168" s="1634" t="str">
        <f t="shared" si="140"/>
        <v>廃棄物処理負荷抑制</v>
      </c>
      <c r="D168" s="1616">
        <f t="shared" si="165"/>
        <v>0.25</v>
      </c>
      <c r="E168" s="1616">
        <f t="shared" si="165"/>
        <v>0</v>
      </c>
      <c r="G168" s="1591">
        <f t="shared" si="138"/>
        <v>0.25000000000000006</v>
      </c>
      <c r="H168" s="1591">
        <f t="shared" si="139"/>
        <v>0</v>
      </c>
      <c r="I168" s="1591"/>
      <c r="J168" s="1591"/>
      <c r="K168" s="1591">
        <f>IF(スコア表示!W168=0,0,1)</f>
        <v>1</v>
      </c>
      <c r="L168" s="1591">
        <f>IF(スコア表示!AA168=0,0,1)</f>
        <v>0</v>
      </c>
      <c r="M168" s="1591">
        <f t="shared" si="141"/>
        <v>0.25000000000000006</v>
      </c>
      <c r="N168" s="1591">
        <f t="shared" si="145"/>
        <v>0</v>
      </c>
      <c r="P168" s="1530" t="str">
        <f t="shared" si="146"/>
        <v>2.3.4</v>
      </c>
      <c r="Q168" s="1593" t="str">
        <f t="shared" si="147"/>
        <v>LR3 2.3</v>
      </c>
      <c r="R168" s="1595" t="str">
        <f t="shared" si="142"/>
        <v>廃棄物処理負荷抑制</v>
      </c>
      <c r="S168" s="1523">
        <f t="shared" si="152"/>
        <v>0.25</v>
      </c>
      <c r="T168" s="1523">
        <f t="shared" si="153"/>
        <v>0.25</v>
      </c>
      <c r="U168" s="1523">
        <f t="shared" si="154"/>
        <v>0.25</v>
      </c>
      <c r="V168" s="1523">
        <f t="shared" si="155"/>
        <v>0.25</v>
      </c>
      <c r="W168" s="1523">
        <f t="shared" si="156"/>
        <v>0.25</v>
      </c>
      <c r="X168" s="1523">
        <f t="shared" si="157"/>
        <v>0.25</v>
      </c>
      <c r="Y168" s="1523">
        <f t="shared" si="158"/>
        <v>0.25</v>
      </c>
      <c r="Z168" s="1523">
        <f t="shared" si="159"/>
        <v>0.25</v>
      </c>
      <c r="AA168" s="1523">
        <f t="shared" si="160"/>
        <v>0.25</v>
      </c>
      <c r="AB168" s="1523">
        <f t="shared" si="161"/>
        <v>0.25</v>
      </c>
      <c r="AC168" s="1562">
        <f t="shared" si="149"/>
        <v>0</v>
      </c>
      <c r="AD168" s="1561">
        <f t="shared" si="150"/>
        <v>0</v>
      </c>
      <c r="AE168" s="1561">
        <f t="shared" si="151"/>
        <v>0</v>
      </c>
      <c r="AG168" s="1530" t="s">
        <v>1461</v>
      </c>
      <c r="AH168" s="1593" t="s">
        <v>336</v>
      </c>
      <c r="AI168" s="1595" t="s">
        <v>1011</v>
      </c>
      <c r="AJ168" s="1523">
        <v>0.25</v>
      </c>
      <c r="AK168" s="1523">
        <v>0.25</v>
      </c>
      <c r="AL168" s="1523">
        <v>0.25</v>
      </c>
      <c r="AM168" s="1523">
        <v>0.25</v>
      </c>
      <c r="AN168" s="1523">
        <v>0.25</v>
      </c>
      <c r="AO168" s="1523">
        <v>0.25</v>
      </c>
      <c r="AP168" s="1523">
        <v>0.25</v>
      </c>
      <c r="AQ168" s="1523">
        <v>0.25</v>
      </c>
      <c r="AR168" s="1523">
        <v>0.25</v>
      </c>
      <c r="AS168" s="1523">
        <v>0.25</v>
      </c>
      <c r="AT168" s="1988"/>
      <c r="AU168" s="1987"/>
      <c r="AV168" s="1987"/>
      <c r="AX168" s="1530" t="s">
        <v>1461</v>
      </c>
      <c r="AY168" s="1593" t="s">
        <v>336</v>
      </c>
      <c r="AZ168" s="1595" t="s">
        <v>1011</v>
      </c>
      <c r="BA168" s="1523">
        <v>0.25</v>
      </c>
      <c r="BB168" s="1523">
        <v>0.25</v>
      </c>
      <c r="BC168" s="1523">
        <v>0.25</v>
      </c>
      <c r="BD168" s="1523">
        <v>0.25</v>
      </c>
      <c r="BE168" s="1523">
        <v>0.25</v>
      </c>
      <c r="BF168" s="1523">
        <v>0.25</v>
      </c>
      <c r="BG168" s="1523">
        <v>0.25</v>
      </c>
      <c r="BH168" s="1523">
        <v>0.25</v>
      </c>
      <c r="BI168" s="1523">
        <v>0.25</v>
      </c>
      <c r="BJ168" s="1523">
        <v>0.25</v>
      </c>
      <c r="BK168" s="1988"/>
      <c r="BL168" s="1987"/>
      <c r="BM168" s="1987"/>
      <c r="BO168" s="1530" t="s">
        <v>1511</v>
      </c>
      <c r="BP168" s="1593" t="s">
        <v>336</v>
      </c>
      <c r="BQ168" s="1595" t="s">
        <v>1011</v>
      </c>
      <c r="BR168" s="1523">
        <v>0.25</v>
      </c>
      <c r="BS168" s="1523">
        <v>0.25</v>
      </c>
      <c r="BT168" s="1523">
        <v>0.25</v>
      </c>
      <c r="BU168" s="1523">
        <v>0.25</v>
      </c>
      <c r="BV168" s="1523">
        <v>0.25</v>
      </c>
      <c r="BW168" s="1523">
        <v>0.25</v>
      </c>
      <c r="BX168" s="1523">
        <v>0.25</v>
      </c>
      <c r="BY168" s="1523">
        <v>0.25</v>
      </c>
      <c r="BZ168" s="1523">
        <v>0.25</v>
      </c>
      <c r="CA168" s="1523">
        <v>0.25</v>
      </c>
      <c r="CB168" s="1988"/>
      <c r="CC168" s="1987"/>
      <c r="CD168" s="1987"/>
    </row>
    <row r="169" spans="1:83" s="1505" customFormat="1">
      <c r="A169"/>
      <c r="B169" s="1497">
        <f t="shared" si="143"/>
        <v>3</v>
      </c>
      <c r="C169" s="1589" t="str">
        <f t="shared" si="140"/>
        <v>周辺環境への配慮</v>
      </c>
      <c r="D169" s="1962" t="e">
        <f>IF(I$159=0,0,G169/I$159)</f>
        <v>#VALUE!</v>
      </c>
      <c r="E169" s="1962">
        <f>IF(J$159=0,0,H169/J$159)</f>
        <v>0</v>
      </c>
      <c r="F169"/>
      <c r="G169" s="1643">
        <f t="shared" ref="G169:G180" si="166">K169*M169</f>
        <v>0.33333333333333337</v>
      </c>
      <c r="H169" s="1643">
        <f t="shared" ref="H169:H180" si="167">L169*N169</f>
        <v>0</v>
      </c>
      <c r="I169" s="1643">
        <f>G170+G174+G178</f>
        <v>1.0000000000000002</v>
      </c>
      <c r="J169" s="1643">
        <f>H170+H174+H178</f>
        <v>0</v>
      </c>
      <c r="K169" s="1643">
        <f>IF(スコア表示!W169=0,0,1)</f>
        <v>1</v>
      </c>
      <c r="L169" s="1643">
        <f>IF(スコア表示!AA169=0,0,1)</f>
        <v>0</v>
      </c>
      <c r="M169" s="1643">
        <f t="shared" si="141"/>
        <v>0.33333333333333337</v>
      </c>
      <c r="N169" s="1643">
        <f t="shared" si="145"/>
        <v>0</v>
      </c>
      <c r="O169"/>
      <c r="P169" s="2001">
        <f t="shared" si="146"/>
        <v>3</v>
      </c>
      <c r="Q169" s="1644" t="str">
        <f t="shared" si="147"/>
        <v>LR3</v>
      </c>
      <c r="R169" s="1680" t="str">
        <f t="shared" si="142"/>
        <v>周辺環境への配慮</v>
      </c>
      <c r="S169" s="1611">
        <f t="shared" si="152"/>
        <v>0.33333333333333331</v>
      </c>
      <c r="T169" s="1611">
        <f t="shared" si="153"/>
        <v>0.33333333333333331</v>
      </c>
      <c r="U169" s="1611">
        <f t="shared" si="154"/>
        <v>0.33333333333333331</v>
      </c>
      <c r="V169" s="1611">
        <f t="shared" si="155"/>
        <v>0.33333333333333331</v>
      </c>
      <c r="W169" s="1611">
        <f t="shared" si="156"/>
        <v>0.33333333333333331</v>
      </c>
      <c r="X169" s="1611">
        <f t="shared" si="157"/>
        <v>0.33333333333333331</v>
      </c>
      <c r="Y169" s="1611">
        <f t="shared" si="158"/>
        <v>0.33333333333333331</v>
      </c>
      <c r="Z169" s="1611">
        <f t="shared" si="159"/>
        <v>0.33333333333333331</v>
      </c>
      <c r="AA169" s="1611">
        <f t="shared" si="160"/>
        <v>0.33333333333333331</v>
      </c>
      <c r="AB169" s="1611">
        <f t="shared" si="161"/>
        <v>0.33333333333333331</v>
      </c>
      <c r="AC169" s="1559">
        <f t="shared" si="149"/>
        <v>0</v>
      </c>
      <c r="AD169" s="1510">
        <f t="shared" si="150"/>
        <v>0</v>
      </c>
      <c r="AE169" s="1510">
        <f t="shared" si="151"/>
        <v>0</v>
      </c>
      <c r="AF169"/>
      <c r="AG169" s="1541">
        <v>3</v>
      </c>
      <c r="AH169" s="1644" t="s">
        <v>334</v>
      </c>
      <c r="AI169" s="1680" t="s">
        <v>1012</v>
      </c>
      <c r="AJ169" s="1611">
        <v>0.33333333333333331</v>
      </c>
      <c r="AK169" s="1611">
        <v>0.33333333333333331</v>
      </c>
      <c r="AL169" s="1611">
        <v>0.33333333333333331</v>
      </c>
      <c r="AM169" s="1611">
        <v>0.33333333333333331</v>
      </c>
      <c r="AN169" s="1611">
        <v>0.33333333333333331</v>
      </c>
      <c r="AO169" s="1611">
        <v>0.33333333333333331</v>
      </c>
      <c r="AP169" s="1611">
        <v>0.33333333333333331</v>
      </c>
      <c r="AQ169" s="1611">
        <v>0.33333333333333331</v>
      </c>
      <c r="AR169" s="1611">
        <v>0.33333333333333331</v>
      </c>
      <c r="AS169" s="1611">
        <v>0.33333333333333331</v>
      </c>
      <c r="AT169" s="1963">
        <v>0</v>
      </c>
      <c r="AU169" s="1611">
        <v>0</v>
      </c>
      <c r="AV169" s="1611">
        <v>0</v>
      </c>
      <c r="AW169"/>
      <c r="AX169" s="1541">
        <v>3</v>
      </c>
      <c r="AY169" s="1644" t="s">
        <v>334</v>
      </c>
      <c r="AZ169" s="1680" t="s">
        <v>1012</v>
      </c>
      <c r="BA169" s="1611">
        <f t="shared" ref="BA169:BJ169" si="168">1/3</f>
        <v>0.33333333333333331</v>
      </c>
      <c r="BB169" s="1611">
        <f t="shared" si="168"/>
        <v>0.33333333333333331</v>
      </c>
      <c r="BC169" s="1611">
        <f t="shared" si="168"/>
        <v>0.33333333333333331</v>
      </c>
      <c r="BD169" s="1611">
        <f t="shared" si="168"/>
        <v>0.33333333333333331</v>
      </c>
      <c r="BE169" s="1611">
        <f t="shared" si="168"/>
        <v>0.33333333333333331</v>
      </c>
      <c r="BF169" s="1611">
        <f t="shared" si="168"/>
        <v>0.33333333333333331</v>
      </c>
      <c r="BG169" s="1611">
        <f t="shared" si="168"/>
        <v>0.33333333333333331</v>
      </c>
      <c r="BH169" s="1611">
        <f t="shared" si="168"/>
        <v>0.33333333333333331</v>
      </c>
      <c r="BI169" s="1611">
        <f t="shared" si="168"/>
        <v>0.33333333333333331</v>
      </c>
      <c r="BJ169" s="1611">
        <f t="shared" si="168"/>
        <v>0.33333333333333331</v>
      </c>
      <c r="BK169" s="1963"/>
      <c r="BL169" s="1611"/>
      <c r="BM169" s="1611"/>
      <c r="BN169"/>
      <c r="BO169" s="1541">
        <v>3</v>
      </c>
      <c r="BP169" s="1644" t="s">
        <v>334</v>
      </c>
      <c r="BQ169" s="1680" t="s">
        <v>1012</v>
      </c>
      <c r="BR169" s="1611">
        <f t="shared" ref="BR169:CA169" si="169">1/3</f>
        <v>0.33333333333333331</v>
      </c>
      <c r="BS169" s="1611">
        <f t="shared" si="169"/>
        <v>0.33333333333333331</v>
      </c>
      <c r="BT169" s="1611">
        <f t="shared" si="169"/>
        <v>0.33333333333333331</v>
      </c>
      <c r="BU169" s="1611">
        <f t="shared" si="169"/>
        <v>0.33333333333333331</v>
      </c>
      <c r="BV169" s="1611">
        <f t="shared" si="169"/>
        <v>0.33333333333333331</v>
      </c>
      <c r="BW169" s="1611">
        <f t="shared" si="169"/>
        <v>0.33333333333333331</v>
      </c>
      <c r="BX169" s="1611">
        <f t="shared" si="169"/>
        <v>0.33333333333333331</v>
      </c>
      <c r="BY169" s="1611">
        <f t="shared" si="169"/>
        <v>0.33333333333333331</v>
      </c>
      <c r="BZ169" s="1611">
        <f t="shared" si="169"/>
        <v>0.33333333333333331</v>
      </c>
      <c r="CA169" s="1611">
        <f t="shared" si="169"/>
        <v>0.33333333333333331</v>
      </c>
      <c r="CB169" s="1963"/>
      <c r="CC169" s="1611"/>
      <c r="CD169" s="1611"/>
      <c r="CE169"/>
    </row>
    <row r="170" spans="1:83">
      <c r="B170" s="1497" t="str">
        <f t="shared" si="143"/>
        <v>3.1</v>
      </c>
      <c r="C170" s="1634" t="str">
        <f t="shared" si="140"/>
        <v>騒音・振動・悪臭の防止</v>
      </c>
      <c r="D170" s="1616">
        <f>IF(I$169=0,0,G170/I$169)</f>
        <v>0.39999999999999997</v>
      </c>
      <c r="E170" s="1616">
        <f>IF(J$169=0,0,H170/J$169)</f>
        <v>0</v>
      </c>
      <c r="G170" s="1591">
        <f t="shared" si="166"/>
        <v>0.40000000000000008</v>
      </c>
      <c r="H170" s="1591">
        <f t="shared" si="167"/>
        <v>0</v>
      </c>
      <c r="I170" s="1591">
        <f>SUM(G171:G173)</f>
        <v>1</v>
      </c>
      <c r="J170" s="1591">
        <f>SUM(H171:H173)</f>
        <v>0</v>
      </c>
      <c r="K170" s="1591">
        <f>IF(スコア表示!W170=0,0,1)</f>
        <v>1</v>
      </c>
      <c r="L170" s="1591">
        <f>IF(スコア表示!AA170=0,0,1)</f>
        <v>0</v>
      </c>
      <c r="M170" s="1591">
        <f t="shared" si="141"/>
        <v>0.40000000000000008</v>
      </c>
      <c r="N170" s="1591">
        <f t="shared" si="145"/>
        <v>0</v>
      </c>
      <c r="P170" s="2002" t="str">
        <f t="shared" si="146"/>
        <v>3.1</v>
      </c>
      <c r="Q170" s="1593" t="str">
        <f t="shared" si="147"/>
        <v>LR3 3</v>
      </c>
      <c r="R170" s="1637" t="str">
        <f t="shared" si="142"/>
        <v>騒音・振動・悪臭の防止</v>
      </c>
      <c r="S170" s="1987">
        <f t="shared" si="152"/>
        <v>0.4</v>
      </c>
      <c r="T170" s="1987">
        <f t="shared" si="153"/>
        <v>0.4</v>
      </c>
      <c r="U170" s="1987">
        <f t="shared" si="154"/>
        <v>0.4</v>
      </c>
      <c r="V170" s="1987">
        <f t="shared" si="155"/>
        <v>0.4</v>
      </c>
      <c r="W170" s="1987">
        <f t="shared" si="156"/>
        <v>0.4</v>
      </c>
      <c r="X170" s="1987">
        <f t="shared" si="157"/>
        <v>0.4</v>
      </c>
      <c r="Y170" s="1987">
        <f t="shared" si="158"/>
        <v>0.4</v>
      </c>
      <c r="Z170" s="1987">
        <f t="shared" si="159"/>
        <v>0.4</v>
      </c>
      <c r="AA170" s="1987">
        <f t="shared" si="160"/>
        <v>0.4</v>
      </c>
      <c r="AB170" s="1987">
        <f t="shared" si="161"/>
        <v>0.4</v>
      </c>
      <c r="AC170" s="1562">
        <f t="shared" si="149"/>
        <v>0</v>
      </c>
      <c r="AD170" s="1561">
        <f t="shared" si="150"/>
        <v>0</v>
      </c>
      <c r="AE170" s="1561">
        <f t="shared" si="151"/>
        <v>0</v>
      </c>
      <c r="AG170" s="1530" t="s">
        <v>1401</v>
      </c>
      <c r="AH170" s="1593" t="s">
        <v>337</v>
      </c>
      <c r="AI170" s="1637" t="s">
        <v>1013</v>
      </c>
      <c r="AJ170" s="1987">
        <v>0.4</v>
      </c>
      <c r="AK170" s="1987">
        <v>0.4</v>
      </c>
      <c r="AL170" s="1987">
        <v>0.4</v>
      </c>
      <c r="AM170" s="1987">
        <v>0.4</v>
      </c>
      <c r="AN170" s="1987">
        <v>0.4</v>
      </c>
      <c r="AO170" s="1987">
        <v>0.4</v>
      </c>
      <c r="AP170" s="1987">
        <v>0.4</v>
      </c>
      <c r="AQ170" s="1987">
        <v>0.4</v>
      </c>
      <c r="AR170" s="1987">
        <v>0.4</v>
      </c>
      <c r="AS170" s="1987">
        <v>0.4</v>
      </c>
      <c r="AT170" s="1988"/>
      <c r="AU170" s="1987"/>
      <c r="AV170" s="1987"/>
      <c r="AX170" s="1530" t="s">
        <v>1401</v>
      </c>
      <c r="AY170" s="1593" t="s">
        <v>337</v>
      </c>
      <c r="AZ170" s="1637" t="s">
        <v>1013</v>
      </c>
      <c r="BA170" s="1987">
        <v>0.4</v>
      </c>
      <c r="BB170" s="1987">
        <v>0.4</v>
      </c>
      <c r="BC170" s="1987">
        <v>0.4</v>
      </c>
      <c r="BD170" s="1987">
        <v>0.4</v>
      </c>
      <c r="BE170" s="1987">
        <v>0.4</v>
      </c>
      <c r="BF170" s="1987">
        <v>0.4</v>
      </c>
      <c r="BG170" s="1987">
        <v>0.4</v>
      </c>
      <c r="BH170" s="1987">
        <v>0.4</v>
      </c>
      <c r="BI170" s="1987">
        <v>0.4</v>
      </c>
      <c r="BJ170" s="1987">
        <v>0.4</v>
      </c>
      <c r="BK170" s="1988"/>
      <c r="BL170" s="1987"/>
      <c r="BM170" s="1987"/>
      <c r="BO170" s="1530" t="s">
        <v>1512</v>
      </c>
      <c r="BP170" s="1593" t="s">
        <v>337</v>
      </c>
      <c r="BQ170" s="1637" t="s">
        <v>1013</v>
      </c>
      <c r="BR170" s="1987">
        <v>0.4</v>
      </c>
      <c r="BS170" s="1987">
        <v>0.4</v>
      </c>
      <c r="BT170" s="1987">
        <v>0.4</v>
      </c>
      <c r="BU170" s="1987">
        <v>0.4</v>
      </c>
      <c r="BV170" s="1987">
        <v>0.4</v>
      </c>
      <c r="BW170" s="1987">
        <v>0.4</v>
      </c>
      <c r="BX170" s="1987">
        <v>0.4</v>
      </c>
      <c r="BY170" s="1987">
        <v>0.4</v>
      </c>
      <c r="BZ170" s="1987">
        <v>0.4</v>
      </c>
      <c r="CA170" s="1987">
        <v>0.4</v>
      </c>
      <c r="CB170" s="1988"/>
      <c r="CC170" s="1987"/>
      <c r="CD170" s="1987"/>
    </row>
    <row r="171" spans="1:83">
      <c r="B171" s="1497" t="str">
        <f t="shared" si="143"/>
        <v>3.1.1</v>
      </c>
      <c r="C171" s="1541" t="str">
        <f t="shared" si="140"/>
        <v>騒音</v>
      </c>
      <c r="D171" s="1616">
        <f t="shared" ref="D171:E173" si="170">IF(I$170=0,0,G171/I$170)</f>
        <v>0.33333333333333337</v>
      </c>
      <c r="E171" s="1616">
        <f t="shared" si="170"/>
        <v>0</v>
      </c>
      <c r="G171" s="1591">
        <f t="shared" si="166"/>
        <v>0.33333333333333337</v>
      </c>
      <c r="H171" s="1591">
        <f t="shared" si="167"/>
        <v>0</v>
      </c>
      <c r="I171" s="1591"/>
      <c r="J171" s="1591"/>
      <c r="K171" s="1591">
        <f>IF(スコア表示!W171=0,0,1)</f>
        <v>1</v>
      </c>
      <c r="L171" s="1591">
        <f>IF(スコア表示!AA171=0,0,1)</f>
        <v>0</v>
      </c>
      <c r="M171" s="1591">
        <f t="shared" si="141"/>
        <v>0.33333333333333337</v>
      </c>
      <c r="N171" s="1591">
        <f t="shared" si="145"/>
        <v>0</v>
      </c>
      <c r="P171" s="1530" t="str">
        <f t="shared" si="146"/>
        <v>3.1.1</v>
      </c>
      <c r="Q171" s="1547" t="str">
        <f t="shared" si="147"/>
        <v>LR3 3.1</v>
      </c>
      <c r="R171" s="1637" t="str">
        <f t="shared" si="142"/>
        <v>騒音</v>
      </c>
      <c r="S171" s="1523">
        <f t="shared" si="152"/>
        <v>0.33333333333333331</v>
      </c>
      <c r="T171" s="1523">
        <f t="shared" si="153"/>
        <v>0.33333333333333331</v>
      </c>
      <c r="U171" s="1523">
        <f t="shared" si="154"/>
        <v>0.33333333333333331</v>
      </c>
      <c r="V171" s="1523">
        <f t="shared" si="155"/>
        <v>0.33333333333333331</v>
      </c>
      <c r="W171" s="1523">
        <f t="shared" si="156"/>
        <v>0.33333333333333331</v>
      </c>
      <c r="X171" s="1523">
        <f t="shared" si="157"/>
        <v>0.33333333333333331</v>
      </c>
      <c r="Y171" s="1523">
        <f t="shared" si="158"/>
        <v>0.33333333333333331</v>
      </c>
      <c r="Z171" s="1523">
        <f t="shared" si="159"/>
        <v>0.33333333333333331</v>
      </c>
      <c r="AA171" s="1523">
        <f t="shared" si="160"/>
        <v>0.33333333333333331</v>
      </c>
      <c r="AB171" s="1523">
        <f t="shared" si="161"/>
        <v>0.33333333333333331</v>
      </c>
      <c r="AC171" s="1519">
        <f t="shared" si="149"/>
        <v>0</v>
      </c>
      <c r="AD171" s="1518">
        <f t="shared" si="150"/>
        <v>0</v>
      </c>
      <c r="AE171" s="1518">
        <f t="shared" si="151"/>
        <v>0</v>
      </c>
      <c r="AG171" s="1530" t="s">
        <v>1462</v>
      </c>
      <c r="AH171" s="1547" t="s">
        <v>338</v>
      </c>
      <c r="AI171" s="1637" t="s">
        <v>1014</v>
      </c>
      <c r="AJ171" s="1523">
        <v>0.33333333333333331</v>
      </c>
      <c r="AK171" s="1523">
        <v>0.33333333333333331</v>
      </c>
      <c r="AL171" s="1523">
        <v>0.33333333333333331</v>
      </c>
      <c r="AM171" s="1523">
        <v>0.33333333333333331</v>
      </c>
      <c r="AN171" s="1523">
        <v>0.33333333333333331</v>
      </c>
      <c r="AO171" s="1523">
        <v>0.33333333333333331</v>
      </c>
      <c r="AP171" s="1523">
        <v>0.33333333333333331</v>
      </c>
      <c r="AQ171" s="1523">
        <v>0.33333333333333331</v>
      </c>
      <c r="AR171" s="1523">
        <v>0.33333333333333331</v>
      </c>
      <c r="AS171" s="1523">
        <v>0.33333333333333331</v>
      </c>
      <c r="AT171" s="1525"/>
      <c r="AU171" s="1523"/>
      <c r="AV171" s="1523"/>
      <c r="AX171" s="1530" t="s">
        <v>1462</v>
      </c>
      <c r="AY171" s="1547" t="s">
        <v>338</v>
      </c>
      <c r="AZ171" s="1637" t="s">
        <v>1014</v>
      </c>
      <c r="BA171" s="1523">
        <v>0.33333333333333331</v>
      </c>
      <c r="BB171" s="1523">
        <v>0.33333333333333331</v>
      </c>
      <c r="BC171" s="1523">
        <v>0.33333333333333331</v>
      </c>
      <c r="BD171" s="1523">
        <v>0.33333333333333331</v>
      </c>
      <c r="BE171" s="1523">
        <v>0.33333333333333331</v>
      </c>
      <c r="BF171" s="1523">
        <v>0.33333333333333331</v>
      </c>
      <c r="BG171" s="1523">
        <v>0.33333333333333331</v>
      </c>
      <c r="BH171" s="1523">
        <v>0.33333333333333331</v>
      </c>
      <c r="BI171" s="1523">
        <v>0.33333333333333331</v>
      </c>
      <c r="BJ171" s="1523">
        <v>0.33333333333333331</v>
      </c>
      <c r="BK171" s="1523"/>
      <c r="BL171" s="1523"/>
      <c r="BM171" s="1523"/>
      <c r="BO171" s="1530" t="s">
        <v>1513</v>
      </c>
      <c r="BP171" s="1547" t="s">
        <v>338</v>
      </c>
      <c r="BQ171" s="1637" t="s">
        <v>1014</v>
      </c>
      <c r="BR171" s="1523">
        <v>0.33333333333333331</v>
      </c>
      <c r="BS171" s="1523">
        <v>0.33333333333333331</v>
      </c>
      <c r="BT171" s="1523">
        <v>0.33333333333333331</v>
      </c>
      <c r="BU171" s="1523">
        <v>0.33333333333333331</v>
      </c>
      <c r="BV171" s="1523">
        <v>0.33333333333333331</v>
      </c>
      <c r="BW171" s="1523">
        <v>0.33333333333333331</v>
      </c>
      <c r="BX171" s="1523">
        <v>0.33333333333333331</v>
      </c>
      <c r="BY171" s="1523">
        <v>0.33333333333333331</v>
      </c>
      <c r="BZ171" s="1523">
        <v>0.33333333333333331</v>
      </c>
      <c r="CA171" s="1523">
        <v>0.33333333333333331</v>
      </c>
      <c r="CB171" s="1523"/>
      <c r="CC171" s="1523"/>
      <c r="CD171" s="1523"/>
    </row>
    <row r="172" spans="1:83">
      <c r="B172" s="1497" t="str">
        <f t="shared" si="143"/>
        <v>3.1.2</v>
      </c>
      <c r="C172" s="1634" t="str">
        <f t="shared" si="140"/>
        <v>振動</v>
      </c>
      <c r="D172" s="1616">
        <f t="shared" si="170"/>
        <v>0.33333333333333337</v>
      </c>
      <c r="E172" s="1616">
        <f t="shared" si="170"/>
        <v>0</v>
      </c>
      <c r="G172" s="1591">
        <f t="shared" si="166"/>
        <v>0.33333333333333337</v>
      </c>
      <c r="H172" s="1591">
        <f t="shared" si="167"/>
        <v>0</v>
      </c>
      <c r="I172" s="1591"/>
      <c r="J172" s="1591"/>
      <c r="K172" s="1591">
        <f>IF(スコア表示!W172=0,0,1)</f>
        <v>1</v>
      </c>
      <c r="L172" s="1591">
        <f>IF(スコア表示!AA172=0,0,1)</f>
        <v>0</v>
      </c>
      <c r="M172" s="1591">
        <f t="shared" si="141"/>
        <v>0.33333333333333337</v>
      </c>
      <c r="N172" s="1591">
        <f t="shared" si="145"/>
        <v>0</v>
      </c>
      <c r="P172" s="1530" t="str">
        <f t="shared" si="146"/>
        <v>3.1.2</v>
      </c>
      <c r="Q172" s="1547" t="str">
        <f t="shared" si="147"/>
        <v>LR3 3.1</v>
      </c>
      <c r="R172" s="1637" t="str">
        <f t="shared" si="142"/>
        <v>振動</v>
      </c>
      <c r="S172" s="1523">
        <f t="shared" si="152"/>
        <v>0.33333333333333331</v>
      </c>
      <c r="T172" s="1523">
        <f t="shared" si="153"/>
        <v>0.33333333333333331</v>
      </c>
      <c r="U172" s="1523">
        <f t="shared" si="154"/>
        <v>0.33333333333333331</v>
      </c>
      <c r="V172" s="1523">
        <f t="shared" si="155"/>
        <v>0.33333333333333331</v>
      </c>
      <c r="W172" s="1523">
        <f t="shared" si="156"/>
        <v>0.33333333333333331</v>
      </c>
      <c r="X172" s="1523">
        <f t="shared" si="157"/>
        <v>0.33333333333333331</v>
      </c>
      <c r="Y172" s="1523">
        <f t="shared" si="158"/>
        <v>0.33333333333333331</v>
      </c>
      <c r="Z172" s="1523">
        <f t="shared" si="159"/>
        <v>0.33333333333333331</v>
      </c>
      <c r="AA172" s="1523">
        <f t="shared" si="160"/>
        <v>0.33333333333333331</v>
      </c>
      <c r="AB172" s="1523">
        <f t="shared" si="161"/>
        <v>0.33333333333333331</v>
      </c>
      <c r="AC172" s="1519">
        <f t="shared" si="149"/>
        <v>0</v>
      </c>
      <c r="AD172" s="1518">
        <f t="shared" si="150"/>
        <v>0</v>
      </c>
      <c r="AE172" s="1518">
        <f t="shared" si="151"/>
        <v>0</v>
      </c>
      <c r="AG172" s="1530" t="s">
        <v>1332</v>
      </c>
      <c r="AH172" s="1547" t="s">
        <v>338</v>
      </c>
      <c r="AI172" s="1637" t="s">
        <v>1015</v>
      </c>
      <c r="AJ172" s="1523">
        <v>0.33333333333333331</v>
      </c>
      <c r="AK172" s="1523">
        <v>0.33333333333333331</v>
      </c>
      <c r="AL172" s="1523">
        <v>0.33333333333333331</v>
      </c>
      <c r="AM172" s="1523">
        <v>0.33333333333333331</v>
      </c>
      <c r="AN172" s="1523">
        <v>0.33333333333333331</v>
      </c>
      <c r="AO172" s="1523">
        <v>0.33333333333333331</v>
      </c>
      <c r="AP172" s="1523">
        <v>0.33333333333333331</v>
      </c>
      <c r="AQ172" s="1523">
        <v>0.33333333333333331</v>
      </c>
      <c r="AR172" s="1523">
        <v>0.33333333333333331</v>
      </c>
      <c r="AS172" s="1523">
        <v>0.33333333333333331</v>
      </c>
      <c r="AT172" s="1525"/>
      <c r="AU172" s="1523"/>
      <c r="AV172" s="1523"/>
      <c r="AX172" s="1530" t="s">
        <v>1332</v>
      </c>
      <c r="AY172" s="1547" t="s">
        <v>338</v>
      </c>
      <c r="AZ172" s="1637" t="s">
        <v>1015</v>
      </c>
      <c r="BA172" s="1523">
        <v>0.33333333333333331</v>
      </c>
      <c r="BB172" s="1523">
        <v>0.33333333333333331</v>
      </c>
      <c r="BC172" s="1523">
        <v>0.33333333333333331</v>
      </c>
      <c r="BD172" s="1523">
        <v>0.33333333333333331</v>
      </c>
      <c r="BE172" s="1523">
        <v>0.33333333333333331</v>
      </c>
      <c r="BF172" s="1523">
        <v>0.33333333333333331</v>
      </c>
      <c r="BG172" s="1523">
        <v>0.33333333333333331</v>
      </c>
      <c r="BH172" s="1523">
        <v>0.33333333333333331</v>
      </c>
      <c r="BI172" s="1523">
        <v>0.33333333333333331</v>
      </c>
      <c r="BJ172" s="1523">
        <v>0.33333333333333331</v>
      </c>
      <c r="BK172" s="1523"/>
      <c r="BL172" s="1523"/>
      <c r="BM172" s="1523"/>
      <c r="BO172" s="1530" t="s">
        <v>1514</v>
      </c>
      <c r="BP172" s="1547" t="s">
        <v>338</v>
      </c>
      <c r="BQ172" s="1637" t="s">
        <v>1015</v>
      </c>
      <c r="BR172" s="1523">
        <v>0.33333333333333331</v>
      </c>
      <c r="BS172" s="1523">
        <v>0.33333333333333331</v>
      </c>
      <c r="BT172" s="1523">
        <v>0.33333333333333331</v>
      </c>
      <c r="BU172" s="1523">
        <v>0.33333333333333331</v>
      </c>
      <c r="BV172" s="1523">
        <v>0.33333333333333331</v>
      </c>
      <c r="BW172" s="1523">
        <v>0.33333333333333331</v>
      </c>
      <c r="BX172" s="1523">
        <v>0.33333333333333331</v>
      </c>
      <c r="BY172" s="1523">
        <v>0.33333333333333331</v>
      </c>
      <c r="BZ172" s="1523">
        <v>0.33333333333333331</v>
      </c>
      <c r="CA172" s="1523">
        <v>0.33333333333333331</v>
      </c>
      <c r="CB172" s="1523"/>
      <c r="CC172" s="1523"/>
      <c r="CD172" s="1523"/>
    </row>
    <row r="173" spans="1:83">
      <c r="B173" s="1497" t="str">
        <f t="shared" si="143"/>
        <v>3.1.3</v>
      </c>
      <c r="C173" s="1634" t="str">
        <f t="shared" ref="C173:C180" si="171">R173</f>
        <v>悪臭</v>
      </c>
      <c r="D173" s="1616">
        <f t="shared" si="170"/>
        <v>0.33333333333333337</v>
      </c>
      <c r="E173" s="1616">
        <f t="shared" si="170"/>
        <v>0</v>
      </c>
      <c r="G173" s="1591">
        <f t="shared" si="166"/>
        <v>0.33333333333333337</v>
      </c>
      <c r="H173" s="1591">
        <f t="shared" si="167"/>
        <v>0</v>
      </c>
      <c r="I173" s="1591"/>
      <c r="J173" s="1591"/>
      <c r="K173" s="1591">
        <f>IF(スコア表示!W173=0,0,1)</f>
        <v>1</v>
      </c>
      <c r="L173" s="1591">
        <f>IF(スコア表示!AA173=0,0,1)</f>
        <v>0</v>
      </c>
      <c r="M173" s="1591">
        <f t="shared" ref="M173:M180" si="172">SUMPRODUCT($S$7:$AB$7,S173:AB173)</f>
        <v>0.33333333333333337</v>
      </c>
      <c r="N173" s="1591">
        <f t="shared" si="145"/>
        <v>0</v>
      </c>
      <c r="P173" s="1530" t="str">
        <f t="shared" si="146"/>
        <v>3.1.3</v>
      </c>
      <c r="Q173" s="1547" t="str">
        <f t="shared" si="147"/>
        <v>LR3 3.1</v>
      </c>
      <c r="R173" s="1637" t="str">
        <f t="shared" ref="R173:R180" si="173">AI173</f>
        <v>悪臭</v>
      </c>
      <c r="S173" s="1523">
        <f t="shared" si="152"/>
        <v>0.33333333333333331</v>
      </c>
      <c r="T173" s="1523">
        <f t="shared" si="153"/>
        <v>0.33333333333333331</v>
      </c>
      <c r="U173" s="1523">
        <f t="shared" si="154"/>
        <v>0.33333333333333331</v>
      </c>
      <c r="V173" s="1523">
        <f t="shared" si="155"/>
        <v>0.33333333333333331</v>
      </c>
      <c r="W173" s="1523">
        <f t="shared" si="156"/>
        <v>0.33333333333333331</v>
      </c>
      <c r="X173" s="1523">
        <f t="shared" si="157"/>
        <v>0.33333333333333331</v>
      </c>
      <c r="Y173" s="1523">
        <f t="shared" si="158"/>
        <v>0.33333333333333331</v>
      </c>
      <c r="Z173" s="1523">
        <f t="shared" si="159"/>
        <v>0.33333333333333331</v>
      </c>
      <c r="AA173" s="1523">
        <f t="shared" si="160"/>
        <v>0.33333333333333331</v>
      </c>
      <c r="AB173" s="1523">
        <f t="shared" si="161"/>
        <v>0.33333333333333331</v>
      </c>
      <c r="AC173" s="1519">
        <f t="shared" si="149"/>
        <v>0</v>
      </c>
      <c r="AD173" s="1518">
        <f t="shared" si="150"/>
        <v>0</v>
      </c>
      <c r="AE173" s="1518">
        <f t="shared" si="151"/>
        <v>0</v>
      </c>
      <c r="AG173" s="1530" t="s">
        <v>1463</v>
      </c>
      <c r="AH173" s="1547" t="s">
        <v>338</v>
      </c>
      <c r="AI173" s="1637" t="s">
        <v>850</v>
      </c>
      <c r="AJ173" s="1523">
        <v>0.33333333333333331</v>
      </c>
      <c r="AK173" s="1523">
        <v>0.33333333333333331</v>
      </c>
      <c r="AL173" s="1523">
        <v>0.33333333333333331</v>
      </c>
      <c r="AM173" s="1523">
        <v>0.33333333333333331</v>
      </c>
      <c r="AN173" s="1523">
        <v>0.33333333333333331</v>
      </c>
      <c r="AO173" s="1523">
        <v>0.33333333333333331</v>
      </c>
      <c r="AP173" s="1523">
        <v>0.33333333333333331</v>
      </c>
      <c r="AQ173" s="1523">
        <v>0.33333333333333331</v>
      </c>
      <c r="AR173" s="1523">
        <v>0.33333333333333331</v>
      </c>
      <c r="AS173" s="1523">
        <v>0.33333333333333331</v>
      </c>
      <c r="AT173" s="1525"/>
      <c r="AU173" s="1523"/>
      <c r="AV173" s="1523"/>
      <c r="AX173" s="1530" t="s">
        <v>1463</v>
      </c>
      <c r="AY173" s="1547" t="s">
        <v>338</v>
      </c>
      <c r="AZ173" s="1637" t="s">
        <v>850</v>
      </c>
      <c r="BA173" s="1523">
        <v>0.33333333333333331</v>
      </c>
      <c r="BB173" s="1523">
        <v>0.33333333333333331</v>
      </c>
      <c r="BC173" s="1523">
        <v>0.33333333333333331</v>
      </c>
      <c r="BD173" s="1523">
        <v>0.33333333333333331</v>
      </c>
      <c r="BE173" s="1523">
        <v>0.33333333333333331</v>
      </c>
      <c r="BF173" s="1523">
        <v>0.33333333333333331</v>
      </c>
      <c r="BG173" s="1523">
        <v>0.33333333333333331</v>
      </c>
      <c r="BH173" s="1523">
        <v>0.33333333333333331</v>
      </c>
      <c r="BI173" s="1523">
        <v>0.33333333333333331</v>
      </c>
      <c r="BJ173" s="1523">
        <v>0.33333333333333331</v>
      </c>
      <c r="BK173" s="1523"/>
      <c r="BL173" s="1523"/>
      <c r="BM173" s="1523"/>
      <c r="BO173" s="1530" t="s">
        <v>1515</v>
      </c>
      <c r="BP173" s="1547" t="s">
        <v>338</v>
      </c>
      <c r="BQ173" s="1637" t="s">
        <v>850</v>
      </c>
      <c r="BR173" s="1523">
        <v>0.33333333333333331</v>
      </c>
      <c r="BS173" s="1523">
        <v>0.33333333333333331</v>
      </c>
      <c r="BT173" s="1523">
        <v>0.33333333333333331</v>
      </c>
      <c r="BU173" s="1523">
        <v>0.33333333333333331</v>
      </c>
      <c r="BV173" s="1523">
        <v>0.33333333333333331</v>
      </c>
      <c r="BW173" s="1523">
        <v>0.33333333333333331</v>
      </c>
      <c r="BX173" s="1523">
        <v>0.33333333333333331</v>
      </c>
      <c r="BY173" s="1523">
        <v>0.33333333333333331</v>
      </c>
      <c r="BZ173" s="1523">
        <v>0.33333333333333331</v>
      </c>
      <c r="CA173" s="1523">
        <v>0.33333333333333331</v>
      </c>
      <c r="CB173" s="1523"/>
      <c r="CC173" s="1523"/>
      <c r="CD173" s="1523"/>
    </row>
    <row r="174" spans="1:83">
      <c r="B174" s="1497" t="str">
        <f t="shared" si="143"/>
        <v>3.2</v>
      </c>
      <c r="C174" s="1634" t="str">
        <f t="shared" si="171"/>
        <v>風害、日照阻害の抑制</v>
      </c>
      <c r="D174" s="1616">
        <f>IF(I$169=0,0,G174/I$169)</f>
        <v>0.39999999999999997</v>
      </c>
      <c r="E174" s="1616">
        <f>IF(J$169=0,0,H174/J$169)</f>
        <v>0</v>
      </c>
      <c r="G174" s="1591">
        <f t="shared" si="166"/>
        <v>0.40000000000000008</v>
      </c>
      <c r="H174" s="1591">
        <f t="shared" si="167"/>
        <v>0</v>
      </c>
      <c r="I174" s="1591">
        <f>SUM(G175:G177)</f>
        <v>1</v>
      </c>
      <c r="J174" s="1591">
        <f>SUM(H175:H177)</f>
        <v>0</v>
      </c>
      <c r="K174" s="1591">
        <f>IF(スコア表示!W174=0,0,1)</f>
        <v>1</v>
      </c>
      <c r="L174" s="1591">
        <f>IF(スコア表示!AA174=0,0,1)</f>
        <v>0</v>
      </c>
      <c r="M174" s="1591">
        <f t="shared" si="172"/>
        <v>0.40000000000000008</v>
      </c>
      <c r="N174" s="1591">
        <f t="shared" si="145"/>
        <v>0</v>
      </c>
      <c r="P174" s="2002" t="str">
        <f t="shared" si="146"/>
        <v>3.2</v>
      </c>
      <c r="Q174" s="1593" t="str">
        <f t="shared" si="147"/>
        <v>LR3 3</v>
      </c>
      <c r="R174" s="1637" t="str">
        <f>AI174</f>
        <v>風害、日照阻害の抑制</v>
      </c>
      <c r="S174" s="1987">
        <f t="shared" si="152"/>
        <v>0.4</v>
      </c>
      <c r="T174" s="1987">
        <f t="shared" si="153"/>
        <v>0.4</v>
      </c>
      <c r="U174" s="1987">
        <f t="shared" si="154"/>
        <v>0.4</v>
      </c>
      <c r="V174" s="1987">
        <f t="shared" si="155"/>
        <v>0.4</v>
      </c>
      <c r="W174" s="1987">
        <f t="shared" si="156"/>
        <v>0.4</v>
      </c>
      <c r="X174" s="1987">
        <f t="shared" si="157"/>
        <v>0.4</v>
      </c>
      <c r="Y174" s="1987">
        <f t="shared" si="158"/>
        <v>0.4</v>
      </c>
      <c r="Z174" s="1987">
        <f t="shared" si="159"/>
        <v>0.4</v>
      </c>
      <c r="AA174" s="1987">
        <f t="shared" si="160"/>
        <v>0.4</v>
      </c>
      <c r="AB174" s="1987">
        <f t="shared" si="161"/>
        <v>0.4</v>
      </c>
      <c r="AC174" s="1562">
        <f t="shared" si="149"/>
        <v>0</v>
      </c>
      <c r="AD174" s="1561">
        <f t="shared" si="150"/>
        <v>0</v>
      </c>
      <c r="AE174" s="1561">
        <f t="shared" si="151"/>
        <v>0</v>
      </c>
      <c r="AG174" s="1530" t="s">
        <v>1405</v>
      </c>
      <c r="AH174" s="1593" t="s">
        <v>337</v>
      </c>
      <c r="AI174" s="1637" t="s">
        <v>1578</v>
      </c>
      <c r="AJ174" s="1987">
        <v>0.4</v>
      </c>
      <c r="AK174" s="1987">
        <v>0.4</v>
      </c>
      <c r="AL174" s="1987">
        <v>0.4</v>
      </c>
      <c r="AM174" s="1987">
        <v>0.4</v>
      </c>
      <c r="AN174" s="1987">
        <v>0.4</v>
      </c>
      <c r="AO174" s="1987">
        <v>0.4</v>
      </c>
      <c r="AP174" s="1987">
        <v>0.4</v>
      </c>
      <c r="AQ174" s="1987">
        <v>0.4</v>
      </c>
      <c r="AR174" s="1987">
        <v>0.4</v>
      </c>
      <c r="AS174" s="1987">
        <v>0.4</v>
      </c>
      <c r="AT174" s="1988"/>
      <c r="AU174" s="1987"/>
      <c r="AV174" s="1987"/>
      <c r="AX174" s="1530" t="s">
        <v>1405</v>
      </c>
      <c r="AY174" s="1593" t="s">
        <v>337</v>
      </c>
      <c r="AZ174" s="1637" t="s">
        <v>1464</v>
      </c>
      <c r="BA174" s="1987">
        <v>0.4</v>
      </c>
      <c r="BB174" s="1987">
        <v>0.4</v>
      </c>
      <c r="BC174" s="1987">
        <v>0.4</v>
      </c>
      <c r="BD174" s="1987">
        <v>0.4</v>
      </c>
      <c r="BE174" s="1987">
        <v>0.4</v>
      </c>
      <c r="BF174" s="1987">
        <v>0.4</v>
      </c>
      <c r="BG174" s="1987">
        <v>0.4</v>
      </c>
      <c r="BH174" s="1987">
        <v>0.4</v>
      </c>
      <c r="BI174" s="1987">
        <v>0.4</v>
      </c>
      <c r="BJ174" s="1987">
        <v>0.4</v>
      </c>
      <c r="BK174" s="1988"/>
      <c r="BL174" s="1987"/>
      <c r="BM174" s="1987"/>
      <c r="BO174" s="1530" t="s">
        <v>1516</v>
      </c>
      <c r="BP174" s="1593" t="s">
        <v>337</v>
      </c>
      <c r="BQ174" s="1637" t="s">
        <v>1464</v>
      </c>
      <c r="BR174" s="1987">
        <v>0.4</v>
      </c>
      <c r="BS174" s="1987">
        <v>0.4</v>
      </c>
      <c r="BT174" s="1987">
        <v>0.4</v>
      </c>
      <c r="BU174" s="1987">
        <v>0.4</v>
      </c>
      <c r="BV174" s="1987">
        <v>0.4</v>
      </c>
      <c r="BW174" s="1987">
        <v>0.4</v>
      </c>
      <c r="BX174" s="1987">
        <v>0.4</v>
      </c>
      <c r="BY174" s="1987">
        <v>0.4</v>
      </c>
      <c r="BZ174" s="1987">
        <v>0.4</v>
      </c>
      <c r="CA174" s="1987">
        <v>0.4</v>
      </c>
      <c r="CB174" s="1988"/>
      <c r="CC174" s="1987"/>
      <c r="CD174" s="1987"/>
    </row>
    <row r="175" spans="1:83">
      <c r="B175" s="1497" t="str">
        <f t="shared" ref="B175:B180" si="174">P175</f>
        <v>3.2.1</v>
      </c>
      <c r="C175" s="1634" t="str">
        <f t="shared" si="171"/>
        <v>風害の抑制</v>
      </c>
      <c r="D175" s="1616">
        <f t="shared" ref="D175:E177" si="175">IF(I$174=0,0,G175/I$174)</f>
        <v>0.70000000000000007</v>
      </c>
      <c r="E175" s="1616">
        <f t="shared" si="175"/>
        <v>0</v>
      </c>
      <c r="G175" s="1591">
        <f t="shared" si="166"/>
        <v>0.70000000000000007</v>
      </c>
      <c r="H175" s="1591">
        <f t="shared" si="167"/>
        <v>0</v>
      </c>
      <c r="I175" s="1591"/>
      <c r="J175" s="1591"/>
      <c r="K175" s="1591">
        <f>IF(スコア表示!W175=0,0,1)</f>
        <v>1</v>
      </c>
      <c r="L175" s="1591">
        <f>IF(スコア表示!AA175=0,0,1)</f>
        <v>0</v>
      </c>
      <c r="M175" s="1591">
        <f t="shared" si="172"/>
        <v>0.70000000000000007</v>
      </c>
      <c r="N175" s="1591">
        <f t="shared" si="145"/>
        <v>0</v>
      </c>
      <c r="P175" s="1530" t="str">
        <f t="shared" si="146"/>
        <v>3.2.1</v>
      </c>
      <c r="Q175" s="1593" t="str">
        <f t="shared" si="147"/>
        <v>LR3 3.2</v>
      </c>
      <c r="R175" s="1594" t="str">
        <f t="shared" si="173"/>
        <v>風害の抑制</v>
      </c>
      <c r="S175" s="1523">
        <f t="shared" si="152"/>
        <v>0.7</v>
      </c>
      <c r="T175" s="1523">
        <f t="shared" si="153"/>
        <v>0.7</v>
      </c>
      <c r="U175" s="1523">
        <f t="shared" si="154"/>
        <v>0.7</v>
      </c>
      <c r="V175" s="1523">
        <f t="shared" si="155"/>
        <v>0.7</v>
      </c>
      <c r="W175" s="1523">
        <f t="shared" si="156"/>
        <v>0.7</v>
      </c>
      <c r="X175" s="1523">
        <f t="shared" si="157"/>
        <v>0.7</v>
      </c>
      <c r="Y175" s="1523">
        <f t="shared" si="158"/>
        <v>0.7</v>
      </c>
      <c r="Z175" s="1523">
        <f t="shared" si="159"/>
        <v>0.7</v>
      </c>
      <c r="AA175" s="1523">
        <f t="shared" si="160"/>
        <v>0.7</v>
      </c>
      <c r="AB175" s="1523">
        <f t="shared" si="161"/>
        <v>0.6</v>
      </c>
      <c r="AC175" s="1562">
        <f t="shared" si="149"/>
        <v>0</v>
      </c>
      <c r="AD175" s="1561">
        <f t="shared" si="150"/>
        <v>0</v>
      </c>
      <c r="AE175" s="1561">
        <f t="shared" si="151"/>
        <v>0</v>
      </c>
      <c r="AG175" s="1530" t="s">
        <v>1335</v>
      </c>
      <c r="AH175" s="1593" t="s">
        <v>339</v>
      </c>
      <c r="AI175" s="1594" t="s">
        <v>1465</v>
      </c>
      <c r="AJ175" s="1523">
        <v>0.7</v>
      </c>
      <c r="AK175" s="1523">
        <v>0.7</v>
      </c>
      <c r="AL175" s="1523">
        <v>0.7</v>
      </c>
      <c r="AM175" s="1523">
        <v>0.7</v>
      </c>
      <c r="AN175" s="1523">
        <v>0.7</v>
      </c>
      <c r="AO175" s="1523">
        <v>0.7</v>
      </c>
      <c r="AP175" s="1523">
        <v>0.7</v>
      </c>
      <c r="AQ175" s="1523">
        <v>0.7</v>
      </c>
      <c r="AR175" s="1523">
        <v>0.7</v>
      </c>
      <c r="AS175" s="2254">
        <v>0.6</v>
      </c>
      <c r="AT175" s="1988"/>
      <c r="AU175" s="1987"/>
      <c r="AV175" s="1987"/>
      <c r="AX175" s="1530" t="s">
        <v>1335</v>
      </c>
      <c r="AY175" s="1593" t="s">
        <v>339</v>
      </c>
      <c r="AZ175" s="1594" t="s">
        <v>1465</v>
      </c>
      <c r="BA175" s="1523">
        <v>0.7</v>
      </c>
      <c r="BB175" s="1523">
        <v>0.7</v>
      </c>
      <c r="BC175" s="1523">
        <v>0.7</v>
      </c>
      <c r="BD175" s="1523">
        <v>0.7</v>
      </c>
      <c r="BE175" s="1523">
        <v>0.7</v>
      </c>
      <c r="BF175" s="1523">
        <v>0.7</v>
      </c>
      <c r="BG175" s="1523">
        <v>0.7</v>
      </c>
      <c r="BH175" s="1523">
        <v>0.7</v>
      </c>
      <c r="BI175" s="1523">
        <v>0.7</v>
      </c>
      <c r="BJ175" s="1987">
        <v>0.6</v>
      </c>
      <c r="BK175" s="1988"/>
      <c r="BL175" s="1987"/>
      <c r="BM175" s="1987"/>
      <c r="BO175" s="1530" t="s">
        <v>1517</v>
      </c>
      <c r="BP175" s="1593" t="s">
        <v>339</v>
      </c>
      <c r="BQ175" s="1594" t="s">
        <v>1518</v>
      </c>
      <c r="BR175" s="1523">
        <v>0.7</v>
      </c>
      <c r="BS175" s="1523">
        <v>0.7</v>
      </c>
      <c r="BT175" s="1523">
        <v>0.7</v>
      </c>
      <c r="BU175" s="1523">
        <v>0.7</v>
      </c>
      <c r="BV175" s="1523">
        <v>0.7</v>
      </c>
      <c r="BW175" s="1523">
        <v>0.7</v>
      </c>
      <c r="BX175" s="1523">
        <v>0.7</v>
      </c>
      <c r="BY175" s="1523">
        <v>0.7</v>
      </c>
      <c r="BZ175" s="1523">
        <v>0.7</v>
      </c>
      <c r="CA175" s="1987">
        <v>0.6</v>
      </c>
      <c r="CB175" s="1988"/>
      <c r="CC175" s="1987"/>
      <c r="CD175" s="1987"/>
    </row>
    <row r="176" spans="1:83">
      <c r="B176" s="1497" t="str">
        <f t="shared" si="174"/>
        <v>3.2.2</v>
      </c>
      <c r="C176" s="1634" t="str">
        <f t="shared" si="171"/>
        <v>砂塵の抑制</v>
      </c>
      <c r="D176" s="1616">
        <f t="shared" si="175"/>
        <v>0</v>
      </c>
      <c r="E176" s="1616">
        <f t="shared" si="175"/>
        <v>0</v>
      </c>
      <c r="G176" s="1591">
        <f t="shared" si="166"/>
        <v>0</v>
      </c>
      <c r="H176" s="1591">
        <f t="shared" si="167"/>
        <v>0</v>
      </c>
      <c r="I176" s="1591"/>
      <c r="J176" s="1591"/>
      <c r="K176" s="1591">
        <f>IF(スコア表示!W176=0,0,1)</f>
        <v>1</v>
      </c>
      <c r="L176" s="1591">
        <f>IF(スコア表示!AA176=0,0,1)</f>
        <v>0</v>
      </c>
      <c r="M176" s="1591">
        <f t="shared" si="172"/>
        <v>0</v>
      </c>
      <c r="N176" s="1591">
        <f t="shared" si="145"/>
        <v>0</v>
      </c>
      <c r="P176" s="1530" t="str">
        <f t="shared" si="146"/>
        <v>3.2.2</v>
      </c>
      <c r="Q176" s="1593" t="str">
        <f t="shared" si="147"/>
        <v>LR3 3.2</v>
      </c>
      <c r="R176" s="1594" t="str">
        <f t="shared" si="173"/>
        <v>砂塵の抑制</v>
      </c>
      <c r="S176" s="1523">
        <f t="shared" si="152"/>
        <v>0</v>
      </c>
      <c r="T176" s="1523">
        <f t="shared" si="153"/>
        <v>0</v>
      </c>
      <c r="U176" s="1523">
        <f t="shared" si="154"/>
        <v>0</v>
      </c>
      <c r="V176" s="1523">
        <f t="shared" si="155"/>
        <v>0</v>
      </c>
      <c r="W176" s="1523">
        <f t="shared" si="156"/>
        <v>0</v>
      </c>
      <c r="X176" s="1523">
        <f t="shared" si="157"/>
        <v>0</v>
      </c>
      <c r="Y176" s="1523">
        <f t="shared" si="158"/>
        <v>0</v>
      </c>
      <c r="Z176" s="1523">
        <f t="shared" si="159"/>
        <v>0</v>
      </c>
      <c r="AA176" s="1523">
        <f t="shared" si="160"/>
        <v>0</v>
      </c>
      <c r="AB176" s="1523">
        <f t="shared" si="161"/>
        <v>0.2</v>
      </c>
      <c r="AC176" s="1562">
        <f t="shared" si="149"/>
        <v>0</v>
      </c>
      <c r="AD176" s="1561">
        <f t="shared" si="150"/>
        <v>0</v>
      </c>
      <c r="AE176" s="1561">
        <f t="shared" si="151"/>
        <v>0</v>
      </c>
      <c r="AG176" s="1530" t="s">
        <v>332</v>
      </c>
      <c r="AH176" s="1593" t="s">
        <v>340</v>
      </c>
      <c r="AI176" s="1594" t="s">
        <v>1016</v>
      </c>
      <c r="AJ176" s="1523"/>
      <c r="AK176" s="1523"/>
      <c r="AL176" s="1523"/>
      <c r="AM176" s="1523"/>
      <c r="AN176" s="1523"/>
      <c r="AO176" s="1523"/>
      <c r="AP176" s="1523"/>
      <c r="AQ176" s="1523"/>
      <c r="AR176" s="1523"/>
      <c r="AS176" s="2254">
        <v>0.2</v>
      </c>
      <c r="AT176" s="1988"/>
      <c r="AU176" s="1987"/>
      <c r="AV176" s="1987"/>
      <c r="AX176" s="1530" t="s">
        <v>1337</v>
      </c>
      <c r="AY176" s="1593" t="s">
        <v>1466</v>
      </c>
      <c r="AZ176" s="1594" t="s">
        <v>1016</v>
      </c>
      <c r="BA176" s="1523"/>
      <c r="BB176" s="1523"/>
      <c r="BC176" s="1523"/>
      <c r="BD176" s="1523"/>
      <c r="BE176" s="1523"/>
      <c r="BF176" s="1523"/>
      <c r="BG176" s="1523"/>
      <c r="BH176" s="1523"/>
      <c r="BI176" s="1523"/>
      <c r="BJ176" s="1987">
        <v>0.2</v>
      </c>
      <c r="BK176" s="1988"/>
      <c r="BL176" s="1987"/>
      <c r="BM176" s="1987"/>
      <c r="BO176" s="1530" t="s">
        <v>1519</v>
      </c>
      <c r="BP176" s="1593" t="s">
        <v>1520</v>
      </c>
      <c r="BQ176" s="1594" t="s">
        <v>1016</v>
      </c>
      <c r="BR176" s="1523"/>
      <c r="BS176" s="1523"/>
      <c r="BT176" s="1523"/>
      <c r="BU176" s="1523"/>
      <c r="BV176" s="1523"/>
      <c r="BW176" s="1523"/>
      <c r="BX176" s="1523"/>
      <c r="BY176" s="1523"/>
      <c r="BZ176" s="1523"/>
      <c r="CA176" s="1987">
        <v>0.2</v>
      </c>
      <c r="CB176" s="1988"/>
      <c r="CC176" s="1987"/>
      <c r="CD176" s="1987"/>
    </row>
    <row r="177" spans="2:82" s="1458" customFormat="1">
      <c r="B177" s="1497" t="str">
        <f t="shared" si="174"/>
        <v>3.2.3</v>
      </c>
      <c r="C177" s="1634" t="str">
        <f t="shared" si="171"/>
        <v>日照阻害の抑制</v>
      </c>
      <c r="D177" s="1616">
        <f t="shared" si="175"/>
        <v>0.3</v>
      </c>
      <c r="E177" s="1616">
        <f t="shared" si="175"/>
        <v>0</v>
      </c>
      <c r="F177"/>
      <c r="G177" s="1591">
        <f t="shared" si="166"/>
        <v>0.3</v>
      </c>
      <c r="H177" s="1591">
        <f t="shared" si="167"/>
        <v>0</v>
      </c>
      <c r="I177" s="1591"/>
      <c r="J177" s="1591"/>
      <c r="K177" s="1591">
        <f>IF(スコア表示!W177=0,0,1)</f>
        <v>1</v>
      </c>
      <c r="L177" s="1591">
        <f>IF(スコア表示!AA177=0,0,1)</f>
        <v>0</v>
      </c>
      <c r="M177" s="1591">
        <f t="shared" si="172"/>
        <v>0.3</v>
      </c>
      <c r="N177" s="1591">
        <f t="shared" si="145"/>
        <v>0</v>
      </c>
      <c r="O177"/>
      <c r="P177" s="1530" t="str">
        <f t="shared" si="146"/>
        <v>3.2.3</v>
      </c>
      <c r="Q177" s="1593" t="str">
        <f t="shared" si="147"/>
        <v>LR3 3.2</v>
      </c>
      <c r="R177" s="1594" t="str">
        <f t="shared" si="173"/>
        <v>日照阻害の抑制</v>
      </c>
      <c r="S177" s="1523">
        <f t="shared" si="152"/>
        <v>0.3</v>
      </c>
      <c r="T177" s="1523">
        <f t="shared" si="153"/>
        <v>0.3</v>
      </c>
      <c r="U177" s="1523">
        <f t="shared" si="154"/>
        <v>0.3</v>
      </c>
      <c r="V177" s="1523">
        <f t="shared" si="155"/>
        <v>0.3</v>
      </c>
      <c r="W177" s="1523">
        <f t="shared" si="156"/>
        <v>0.3</v>
      </c>
      <c r="X177" s="1523">
        <f t="shared" si="157"/>
        <v>0.3</v>
      </c>
      <c r="Y177" s="1523">
        <f t="shared" si="158"/>
        <v>0.3</v>
      </c>
      <c r="Z177" s="1523">
        <f t="shared" si="159"/>
        <v>0.3</v>
      </c>
      <c r="AA177" s="1523">
        <f t="shared" si="160"/>
        <v>0.3</v>
      </c>
      <c r="AB177" s="1523">
        <f t="shared" si="161"/>
        <v>0.2</v>
      </c>
      <c r="AC177" s="1562">
        <f t="shared" si="149"/>
        <v>0</v>
      </c>
      <c r="AD177" s="1561">
        <f t="shared" si="150"/>
        <v>0</v>
      </c>
      <c r="AE177" s="1561">
        <f t="shared" si="151"/>
        <v>0</v>
      </c>
      <c r="AF177"/>
      <c r="AG177" s="1530" t="s">
        <v>1337</v>
      </c>
      <c r="AH177" s="1593" t="s">
        <v>339</v>
      </c>
      <c r="AI177" s="1594" t="s">
        <v>1467</v>
      </c>
      <c r="AJ177" s="1523">
        <v>0.3</v>
      </c>
      <c r="AK177" s="1523">
        <v>0.3</v>
      </c>
      <c r="AL177" s="1523">
        <v>0.3</v>
      </c>
      <c r="AM177" s="1523">
        <v>0.3</v>
      </c>
      <c r="AN177" s="1523">
        <v>0.3</v>
      </c>
      <c r="AO177" s="1523">
        <v>0.3</v>
      </c>
      <c r="AP177" s="1523">
        <v>0.3</v>
      </c>
      <c r="AQ177" s="1523">
        <v>0.3</v>
      </c>
      <c r="AR177" s="1523">
        <v>0.3</v>
      </c>
      <c r="AS177" s="2254">
        <v>0.2</v>
      </c>
      <c r="AT177" s="1988"/>
      <c r="AU177" s="1987"/>
      <c r="AV177" s="1987"/>
      <c r="AW177"/>
      <c r="AX177" s="1530" t="s">
        <v>1452</v>
      </c>
      <c r="AY177" s="1593" t="s">
        <v>339</v>
      </c>
      <c r="AZ177" s="1594" t="s">
        <v>1467</v>
      </c>
      <c r="BA177" s="1523">
        <v>0.3</v>
      </c>
      <c r="BB177" s="1523">
        <v>0.3</v>
      </c>
      <c r="BC177" s="1523">
        <v>0.3</v>
      </c>
      <c r="BD177" s="1523">
        <v>0.3</v>
      </c>
      <c r="BE177" s="1523">
        <v>0.3</v>
      </c>
      <c r="BF177" s="1523">
        <v>0.3</v>
      </c>
      <c r="BG177" s="1523">
        <v>0.3</v>
      </c>
      <c r="BH177" s="1523">
        <v>0.3</v>
      </c>
      <c r="BI177" s="1523">
        <v>0.3</v>
      </c>
      <c r="BJ177" s="1987">
        <v>0.2</v>
      </c>
      <c r="BK177" s="1988"/>
      <c r="BL177" s="1987"/>
      <c r="BM177" s="1987"/>
      <c r="BN177"/>
      <c r="BO177" s="1530" t="s">
        <v>1521</v>
      </c>
      <c r="BP177" s="1593" t="s">
        <v>339</v>
      </c>
      <c r="BQ177" s="1594" t="s">
        <v>1522</v>
      </c>
      <c r="BR177" s="1523">
        <v>0.3</v>
      </c>
      <c r="BS177" s="1523">
        <v>0.3</v>
      </c>
      <c r="BT177" s="1523">
        <v>0.3</v>
      </c>
      <c r="BU177" s="1523">
        <v>0.3</v>
      </c>
      <c r="BV177" s="1523">
        <v>0.3</v>
      </c>
      <c r="BW177" s="1523">
        <v>0.3</v>
      </c>
      <c r="BX177" s="1523">
        <v>0.3</v>
      </c>
      <c r="BY177" s="1523">
        <v>0.3</v>
      </c>
      <c r="BZ177" s="1523">
        <v>0.3</v>
      </c>
      <c r="CA177" s="1987">
        <v>0.2</v>
      </c>
      <c r="CB177" s="1988"/>
      <c r="CC177" s="1987"/>
      <c r="CD177" s="1987"/>
    </row>
    <row r="178" spans="2:82" s="1458" customFormat="1">
      <c r="B178" s="1497" t="str">
        <f t="shared" si="174"/>
        <v>3.3</v>
      </c>
      <c r="C178" s="1634" t="str">
        <f t="shared" si="171"/>
        <v>光害の抑制</v>
      </c>
      <c r="D178" s="1616">
        <f>IF(I$169=0,0,G178/I$169)</f>
        <v>0.19999999999999998</v>
      </c>
      <c r="E178" s="1616">
        <f>IF(J$169=0,0,H178/J$169)</f>
        <v>0</v>
      </c>
      <c r="F178"/>
      <c r="G178" s="1591">
        <f t="shared" si="166"/>
        <v>0.20000000000000004</v>
      </c>
      <c r="H178" s="1591">
        <f t="shared" si="167"/>
        <v>0</v>
      </c>
      <c r="I178" s="1591">
        <f>SUM(G179:G180)</f>
        <v>1</v>
      </c>
      <c r="J178" s="1591">
        <f>SUM(H179:H180)</f>
        <v>0</v>
      </c>
      <c r="K178" s="1591">
        <f>IF(スコア表示!W178=0,0,1)</f>
        <v>1</v>
      </c>
      <c r="L178" s="1591">
        <f>IF(スコア表示!AA178=0,0,1)</f>
        <v>0</v>
      </c>
      <c r="M178" s="1591">
        <f t="shared" si="172"/>
        <v>0.20000000000000004</v>
      </c>
      <c r="N178" s="1591">
        <f t="shared" si="145"/>
        <v>0</v>
      </c>
      <c r="O178"/>
      <c r="P178" s="2002" t="str">
        <f t="shared" si="146"/>
        <v>3.3</v>
      </c>
      <c r="Q178" s="1593" t="str">
        <f t="shared" si="147"/>
        <v>LR3 3</v>
      </c>
      <c r="R178" s="1637" t="str">
        <f t="shared" si="173"/>
        <v>光害の抑制</v>
      </c>
      <c r="S178" s="1987">
        <f t="shared" si="152"/>
        <v>0.2</v>
      </c>
      <c r="T178" s="1987">
        <f t="shared" si="153"/>
        <v>0.2</v>
      </c>
      <c r="U178" s="1987">
        <f t="shared" si="154"/>
        <v>0.2</v>
      </c>
      <c r="V178" s="1987">
        <f t="shared" si="155"/>
        <v>0.2</v>
      </c>
      <c r="W178" s="1987">
        <f t="shared" si="156"/>
        <v>0.2</v>
      </c>
      <c r="X178" s="1987">
        <f t="shared" si="157"/>
        <v>0.2</v>
      </c>
      <c r="Y178" s="1987">
        <f t="shared" si="158"/>
        <v>0.2</v>
      </c>
      <c r="Z178" s="1987">
        <f t="shared" si="159"/>
        <v>0.2</v>
      </c>
      <c r="AA178" s="1987">
        <f t="shared" si="160"/>
        <v>0.2</v>
      </c>
      <c r="AB178" s="1987">
        <f t="shared" si="161"/>
        <v>0.2</v>
      </c>
      <c r="AC178" s="1562">
        <f t="shared" si="149"/>
        <v>0</v>
      </c>
      <c r="AD178" s="1561">
        <f t="shared" si="150"/>
        <v>0</v>
      </c>
      <c r="AE178" s="1561">
        <f t="shared" si="151"/>
        <v>0</v>
      </c>
      <c r="AF178"/>
      <c r="AG178" s="1530" t="s">
        <v>1468</v>
      </c>
      <c r="AH178" s="1593" t="s">
        <v>337</v>
      </c>
      <c r="AI178" s="1594" t="s">
        <v>1018</v>
      </c>
      <c r="AJ178" s="1523">
        <v>0.2</v>
      </c>
      <c r="AK178" s="1523">
        <v>0.2</v>
      </c>
      <c r="AL178" s="1523">
        <v>0.2</v>
      </c>
      <c r="AM178" s="1523">
        <v>0.2</v>
      </c>
      <c r="AN178" s="1523">
        <v>0.2</v>
      </c>
      <c r="AO178" s="1523">
        <v>0.2</v>
      </c>
      <c r="AP178" s="1523">
        <v>0.2</v>
      </c>
      <c r="AQ178" s="1523">
        <v>0.2</v>
      </c>
      <c r="AR178" s="1523">
        <v>0.2</v>
      </c>
      <c r="AS178" s="1987">
        <v>0.2</v>
      </c>
      <c r="AT178" s="1988"/>
      <c r="AU178" s="1987"/>
      <c r="AV178" s="1987"/>
      <c r="AW178"/>
      <c r="AX178" s="1530" t="s">
        <v>1468</v>
      </c>
      <c r="AY178" s="1593" t="s">
        <v>337</v>
      </c>
      <c r="AZ178" s="1594" t="s">
        <v>1018</v>
      </c>
      <c r="BA178" s="1987">
        <v>0.2</v>
      </c>
      <c r="BB178" s="1987">
        <v>0.2</v>
      </c>
      <c r="BC178" s="1987">
        <v>0.2</v>
      </c>
      <c r="BD178" s="1987">
        <v>0.2</v>
      </c>
      <c r="BE178" s="1987">
        <v>0.2</v>
      </c>
      <c r="BF178" s="1987">
        <v>0.2</v>
      </c>
      <c r="BG178" s="1987">
        <v>0.2</v>
      </c>
      <c r="BH178" s="1987">
        <v>0.2</v>
      </c>
      <c r="BI178" s="1987">
        <v>0.2</v>
      </c>
      <c r="BJ178" s="1987">
        <v>0.2</v>
      </c>
      <c r="BK178" s="1988"/>
      <c r="BL178" s="1987"/>
      <c r="BM178" s="1987"/>
      <c r="BN178"/>
      <c r="BO178" s="1530" t="s">
        <v>1523</v>
      </c>
      <c r="BP178" s="1593" t="s">
        <v>337</v>
      </c>
      <c r="BQ178" s="1594" t="s">
        <v>1018</v>
      </c>
      <c r="BR178" s="1987">
        <v>0.2</v>
      </c>
      <c r="BS178" s="1987">
        <v>0.2</v>
      </c>
      <c r="BT178" s="1987">
        <v>0.2</v>
      </c>
      <c r="BU178" s="1987">
        <v>0.2</v>
      </c>
      <c r="BV178" s="1987">
        <v>0.2</v>
      </c>
      <c r="BW178" s="1987">
        <v>0.2</v>
      </c>
      <c r="BX178" s="1987">
        <v>0.2</v>
      </c>
      <c r="BY178" s="1987">
        <v>0.2</v>
      </c>
      <c r="BZ178" s="1987">
        <v>0.2</v>
      </c>
      <c r="CA178" s="1987">
        <v>0.2</v>
      </c>
      <c r="CB178" s="1988"/>
      <c r="CC178" s="1987"/>
      <c r="CD178" s="1987"/>
    </row>
    <row r="179" spans="2:82" s="1458" customFormat="1">
      <c r="B179" s="1497" t="str">
        <f t="shared" si="174"/>
        <v>3.3.1</v>
      </c>
      <c r="C179" s="1645" t="str">
        <f t="shared" si="171"/>
        <v>屋外照明及び屋内照明のうち外に漏れる光への対策</v>
      </c>
      <c r="D179" s="1616">
        <f>IF(I$178=0,0,G179/I$178)</f>
        <v>0.70000000000000007</v>
      </c>
      <c r="E179" s="1616">
        <f>IF(J$178=0,0,H179/J$178)</f>
        <v>0</v>
      </c>
      <c r="F179"/>
      <c r="G179" s="1591">
        <f t="shared" si="166"/>
        <v>0.70000000000000007</v>
      </c>
      <c r="H179" s="1591">
        <f t="shared" si="167"/>
        <v>0</v>
      </c>
      <c r="I179" s="1591"/>
      <c r="J179" s="1591"/>
      <c r="K179" s="1591">
        <f>IF(スコア表示!W179=0,0,1)</f>
        <v>1</v>
      </c>
      <c r="L179" s="1591">
        <f>IF(スコア表示!AA179=0,0,1)</f>
        <v>0</v>
      </c>
      <c r="M179" s="1591">
        <f t="shared" si="172"/>
        <v>0.70000000000000007</v>
      </c>
      <c r="N179" s="1591">
        <f t="shared" si="145"/>
        <v>0</v>
      </c>
      <c r="O179"/>
      <c r="P179" s="1530" t="str">
        <f t="shared" si="146"/>
        <v>3.3.1</v>
      </c>
      <c r="Q179" s="1593" t="str">
        <f t="shared" si="147"/>
        <v>LR3 3.3</v>
      </c>
      <c r="R179" s="1594" t="str">
        <f t="shared" si="173"/>
        <v>屋外照明及び屋内照明のうち外に漏れる光への対策</v>
      </c>
      <c r="S179" s="1523">
        <f t="shared" si="152"/>
        <v>0.7</v>
      </c>
      <c r="T179" s="1523">
        <f t="shared" si="153"/>
        <v>0.7</v>
      </c>
      <c r="U179" s="1523">
        <f t="shared" si="154"/>
        <v>0.7</v>
      </c>
      <c r="V179" s="1523">
        <f t="shared" si="155"/>
        <v>0.7</v>
      </c>
      <c r="W179" s="1523">
        <f t="shared" si="156"/>
        <v>0.7</v>
      </c>
      <c r="X179" s="1523">
        <f t="shared" si="157"/>
        <v>0.7</v>
      </c>
      <c r="Y179" s="1523">
        <f t="shared" si="158"/>
        <v>0.7</v>
      </c>
      <c r="Z179" s="1523">
        <f t="shared" si="159"/>
        <v>0.7</v>
      </c>
      <c r="AA179" s="1523">
        <f t="shared" si="160"/>
        <v>0.7</v>
      </c>
      <c r="AB179" s="1523">
        <f t="shared" si="161"/>
        <v>0.7</v>
      </c>
      <c r="AC179" s="1562">
        <f t="shared" si="149"/>
        <v>0</v>
      </c>
      <c r="AD179" s="1561">
        <f t="shared" si="150"/>
        <v>0</v>
      </c>
      <c r="AE179" s="1561">
        <f t="shared" si="151"/>
        <v>0</v>
      </c>
      <c r="AF179"/>
      <c r="AG179" s="1530" t="s">
        <v>1340</v>
      </c>
      <c r="AH179" s="1593" t="s">
        <v>340</v>
      </c>
      <c r="AI179" s="1594" t="s">
        <v>1469</v>
      </c>
      <c r="AJ179" s="1987">
        <v>0.7</v>
      </c>
      <c r="AK179" s="1987">
        <v>0.7</v>
      </c>
      <c r="AL179" s="1987">
        <v>0.7</v>
      </c>
      <c r="AM179" s="1987">
        <v>0.7</v>
      </c>
      <c r="AN179" s="1987">
        <v>0.7</v>
      </c>
      <c r="AO179" s="1987">
        <v>0.7</v>
      </c>
      <c r="AP179" s="1987">
        <v>0.7</v>
      </c>
      <c r="AQ179" s="1987">
        <v>0.7</v>
      </c>
      <c r="AR179" s="1987">
        <v>0.7</v>
      </c>
      <c r="AS179" s="1523">
        <v>0.7</v>
      </c>
      <c r="AT179" s="1988"/>
      <c r="AU179" s="1987"/>
      <c r="AV179" s="1987"/>
      <c r="AW179"/>
      <c r="AX179" s="1530" t="s">
        <v>1340</v>
      </c>
      <c r="AY179" s="1593" t="s">
        <v>340</v>
      </c>
      <c r="AZ179" s="1594" t="s">
        <v>1469</v>
      </c>
      <c r="BA179" s="1523">
        <v>0.7</v>
      </c>
      <c r="BB179" s="1523">
        <v>0.7</v>
      </c>
      <c r="BC179" s="1523">
        <v>0.7</v>
      </c>
      <c r="BD179" s="1523">
        <v>0.7</v>
      </c>
      <c r="BE179" s="1523">
        <v>0.7</v>
      </c>
      <c r="BF179" s="1523">
        <v>0.7</v>
      </c>
      <c r="BG179" s="1523">
        <v>0.7</v>
      </c>
      <c r="BH179" s="1523">
        <v>0.7</v>
      </c>
      <c r="BI179" s="1523">
        <v>0.7</v>
      </c>
      <c r="BJ179" s="1523">
        <v>0.7</v>
      </c>
      <c r="BK179" s="1988"/>
      <c r="BL179" s="1987"/>
      <c r="BM179" s="1987"/>
      <c r="BN179"/>
      <c r="BO179" s="1530" t="s">
        <v>1524</v>
      </c>
      <c r="BP179" s="1593" t="s">
        <v>340</v>
      </c>
      <c r="BQ179" s="1594" t="s">
        <v>1525</v>
      </c>
      <c r="BR179" s="1523">
        <v>0.7</v>
      </c>
      <c r="BS179" s="1523">
        <v>0.7</v>
      </c>
      <c r="BT179" s="1523">
        <v>0.7</v>
      </c>
      <c r="BU179" s="1523">
        <v>0.7</v>
      </c>
      <c r="BV179" s="1523">
        <v>0.7</v>
      </c>
      <c r="BW179" s="1523">
        <v>0.7</v>
      </c>
      <c r="BX179" s="1523">
        <v>0.7</v>
      </c>
      <c r="BY179" s="1523">
        <v>0.7</v>
      </c>
      <c r="BZ179" s="1523">
        <v>0.7</v>
      </c>
      <c r="CA179" s="1523">
        <v>0.7</v>
      </c>
      <c r="CB179" s="1988"/>
      <c r="CC179" s="1987"/>
      <c r="CD179" s="1987"/>
    </row>
    <row r="180" spans="2:82" s="1458" customFormat="1">
      <c r="B180" s="1497" t="str">
        <f t="shared" si="174"/>
        <v>3.3.2</v>
      </c>
      <c r="C180" s="1637" t="str">
        <f t="shared" si="171"/>
        <v>昼光の建物外壁による反射光（グレア）への対策</v>
      </c>
      <c r="D180" s="1616">
        <f>IF(I$178=0,0,G180/I$178)</f>
        <v>0.3</v>
      </c>
      <c r="E180" s="1616">
        <f>IF(J$178=0,0,H180/J$178)</f>
        <v>0</v>
      </c>
      <c r="F180"/>
      <c r="G180" s="1591">
        <f t="shared" si="166"/>
        <v>0.3</v>
      </c>
      <c r="H180" s="1591">
        <f t="shared" si="167"/>
        <v>0</v>
      </c>
      <c r="I180" s="1591"/>
      <c r="J180" s="1591"/>
      <c r="K180" s="1591">
        <f>IF(スコア表示!W180=0,0,1)</f>
        <v>1</v>
      </c>
      <c r="L180" s="1591">
        <f>IF(スコア表示!AA180=0,0,1)</f>
        <v>0</v>
      </c>
      <c r="M180" s="1591">
        <f t="shared" si="172"/>
        <v>0.3</v>
      </c>
      <c r="N180" s="1591">
        <f t="shared" si="145"/>
        <v>0</v>
      </c>
      <c r="O180"/>
      <c r="P180" s="1530" t="str">
        <f t="shared" si="146"/>
        <v>3.3.2</v>
      </c>
      <c r="Q180" s="1593" t="str">
        <f t="shared" si="147"/>
        <v>LR3 3.3</v>
      </c>
      <c r="R180" s="1594" t="str">
        <f t="shared" si="173"/>
        <v>昼光の建物外壁による反射光（グレア）への対策</v>
      </c>
      <c r="S180" s="1523">
        <f t="shared" si="152"/>
        <v>0.3</v>
      </c>
      <c r="T180" s="1523">
        <f t="shared" si="153"/>
        <v>0.3</v>
      </c>
      <c r="U180" s="1523">
        <f t="shared" si="154"/>
        <v>0.3</v>
      </c>
      <c r="V180" s="1523">
        <f t="shared" si="155"/>
        <v>0.3</v>
      </c>
      <c r="W180" s="1523">
        <f t="shared" si="156"/>
        <v>0.3</v>
      </c>
      <c r="X180" s="1523">
        <f t="shared" si="157"/>
        <v>0.3</v>
      </c>
      <c r="Y180" s="1523">
        <f t="shared" si="158"/>
        <v>0.3</v>
      </c>
      <c r="Z180" s="1523">
        <f t="shared" si="159"/>
        <v>0.3</v>
      </c>
      <c r="AA180" s="1523">
        <f t="shared" si="160"/>
        <v>0.3</v>
      </c>
      <c r="AB180" s="1523">
        <f t="shared" si="161"/>
        <v>0.3</v>
      </c>
      <c r="AC180" s="1562">
        <f t="shared" si="149"/>
        <v>0</v>
      </c>
      <c r="AD180" s="1561">
        <f t="shared" si="150"/>
        <v>0</v>
      </c>
      <c r="AE180" s="1561">
        <f t="shared" si="151"/>
        <v>0</v>
      </c>
      <c r="AF180"/>
      <c r="AG180" s="1530" t="s">
        <v>1386</v>
      </c>
      <c r="AH180" s="1593" t="s">
        <v>340</v>
      </c>
      <c r="AI180" s="1594" t="s">
        <v>1470</v>
      </c>
      <c r="AJ180" s="1523">
        <v>0.3</v>
      </c>
      <c r="AK180" s="1523">
        <v>0.3</v>
      </c>
      <c r="AL180" s="1523">
        <v>0.3</v>
      </c>
      <c r="AM180" s="1523">
        <v>0.3</v>
      </c>
      <c r="AN180" s="1523">
        <v>0.3</v>
      </c>
      <c r="AO180" s="1523">
        <v>0.3</v>
      </c>
      <c r="AP180" s="1523">
        <v>0.3</v>
      </c>
      <c r="AQ180" s="1523">
        <v>0.3</v>
      </c>
      <c r="AR180" s="1523">
        <v>0.3</v>
      </c>
      <c r="AS180" s="1523">
        <v>0.3</v>
      </c>
      <c r="AT180" s="1988"/>
      <c r="AU180" s="1987"/>
      <c r="AV180" s="1987"/>
      <c r="AW180"/>
      <c r="AX180" s="1530" t="s">
        <v>1386</v>
      </c>
      <c r="AY180" s="1593" t="s">
        <v>340</v>
      </c>
      <c r="AZ180" s="1594" t="s">
        <v>1470</v>
      </c>
      <c r="BA180" s="1523">
        <v>0.3</v>
      </c>
      <c r="BB180" s="1523">
        <v>0.3</v>
      </c>
      <c r="BC180" s="1523">
        <v>0.3</v>
      </c>
      <c r="BD180" s="1523">
        <v>0.3</v>
      </c>
      <c r="BE180" s="1523">
        <v>0.3</v>
      </c>
      <c r="BF180" s="1523">
        <v>0.3</v>
      </c>
      <c r="BG180" s="1523">
        <v>0.3</v>
      </c>
      <c r="BH180" s="1523">
        <v>0.3</v>
      </c>
      <c r="BI180" s="1523">
        <v>0.3</v>
      </c>
      <c r="BJ180" s="1523">
        <v>0.3</v>
      </c>
      <c r="BK180" s="1988"/>
      <c r="BL180" s="1987"/>
      <c r="BM180" s="1987"/>
      <c r="BN180"/>
      <c r="BO180" s="1530" t="s">
        <v>1526</v>
      </c>
      <c r="BP180" s="1593" t="s">
        <v>340</v>
      </c>
      <c r="BQ180" s="1594" t="s">
        <v>1527</v>
      </c>
      <c r="BR180" s="1523">
        <v>0.3</v>
      </c>
      <c r="BS180" s="1523">
        <v>0.3</v>
      </c>
      <c r="BT180" s="1523">
        <v>0.3</v>
      </c>
      <c r="BU180" s="1523">
        <v>0.3</v>
      </c>
      <c r="BV180" s="1523">
        <v>0.3</v>
      </c>
      <c r="BW180" s="1523">
        <v>0.3</v>
      </c>
      <c r="BX180" s="1523">
        <v>0.3</v>
      </c>
      <c r="BY180" s="1523">
        <v>0.3</v>
      </c>
      <c r="BZ180" s="1523">
        <v>0.3</v>
      </c>
      <c r="CA180" s="1523">
        <v>0.3</v>
      </c>
      <c r="CB180" s="1988"/>
      <c r="CC180" s="1987"/>
      <c r="CD180" s="1987"/>
    </row>
    <row r="181" spans="2:82" s="1458" customFormat="1">
      <c r="B181" s="1900"/>
      <c r="C181" s="1901"/>
      <c r="D181" s="1902"/>
      <c r="E181" s="1903"/>
      <c r="F181"/>
      <c r="G181" s="1903"/>
      <c r="H181" s="1903"/>
      <c r="I181" s="1903"/>
      <c r="J181" s="1903"/>
      <c r="K181" s="1903"/>
      <c r="L181" s="1903"/>
      <c r="M181" s="1903"/>
      <c r="N181" s="1903"/>
      <c r="O181"/>
      <c r="P181" s="1904"/>
      <c r="Q181" s="1904"/>
      <c r="R181" s="1905"/>
      <c r="S181" s="1906"/>
      <c r="T181" s="1906"/>
      <c r="U181" s="1906"/>
      <c r="V181" s="1906"/>
      <c r="W181" s="1906"/>
      <c r="X181" s="1906"/>
      <c r="Y181" s="1906"/>
      <c r="Z181" s="1906"/>
      <c r="AA181" s="1906"/>
      <c r="AB181" s="1906"/>
      <c r="AC181" s="1906"/>
      <c r="AD181" s="1906"/>
      <c r="AE181" s="1906"/>
      <c r="AF181"/>
      <c r="AG181" s="1907"/>
      <c r="AH181" s="1647"/>
      <c r="AI181" s="1908"/>
      <c r="AJ181" s="1647"/>
      <c r="AK181" s="1647"/>
      <c r="AL181" s="1647"/>
      <c r="AM181" s="1647"/>
      <c r="AN181" s="1647"/>
      <c r="AO181" s="1647"/>
      <c r="AP181" s="1647"/>
      <c r="AQ181" s="1647"/>
      <c r="AR181" s="1647"/>
      <c r="AS181" s="1647"/>
      <c r="AT181" s="1647"/>
      <c r="AU181" s="1647"/>
      <c r="AV181" s="1647"/>
      <c r="AW181"/>
      <c r="AX181" s="1907"/>
      <c r="AY181" s="1647"/>
      <c r="AZ181" s="1908"/>
      <c r="BA181" s="1647"/>
      <c r="BB181" s="1647"/>
      <c r="BC181" s="1647"/>
      <c r="BD181" s="1647"/>
      <c r="BE181" s="1647"/>
      <c r="BF181" s="1647"/>
      <c r="BG181" s="1647"/>
      <c r="BH181" s="1647"/>
      <c r="BI181" s="1647"/>
      <c r="BJ181" s="1647"/>
      <c r="BK181" s="1647"/>
      <c r="BL181" s="1647"/>
      <c r="BM181" s="1647"/>
      <c r="BN181"/>
      <c r="BO181" s="1907"/>
      <c r="BP181" s="1647"/>
      <c r="BQ181" s="1908"/>
      <c r="BR181" s="1647"/>
      <c r="BS181" s="1647"/>
      <c r="BT181" s="1647"/>
      <c r="BU181" s="1647"/>
      <c r="BV181" s="1647"/>
      <c r="BW181" s="1647"/>
      <c r="BX181" s="1647"/>
      <c r="BY181" s="1647"/>
      <c r="BZ181" s="1647"/>
      <c r="CA181" s="1647"/>
      <c r="CB181" s="1647"/>
      <c r="CC181" s="1647"/>
      <c r="CD181" s="1647"/>
    </row>
    <row r="182" spans="2:82" s="1458" customFormat="1" hidden="1">
      <c r="B182" s="1900"/>
      <c r="C182" s="1901"/>
      <c r="D182" s="1902"/>
      <c r="E182" s="1903"/>
      <c r="F182"/>
      <c r="G182" s="1903"/>
      <c r="H182" s="1903"/>
      <c r="I182" s="1903"/>
      <c r="J182" s="1903"/>
      <c r="K182" s="1903"/>
      <c r="L182" s="1903"/>
      <c r="M182" s="1903"/>
      <c r="N182" s="1903"/>
      <c r="O182"/>
      <c r="P182" s="1904"/>
      <c r="Q182" s="1904"/>
      <c r="R182" s="1905"/>
      <c r="S182" s="1906"/>
      <c r="T182" s="1906"/>
      <c r="U182" s="1906"/>
      <c r="V182" s="1906"/>
      <c r="W182" s="1906"/>
      <c r="X182" s="1906"/>
      <c r="Y182" s="1906"/>
      <c r="Z182" s="1906"/>
      <c r="AA182" s="1906"/>
      <c r="AB182" s="1906"/>
      <c r="AC182" s="1906"/>
      <c r="AD182" s="1906"/>
      <c r="AE182" s="1906"/>
      <c r="AF182"/>
      <c r="AG182" s="1907"/>
      <c r="AH182" s="1647"/>
      <c r="AI182" s="1908"/>
      <c r="AJ182" s="1647"/>
      <c r="AK182" s="1647"/>
      <c r="AL182" s="1647"/>
      <c r="AM182" s="1647"/>
      <c r="AN182" s="1647"/>
      <c r="AO182" s="1647"/>
      <c r="AP182" s="1647"/>
      <c r="AQ182" s="1647"/>
      <c r="AR182" s="1647"/>
      <c r="AS182" s="1647"/>
      <c r="AT182" s="1647"/>
      <c r="AU182" s="1647"/>
      <c r="AV182" s="1647"/>
      <c r="AW182"/>
      <c r="AX182" s="1907"/>
      <c r="AY182" s="1647"/>
      <c r="AZ182" s="1908"/>
      <c r="BA182" s="1647"/>
      <c r="BB182" s="1647"/>
      <c r="BC182" s="1647"/>
      <c r="BD182" s="1647"/>
      <c r="BE182" s="1647"/>
      <c r="BF182" s="1647"/>
      <c r="BG182" s="1647"/>
      <c r="BH182" s="1647"/>
      <c r="BI182" s="1647"/>
      <c r="BJ182" s="1647"/>
      <c r="BK182" s="1647"/>
      <c r="BL182" s="1647"/>
      <c r="BM182" s="1647"/>
      <c r="BN182"/>
      <c r="BO182" s="1907"/>
      <c r="BP182" s="1647"/>
      <c r="BQ182" s="1908"/>
      <c r="BR182" s="1647"/>
      <c r="BS182" s="1647"/>
      <c r="BT182" s="1647"/>
      <c r="BU182" s="1647"/>
      <c r="BV182" s="1647"/>
      <c r="BW182" s="1647"/>
      <c r="BX182" s="1647"/>
      <c r="BY182" s="1647"/>
      <c r="BZ182" s="1647"/>
      <c r="CA182" s="1647"/>
      <c r="CB182" s="1647"/>
      <c r="CC182" s="1647"/>
      <c r="CD182" s="1647"/>
    </row>
    <row r="183" spans="2:82" s="1458" customFormat="1" hidden="1">
      <c r="B183" s="1900"/>
      <c r="C183" s="1901"/>
      <c r="D183" s="1902"/>
      <c r="E183" s="1903"/>
      <c r="F183"/>
      <c r="G183" s="1903"/>
      <c r="H183" s="1903"/>
      <c r="I183" s="1903"/>
      <c r="J183" s="1903"/>
      <c r="K183" s="1903"/>
      <c r="L183" s="1903"/>
      <c r="M183" s="1903"/>
      <c r="N183" s="1903"/>
      <c r="O183"/>
      <c r="P183" s="1904"/>
      <c r="Q183" s="1904"/>
      <c r="R183" s="1905"/>
      <c r="S183" s="1906"/>
      <c r="T183" s="1906"/>
      <c r="U183" s="1906"/>
      <c r="V183" s="1906"/>
      <c r="W183" s="1906"/>
      <c r="X183" s="1906"/>
      <c r="Y183" s="1906"/>
      <c r="Z183" s="1906"/>
      <c r="AA183" s="1906"/>
      <c r="AB183" s="1906"/>
      <c r="AC183" s="1906"/>
      <c r="AD183" s="1906"/>
      <c r="AE183" s="1906"/>
      <c r="AF183"/>
      <c r="AG183" s="1907"/>
      <c r="AH183" s="1647"/>
      <c r="AI183" s="1908"/>
      <c r="AJ183" s="1647"/>
      <c r="AK183" s="1647"/>
      <c r="AL183" s="1647"/>
      <c r="AM183" s="1647"/>
      <c r="AN183" s="1647"/>
      <c r="AO183" s="1647"/>
      <c r="AP183" s="1647"/>
      <c r="AQ183" s="1647"/>
      <c r="AR183" s="1647"/>
      <c r="AS183" s="1647"/>
      <c r="AT183" s="1647"/>
      <c r="AU183" s="1647"/>
      <c r="AV183" s="1647"/>
      <c r="AW183"/>
      <c r="AX183" s="1907"/>
      <c r="AY183" s="1647"/>
      <c r="AZ183" s="1908"/>
      <c r="BA183" s="1647"/>
      <c r="BB183" s="1647"/>
      <c r="BC183" s="1647"/>
      <c r="BD183" s="1647"/>
      <c r="BE183" s="1647"/>
      <c r="BF183" s="1647"/>
      <c r="BG183" s="1647"/>
      <c r="BH183" s="1647"/>
      <c r="BI183" s="1647"/>
      <c r="BJ183" s="1647"/>
      <c r="BK183" s="1647"/>
      <c r="BL183" s="1647"/>
      <c r="BM183" s="1647"/>
      <c r="BN183"/>
      <c r="BO183" s="1907"/>
      <c r="BP183" s="1647"/>
      <c r="BQ183" s="1908"/>
      <c r="BR183" s="1647"/>
      <c r="BS183" s="1647"/>
      <c r="BT183" s="1647"/>
      <c r="BU183" s="1647"/>
      <c r="BV183" s="1647"/>
      <c r="BW183" s="1647"/>
      <c r="BX183" s="1647"/>
      <c r="BY183" s="1647"/>
      <c r="BZ183" s="1647"/>
      <c r="CA183" s="1647"/>
      <c r="CB183" s="1647"/>
      <c r="CC183" s="1647"/>
      <c r="CD183" s="1647"/>
    </row>
    <row r="184" spans="2:82" s="1458" customFormat="1" hidden="1">
      <c r="B184" s="1900"/>
      <c r="C184" s="1901"/>
      <c r="D184" s="1902"/>
      <c r="E184" s="1903"/>
      <c r="F184"/>
      <c r="G184" s="1903"/>
      <c r="H184" s="1903"/>
      <c r="I184" s="1903"/>
      <c r="J184" s="1903"/>
      <c r="K184" s="1903"/>
      <c r="L184" s="1903"/>
      <c r="M184" s="1903"/>
      <c r="N184" s="1903"/>
      <c r="O184"/>
      <c r="P184" s="1904"/>
      <c r="Q184" s="1904"/>
      <c r="R184" s="1905"/>
      <c r="S184" s="1906"/>
      <c r="T184" s="1906"/>
      <c r="U184" s="1906"/>
      <c r="V184" s="1906"/>
      <c r="W184" s="1906"/>
      <c r="X184" s="1906"/>
      <c r="Y184" s="1906"/>
      <c r="Z184" s="1906"/>
      <c r="AA184" s="1906"/>
      <c r="AB184" s="1906"/>
      <c r="AC184" s="1906"/>
      <c r="AD184" s="1906"/>
      <c r="AE184" s="1906"/>
      <c r="AF184"/>
      <c r="AG184" s="1907"/>
      <c r="AH184" s="1647"/>
      <c r="AI184" s="1908"/>
      <c r="AJ184" s="1647"/>
      <c r="AK184" s="1647"/>
      <c r="AL184" s="1647"/>
      <c r="AM184" s="1647"/>
      <c r="AN184" s="1647"/>
      <c r="AO184" s="1647"/>
      <c r="AP184" s="1647"/>
      <c r="AQ184" s="1647"/>
      <c r="AR184" s="1647"/>
      <c r="AS184" s="1647"/>
      <c r="AT184" s="1647"/>
      <c r="AU184" s="1647"/>
      <c r="AV184" s="1647"/>
      <c r="AW184"/>
      <c r="AX184" s="1907"/>
      <c r="AY184" s="1647"/>
      <c r="AZ184" s="1908"/>
      <c r="BA184" s="1647"/>
      <c r="BB184" s="1647"/>
      <c r="BC184" s="1647"/>
      <c r="BD184" s="1647"/>
      <c r="BE184" s="1647"/>
      <c r="BF184" s="1647"/>
      <c r="BG184" s="1647"/>
      <c r="BH184" s="1647"/>
      <c r="BI184" s="1647"/>
      <c r="BJ184" s="1647"/>
      <c r="BK184" s="1647"/>
      <c r="BL184" s="1647"/>
      <c r="BM184" s="1647"/>
      <c r="BN184"/>
      <c r="BO184" s="1907"/>
      <c r="BP184" s="1647"/>
      <c r="BQ184" s="1908"/>
      <c r="BR184" s="1647"/>
      <c r="BS184" s="1647"/>
      <c r="BT184" s="1647"/>
      <c r="BU184" s="1647"/>
      <c r="BV184" s="1647"/>
      <c r="BW184" s="1647"/>
      <c r="BX184" s="1647"/>
      <c r="BY184" s="1647"/>
      <c r="BZ184" s="1647"/>
      <c r="CA184" s="1647"/>
      <c r="CB184" s="1647"/>
      <c r="CC184" s="1647"/>
      <c r="CD184" s="1647"/>
    </row>
    <row r="185" spans="2:82" s="1458" customFormat="1" hidden="1">
      <c r="B185" s="1900"/>
      <c r="C185" s="1901"/>
      <c r="D185" s="1902"/>
      <c r="E185" s="1903"/>
      <c r="F185"/>
      <c r="G185" s="1903"/>
      <c r="H185" s="1903"/>
      <c r="I185" s="1903"/>
      <c r="J185" s="1903"/>
      <c r="K185" s="1903"/>
      <c r="L185" s="1903"/>
      <c r="M185" s="1903"/>
      <c r="N185" s="1903"/>
      <c r="O185"/>
      <c r="P185" s="1904"/>
      <c r="Q185" s="1904"/>
      <c r="R185" s="1905"/>
      <c r="S185" s="1906"/>
      <c r="T185" s="1906"/>
      <c r="U185" s="1906"/>
      <c r="V185" s="1906"/>
      <c r="W185" s="1906"/>
      <c r="X185" s="1906"/>
      <c r="Y185" s="1906"/>
      <c r="Z185" s="1906"/>
      <c r="AA185" s="1906"/>
      <c r="AB185" s="1906"/>
      <c r="AC185" s="1906"/>
      <c r="AD185" s="1906"/>
      <c r="AE185" s="1906"/>
      <c r="AF185"/>
      <c r="AG185" s="1907"/>
      <c r="AH185" s="1647"/>
      <c r="AI185" s="1908"/>
      <c r="AJ185" s="1647"/>
      <c r="AK185" s="1647"/>
      <c r="AL185" s="1647"/>
      <c r="AM185" s="1647"/>
      <c r="AN185" s="1647"/>
      <c r="AO185" s="1647"/>
      <c r="AP185" s="1647"/>
      <c r="AQ185" s="1647"/>
      <c r="AR185" s="1647"/>
      <c r="AS185" s="1647"/>
      <c r="AT185" s="1647"/>
      <c r="AU185" s="1647"/>
      <c r="AV185" s="1647"/>
      <c r="AW185"/>
      <c r="AX185" s="1907"/>
      <c r="AY185" s="1647"/>
      <c r="AZ185" s="1908"/>
      <c r="BA185" s="1647"/>
      <c r="BB185" s="1647"/>
      <c r="BC185" s="1647"/>
      <c r="BD185" s="1647"/>
      <c r="BE185" s="1647"/>
      <c r="BF185" s="1647"/>
      <c r="BG185" s="1647"/>
      <c r="BH185" s="1647"/>
      <c r="BI185" s="1647"/>
      <c r="BJ185" s="1647"/>
      <c r="BK185" s="1647"/>
      <c r="BL185" s="1647"/>
      <c r="BM185" s="1647"/>
      <c r="BN185"/>
      <c r="BO185" s="1907"/>
      <c r="BP185" s="1647"/>
      <c r="BQ185" s="1908"/>
      <c r="BR185" s="1647"/>
      <c r="BS185" s="1647"/>
      <c r="BT185" s="1647"/>
      <c r="BU185" s="1647"/>
      <c r="BV185" s="1647"/>
      <c r="BW185" s="1647"/>
      <c r="BX185" s="1647"/>
      <c r="BY185" s="1647"/>
      <c r="BZ185" s="1647"/>
      <c r="CA185" s="1647"/>
      <c r="CB185" s="1647"/>
      <c r="CC185" s="1647"/>
      <c r="CD185" s="1647"/>
    </row>
    <row r="186" spans="2:82" s="1458" customFormat="1" hidden="1">
      <c r="B186" s="1900"/>
      <c r="C186" s="1901"/>
      <c r="D186" s="1902"/>
      <c r="E186" s="1903"/>
      <c r="F186"/>
      <c r="G186" s="1903"/>
      <c r="H186" s="1903"/>
      <c r="I186" s="1903"/>
      <c r="J186" s="1903"/>
      <c r="K186" s="1903"/>
      <c r="L186" s="1903"/>
      <c r="M186" s="1903"/>
      <c r="N186" s="1903"/>
      <c r="O186"/>
      <c r="P186" s="1904"/>
      <c r="Q186" s="1904"/>
      <c r="R186" s="1905"/>
      <c r="S186" s="1906"/>
      <c r="T186" s="1906"/>
      <c r="U186" s="1906"/>
      <c r="V186" s="1906"/>
      <c r="W186" s="1906"/>
      <c r="X186" s="1906"/>
      <c r="Y186" s="1906"/>
      <c r="Z186" s="1906"/>
      <c r="AA186" s="1906"/>
      <c r="AB186" s="1906"/>
      <c r="AC186" s="1906"/>
      <c r="AD186" s="1906"/>
      <c r="AE186" s="1906"/>
      <c r="AF186"/>
      <c r="AG186" s="1907"/>
      <c r="AH186" s="1647"/>
      <c r="AI186" s="1908"/>
      <c r="AJ186" s="1647"/>
      <c r="AK186" s="1647"/>
      <c r="AL186" s="1647"/>
      <c r="AM186" s="1647"/>
      <c r="AN186" s="1647"/>
      <c r="AO186" s="1647"/>
      <c r="AP186" s="1647"/>
      <c r="AQ186" s="1647"/>
      <c r="AR186" s="1647"/>
      <c r="AS186" s="1647"/>
      <c r="AT186" s="1647"/>
      <c r="AU186" s="1647"/>
      <c r="AV186" s="1647"/>
      <c r="AW186"/>
      <c r="AX186" s="1907"/>
      <c r="AY186" s="1647"/>
      <c r="AZ186" s="1908"/>
      <c r="BA186" s="1647"/>
      <c r="BB186" s="1647"/>
      <c r="BC186" s="1647"/>
      <c r="BD186" s="1647"/>
      <c r="BE186" s="1647"/>
      <c r="BF186" s="1647"/>
      <c r="BG186" s="1647"/>
      <c r="BH186" s="1647"/>
      <c r="BI186" s="1647"/>
      <c r="BJ186" s="1647"/>
      <c r="BK186" s="1647"/>
      <c r="BL186" s="1647"/>
      <c r="BM186" s="1647"/>
      <c r="BN186"/>
      <c r="BO186" s="1907"/>
      <c r="BP186" s="1647"/>
      <c r="BQ186" s="1908"/>
      <c r="BR186" s="1647"/>
      <c r="BS186" s="1647"/>
      <c r="BT186" s="1647"/>
      <c r="BU186" s="1647"/>
      <c r="BV186" s="1647"/>
      <c r="BW186" s="1647"/>
      <c r="BX186" s="1647"/>
      <c r="BY186" s="1647"/>
      <c r="BZ186" s="1647"/>
      <c r="CA186" s="1647"/>
      <c r="CB186" s="1647"/>
      <c r="CC186" s="1647"/>
      <c r="CD186" s="1647"/>
    </row>
    <row r="187" spans="2:82" s="1458" customFormat="1" hidden="1">
      <c r="B187" s="1900"/>
      <c r="C187" s="1901"/>
      <c r="D187" s="1902"/>
      <c r="E187" s="1903"/>
      <c r="F187"/>
      <c r="G187" s="1903"/>
      <c r="H187" s="1903"/>
      <c r="I187" s="1903"/>
      <c r="J187" s="1903"/>
      <c r="K187" s="1903"/>
      <c r="L187" s="1903"/>
      <c r="M187" s="1903"/>
      <c r="N187" s="1903"/>
      <c r="O187"/>
      <c r="P187" s="1904"/>
      <c r="Q187" s="1904"/>
      <c r="R187" s="1905"/>
      <c r="S187" s="1906"/>
      <c r="T187" s="1906"/>
      <c r="U187" s="1906"/>
      <c r="V187" s="1906"/>
      <c r="W187" s="1906"/>
      <c r="X187" s="1906"/>
      <c r="Y187" s="1906"/>
      <c r="Z187" s="1906"/>
      <c r="AA187" s="1906"/>
      <c r="AB187" s="1906"/>
      <c r="AC187" s="1906"/>
      <c r="AD187" s="1906"/>
      <c r="AE187" s="1906"/>
      <c r="AF187"/>
      <c r="AG187" s="1907"/>
      <c r="AH187" s="1647"/>
      <c r="AI187" s="1908"/>
      <c r="AJ187" s="1647"/>
      <c r="AK187" s="1647"/>
      <c r="AL187" s="1647"/>
      <c r="AM187" s="1647"/>
      <c r="AN187" s="1647"/>
      <c r="AO187" s="1647"/>
      <c r="AP187" s="1647"/>
      <c r="AQ187" s="1647"/>
      <c r="AR187" s="1647"/>
      <c r="AS187" s="1647"/>
      <c r="AT187" s="1647"/>
      <c r="AU187" s="1647"/>
      <c r="AV187" s="1647"/>
      <c r="AW187"/>
      <c r="AX187" s="1907"/>
      <c r="AY187" s="1647"/>
      <c r="AZ187" s="1908"/>
      <c r="BA187" s="1647"/>
      <c r="BB187" s="1647"/>
      <c r="BC187" s="1647"/>
      <c r="BD187" s="1647"/>
      <c r="BE187" s="1647"/>
      <c r="BF187" s="1647"/>
      <c r="BG187" s="1647"/>
      <c r="BH187" s="1647"/>
      <c r="BI187" s="1647"/>
      <c r="BJ187" s="1647"/>
      <c r="BK187" s="1647"/>
      <c r="BL187" s="1647"/>
      <c r="BM187" s="1647"/>
      <c r="BN187"/>
      <c r="BO187" s="1907"/>
      <c r="BP187" s="1647"/>
      <c r="BQ187" s="1908"/>
      <c r="BR187" s="1647"/>
      <c r="BS187" s="1647"/>
      <c r="BT187" s="1647"/>
      <c r="BU187" s="1647"/>
      <c r="BV187" s="1647"/>
      <c r="BW187" s="1647"/>
      <c r="BX187" s="1647"/>
      <c r="BY187" s="1647"/>
      <c r="BZ187" s="1647"/>
      <c r="CA187" s="1647"/>
      <c r="CB187" s="1647"/>
      <c r="CC187" s="1647"/>
      <c r="CD187" s="1647"/>
    </row>
    <row r="188" spans="2:82" s="1458" customFormat="1" hidden="1">
      <c r="B188" s="1900"/>
      <c r="C188" s="1901"/>
      <c r="D188" s="1902"/>
      <c r="E188" s="1903"/>
      <c r="F188"/>
      <c r="G188" s="1903"/>
      <c r="H188" s="1903"/>
      <c r="I188" s="1903"/>
      <c r="J188" s="1903"/>
      <c r="K188" s="1903"/>
      <c r="L188" s="1903"/>
      <c r="M188" s="1903"/>
      <c r="N188" s="1903"/>
      <c r="O188"/>
      <c r="P188" s="1904"/>
      <c r="Q188" s="1904"/>
      <c r="R188" s="1905"/>
      <c r="S188" s="1906"/>
      <c r="T188" s="1906"/>
      <c r="U188" s="1906"/>
      <c r="V188" s="1906"/>
      <c r="W188" s="1906"/>
      <c r="X188" s="1906"/>
      <c r="Y188" s="1906"/>
      <c r="Z188" s="1906"/>
      <c r="AA188" s="1906"/>
      <c r="AB188" s="1906"/>
      <c r="AC188" s="1906"/>
      <c r="AD188" s="1906"/>
      <c r="AE188" s="1906"/>
      <c r="AF188"/>
      <c r="AG188" s="1907"/>
      <c r="AH188" s="1647"/>
      <c r="AI188" s="1908"/>
      <c r="AJ188" s="1647"/>
      <c r="AK188" s="1647"/>
      <c r="AL188" s="1647"/>
      <c r="AM188" s="1647"/>
      <c r="AN188" s="1647"/>
      <c r="AO188" s="1647"/>
      <c r="AP188" s="1647"/>
      <c r="AQ188" s="1647"/>
      <c r="AR188" s="1647"/>
      <c r="AS188" s="1647"/>
      <c r="AT188" s="1647"/>
      <c r="AU188" s="1647"/>
      <c r="AV188" s="1647"/>
      <c r="AW188"/>
      <c r="AX188" s="1907"/>
      <c r="AY188" s="1647"/>
      <c r="AZ188" s="1908"/>
      <c r="BA188" s="1647"/>
      <c r="BB188" s="1647"/>
      <c r="BC188" s="1647"/>
      <c r="BD188" s="1647"/>
      <c r="BE188" s="1647"/>
      <c r="BF188" s="1647"/>
      <c r="BG188" s="1647"/>
      <c r="BH188" s="1647"/>
      <c r="BI188" s="1647"/>
      <c r="BJ188" s="1647"/>
      <c r="BK188" s="1647"/>
      <c r="BL188" s="1647"/>
      <c r="BM188" s="1647"/>
      <c r="BN188"/>
      <c r="BO188" s="1907"/>
      <c r="BP188" s="1647"/>
      <c r="BQ188" s="1908"/>
      <c r="BR188" s="1647"/>
      <c r="BS188" s="1647"/>
      <c r="BT188" s="1647"/>
      <c r="BU188" s="1647"/>
      <c r="BV188" s="1647"/>
      <c r="BW188" s="1647"/>
      <c r="BX188" s="1647"/>
      <c r="BY188" s="1647"/>
      <c r="BZ188" s="1647"/>
      <c r="CA188" s="1647"/>
      <c r="CB188" s="1647"/>
      <c r="CC188" s="1647"/>
      <c r="CD188" s="1647"/>
    </row>
    <row r="189" spans="2:82" s="1458" customFormat="1" hidden="1">
      <c r="B189" s="1900"/>
      <c r="C189" s="1901"/>
      <c r="D189" s="1902"/>
      <c r="E189" s="1903"/>
      <c r="F189"/>
      <c r="G189" s="1903"/>
      <c r="H189" s="1903"/>
      <c r="I189" s="1903"/>
      <c r="J189" s="1903"/>
      <c r="K189" s="1903"/>
      <c r="L189" s="1903"/>
      <c r="M189" s="1903"/>
      <c r="N189" s="1903"/>
      <c r="O189"/>
      <c r="P189" s="1904"/>
      <c r="Q189" s="1904"/>
      <c r="R189" s="1905"/>
      <c r="S189" s="1906"/>
      <c r="T189" s="1906"/>
      <c r="U189" s="1906"/>
      <c r="V189" s="1906"/>
      <c r="W189" s="1906"/>
      <c r="X189" s="1906"/>
      <c r="Y189" s="1906"/>
      <c r="Z189" s="1906"/>
      <c r="AA189" s="1906"/>
      <c r="AB189" s="1906"/>
      <c r="AC189" s="1906"/>
      <c r="AD189" s="1906"/>
      <c r="AE189" s="1906"/>
      <c r="AF189"/>
      <c r="AG189" s="1907"/>
      <c r="AH189" s="1647"/>
      <c r="AI189" s="1908"/>
      <c r="AJ189" s="1647"/>
      <c r="AK189" s="1647"/>
      <c r="AL189" s="1647"/>
      <c r="AM189" s="1647"/>
      <c r="AN189" s="1647"/>
      <c r="AO189" s="1647"/>
      <c r="AP189" s="1647"/>
      <c r="AQ189" s="1647"/>
      <c r="AR189" s="1647"/>
      <c r="AS189" s="1647"/>
      <c r="AT189" s="1647"/>
      <c r="AU189" s="1647"/>
      <c r="AV189" s="1647"/>
      <c r="AW189"/>
      <c r="AX189" s="1907"/>
      <c r="AY189" s="1647"/>
      <c r="AZ189" s="1908"/>
      <c r="BA189" s="1647"/>
      <c r="BB189" s="1647"/>
      <c r="BC189" s="1647"/>
      <c r="BD189" s="1647"/>
      <c r="BE189" s="1647"/>
      <c r="BF189" s="1647"/>
      <c r="BG189" s="1647"/>
      <c r="BH189" s="1647"/>
      <c r="BI189" s="1647"/>
      <c r="BJ189" s="1647"/>
      <c r="BK189" s="1647"/>
      <c r="BL189" s="1647"/>
      <c r="BM189" s="1647"/>
      <c r="BN189"/>
      <c r="BO189" s="1907"/>
      <c r="BP189" s="1647"/>
      <c r="BQ189" s="1908"/>
      <c r="BR189" s="1647"/>
      <c r="BS189" s="1647"/>
      <c r="BT189" s="1647"/>
      <c r="BU189" s="1647"/>
      <c r="BV189" s="1647"/>
      <c r="BW189" s="1647"/>
      <c r="BX189" s="1647"/>
      <c r="BY189" s="1647"/>
      <c r="BZ189" s="1647"/>
      <c r="CA189" s="1647"/>
      <c r="CB189" s="1647"/>
      <c r="CC189" s="1647"/>
      <c r="CD189" s="1647"/>
    </row>
    <row r="190" spans="2:82" s="1458" customFormat="1" hidden="1">
      <c r="B190" s="1900"/>
      <c r="C190" s="1901"/>
      <c r="D190" s="1902"/>
      <c r="E190" s="1903"/>
      <c r="F190"/>
      <c r="G190" s="1903"/>
      <c r="H190" s="1903"/>
      <c r="I190" s="1903"/>
      <c r="J190" s="1903"/>
      <c r="K190" s="1903"/>
      <c r="L190" s="1903"/>
      <c r="M190" s="1903"/>
      <c r="N190" s="1903"/>
      <c r="O190"/>
      <c r="P190" s="1904"/>
      <c r="Q190" s="1904"/>
      <c r="R190" s="1905"/>
      <c r="S190" s="1906"/>
      <c r="T190" s="1906"/>
      <c r="U190" s="1906"/>
      <c r="V190" s="1906"/>
      <c r="W190" s="1906"/>
      <c r="X190" s="1906"/>
      <c r="Y190" s="1906"/>
      <c r="Z190" s="1906"/>
      <c r="AA190" s="1906"/>
      <c r="AB190" s="1906"/>
      <c r="AC190" s="1906"/>
      <c r="AD190" s="1906"/>
      <c r="AE190" s="1906"/>
      <c r="AF190"/>
      <c r="AG190" s="1907"/>
      <c r="AH190" s="1647"/>
      <c r="AI190" s="1908"/>
      <c r="AJ190" s="1647"/>
      <c r="AK190" s="1647"/>
      <c r="AL190" s="1647"/>
      <c r="AM190" s="1647"/>
      <c r="AN190" s="1647"/>
      <c r="AO190" s="1647"/>
      <c r="AP190" s="1647"/>
      <c r="AQ190" s="1647"/>
      <c r="AR190" s="1647"/>
      <c r="AS190" s="1647"/>
      <c r="AT190" s="1647"/>
      <c r="AU190" s="1647"/>
      <c r="AV190" s="1647"/>
      <c r="AW190"/>
      <c r="AX190" s="1907"/>
      <c r="AY190" s="1647"/>
      <c r="AZ190" s="1908"/>
      <c r="BA190" s="1647"/>
      <c r="BB190" s="1647"/>
      <c r="BC190" s="1647"/>
      <c r="BD190" s="1647"/>
      <c r="BE190" s="1647"/>
      <c r="BF190" s="1647"/>
      <c r="BG190" s="1647"/>
      <c r="BH190" s="1647"/>
      <c r="BI190" s="1647"/>
      <c r="BJ190" s="1647"/>
      <c r="BK190" s="1647"/>
      <c r="BL190" s="1647"/>
      <c r="BM190" s="1647"/>
      <c r="BN190"/>
      <c r="BO190" s="1907"/>
      <c r="BP190" s="1647"/>
      <c r="BQ190" s="1908"/>
      <c r="BR190" s="1647"/>
      <c r="BS190" s="1647"/>
      <c r="BT190" s="1647"/>
      <c r="BU190" s="1647"/>
      <c r="BV190" s="1647"/>
      <c r="BW190" s="1647"/>
      <c r="BX190" s="1647"/>
      <c r="BY190" s="1647"/>
      <c r="BZ190" s="1647"/>
      <c r="CA190" s="1647"/>
      <c r="CB190" s="1647"/>
      <c r="CC190" s="1647"/>
      <c r="CD190" s="1647"/>
    </row>
    <row r="191" spans="2:82" s="1458" customFormat="1" hidden="1">
      <c r="B191" s="1900"/>
      <c r="C191" s="1901"/>
      <c r="D191" s="1902"/>
      <c r="E191" s="1903"/>
      <c r="F191"/>
      <c r="G191" s="1903"/>
      <c r="H191" s="1903"/>
      <c r="I191" s="1903"/>
      <c r="J191" s="1903"/>
      <c r="K191" s="1903"/>
      <c r="L191" s="1903"/>
      <c r="M191" s="1903"/>
      <c r="N191" s="1903"/>
      <c r="O191"/>
      <c r="P191" s="1904"/>
      <c r="Q191" s="1904"/>
      <c r="R191" s="1905"/>
      <c r="S191" s="1906"/>
      <c r="T191" s="1906"/>
      <c r="U191" s="1906"/>
      <c r="V191" s="1906"/>
      <c r="W191" s="1906"/>
      <c r="X191" s="1906"/>
      <c r="Y191" s="1906"/>
      <c r="Z191" s="1906"/>
      <c r="AA191" s="1906"/>
      <c r="AB191" s="1906"/>
      <c r="AC191" s="1906"/>
      <c r="AD191" s="1906"/>
      <c r="AE191" s="1906"/>
      <c r="AF191"/>
      <c r="AG191" s="1907"/>
      <c r="AH191" s="1647"/>
      <c r="AI191" s="1908"/>
      <c r="AJ191" s="1647"/>
      <c r="AK191" s="1647"/>
      <c r="AL191" s="1647"/>
      <c r="AM191" s="1647"/>
      <c r="AN191" s="1647"/>
      <c r="AO191" s="1647"/>
      <c r="AP191" s="1647"/>
      <c r="AQ191" s="1647"/>
      <c r="AR191" s="1647"/>
      <c r="AS191" s="1647"/>
      <c r="AT191" s="1647"/>
      <c r="AU191" s="1647"/>
      <c r="AV191" s="1647"/>
      <c r="AW191"/>
      <c r="AX191" s="1907"/>
      <c r="AY191" s="1647"/>
      <c r="AZ191" s="1908"/>
      <c r="BA191" s="1647"/>
      <c r="BB191" s="1647"/>
      <c r="BC191" s="1647"/>
      <c r="BD191" s="1647"/>
      <c r="BE191" s="1647"/>
      <c r="BF191" s="1647"/>
      <c r="BG191" s="1647"/>
      <c r="BH191" s="1647"/>
      <c r="BI191" s="1647"/>
      <c r="BJ191" s="1647"/>
      <c r="BK191" s="1647"/>
      <c r="BL191" s="1647"/>
      <c r="BM191" s="1647"/>
      <c r="BN191"/>
      <c r="BO191" s="1907"/>
      <c r="BP191" s="1647"/>
      <c r="BQ191" s="1908"/>
      <c r="BR191" s="1647"/>
      <c r="BS191" s="1647"/>
      <c r="BT191" s="1647"/>
      <c r="BU191" s="1647"/>
      <c r="BV191" s="1647"/>
      <c r="BW191" s="1647"/>
      <c r="BX191" s="1647"/>
      <c r="BY191" s="1647"/>
      <c r="BZ191" s="1647"/>
      <c r="CA191" s="1647"/>
      <c r="CB191" s="1647"/>
      <c r="CC191" s="1647"/>
      <c r="CD191" s="1647"/>
    </row>
    <row r="192" spans="2:82" s="1458" customFormat="1" hidden="1">
      <c r="B192" s="1900"/>
      <c r="C192" s="1901"/>
      <c r="D192" s="1902"/>
      <c r="E192" s="1903"/>
      <c r="F192"/>
      <c r="G192" s="1903"/>
      <c r="H192" s="1903"/>
      <c r="I192" s="1903"/>
      <c r="J192" s="1903"/>
      <c r="K192" s="1903"/>
      <c r="L192" s="1903"/>
      <c r="M192" s="1903"/>
      <c r="N192" s="1903"/>
      <c r="O192"/>
      <c r="P192" s="1904"/>
      <c r="Q192" s="1904"/>
      <c r="R192" s="1905"/>
      <c r="S192" s="1906"/>
      <c r="T192" s="1906"/>
      <c r="U192" s="1906"/>
      <c r="V192" s="1906"/>
      <c r="W192" s="1906"/>
      <c r="X192" s="1906"/>
      <c r="Y192" s="1906"/>
      <c r="Z192" s="1906"/>
      <c r="AA192" s="1906"/>
      <c r="AB192" s="1906"/>
      <c r="AC192" s="1906"/>
      <c r="AD192" s="1906"/>
      <c r="AE192" s="1906"/>
      <c r="AF192"/>
      <c r="AG192" s="1907"/>
      <c r="AH192" s="1647"/>
      <c r="AI192" s="1908"/>
      <c r="AJ192" s="1647"/>
      <c r="AK192" s="1647"/>
      <c r="AL192" s="1647"/>
      <c r="AM192" s="1647"/>
      <c r="AN192" s="1647"/>
      <c r="AO192" s="1647"/>
      <c r="AP192" s="1647"/>
      <c r="AQ192" s="1647"/>
      <c r="AR192" s="1647"/>
      <c r="AS192" s="1647"/>
      <c r="AT192" s="1647"/>
      <c r="AU192" s="1647"/>
      <c r="AV192" s="1647"/>
      <c r="AW192"/>
      <c r="AX192" s="1907"/>
      <c r="AY192" s="1647"/>
      <c r="AZ192" s="1908"/>
      <c r="BA192" s="1647"/>
      <c r="BB192" s="1647"/>
      <c r="BC192" s="1647"/>
      <c r="BD192" s="1647"/>
      <c r="BE192" s="1647"/>
      <c r="BF192" s="1647"/>
      <c r="BG192" s="1647"/>
      <c r="BH192" s="1647"/>
      <c r="BI192" s="1647"/>
      <c r="BJ192" s="1647"/>
      <c r="BK192" s="1647"/>
      <c r="BL192" s="1647"/>
      <c r="BM192" s="1647"/>
      <c r="BN192"/>
      <c r="BO192" s="1907"/>
      <c r="BP192" s="1647"/>
      <c r="BQ192" s="1908"/>
      <c r="BR192" s="1647"/>
      <c r="BS192" s="1647"/>
      <c r="BT192" s="1647"/>
      <c r="BU192" s="1647"/>
      <c r="BV192" s="1647"/>
      <c r="BW192" s="1647"/>
      <c r="BX192" s="1647"/>
      <c r="BY192" s="1647"/>
      <c r="BZ192" s="1647"/>
      <c r="CA192" s="1647"/>
      <c r="CB192" s="1647"/>
      <c r="CC192" s="1647"/>
      <c r="CD192" s="1647"/>
    </row>
    <row r="193" s="1458" customFormat="1" hidden="1"/>
    <row r="194" s="1458" customFormat="1" hidden="1"/>
    <row r="195" s="1458" customFormat="1" hidden="1"/>
    <row r="196" s="1458" customFormat="1" hidden="1"/>
    <row r="197" s="1458" customFormat="1" hidden="1"/>
    <row r="198" s="1458" customFormat="1" hidden="1"/>
    <row r="199" s="1458" customFormat="1" hidden="1"/>
    <row r="200" s="1458" customFormat="1" hidden="1"/>
    <row r="201" s="1458" customFormat="1" hidden="1"/>
    <row r="202" s="1458" customFormat="1" hidden="1"/>
    <row r="203" s="1458" customFormat="1" hidden="1"/>
    <row r="204" s="1458" customFormat="1" hidden="1"/>
    <row r="205" s="1458" customFormat="1" hidden="1"/>
    <row r="206" s="1458" customFormat="1" hidden="1"/>
    <row r="207" s="1458" customFormat="1" hidden="1"/>
    <row r="208" s="1458" customFormat="1" hidden="1"/>
    <row r="209" s="1458" customFormat="1" hidden="1"/>
    <row r="210" s="1458" customFormat="1" hidden="1"/>
    <row r="211" s="1458" customFormat="1" hidden="1"/>
    <row r="212" s="1458" customFormat="1" hidden="1"/>
    <row r="213" s="1458" customFormat="1" hidden="1"/>
    <row r="214" s="1458" customFormat="1" hidden="1"/>
    <row r="215" s="1458" customFormat="1" hidden="1"/>
    <row r="216" s="1458" customFormat="1" hidden="1"/>
    <row r="217" s="1458" customFormat="1" hidden="1"/>
    <row r="218" s="1458" customFormat="1" hidden="1"/>
    <row r="219" s="1458" customFormat="1" hidden="1"/>
  </sheetData>
  <sheetProtection password="82B4" sheet="1" objects="1" scenarios="1"/>
  <mergeCells count="8">
    <mergeCell ref="BR5:BZ5"/>
    <mergeCell ref="CB5:CD5"/>
    <mergeCell ref="S5:AA5"/>
    <mergeCell ref="AC5:AE5"/>
    <mergeCell ref="BA5:BI5"/>
    <mergeCell ref="BK5:BM5"/>
    <mergeCell ref="AJ5:AR5"/>
    <mergeCell ref="AT5:AV5"/>
  </mergeCells>
  <phoneticPr fontId="20"/>
  <printOptions horizontalCentered="1"/>
  <pageMargins left="0.59055118110236227" right="0.59055118110236227" top="0.78740157480314965" bottom="0.59055118110236227" header="0.51181102362204722" footer="0.51181102362204722"/>
  <pageSetup paperSize="9" scale="32" fitToWidth="2" orientation="portrait" verticalDpi="4294967293" r:id="rId1"/>
  <headerFooter alignWithMargins="0">
    <oddHeader>&amp;L&amp;F&amp;R&amp;A</oddHeader>
    <oddFooter>&amp;C&amp;P/&amp;N</oddFooter>
  </headerFooter>
  <colBreaks count="1" manualBreakCount="1">
    <brk id="48" max="1048575" man="1"/>
  </colBreaks>
</worksheet>
</file>

<file path=xl/worksheets/sheet26.xml><?xml version="1.0" encoding="utf-8"?>
<worksheet xmlns="http://schemas.openxmlformats.org/spreadsheetml/2006/main" xmlns:r="http://schemas.openxmlformats.org/officeDocument/2006/relationships">
  <sheetPr codeName="Sheet22">
    <pageSetUpPr fitToPage="1"/>
  </sheetPr>
  <dimension ref="A1:AC181"/>
  <sheetViews>
    <sheetView showGridLines="0" zoomScaleNormal="100" workbookViewId="0"/>
  </sheetViews>
  <sheetFormatPr defaultColWidth="0" defaultRowHeight="13.5" zeroHeight="1"/>
  <cols>
    <col min="1" max="1" width="2.25" customWidth="1"/>
    <col min="2" max="2" width="5.625" style="1450" customWidth="1"/>
    <col min="3" max="3" width="35.75" style="1451" bestFit="1" customWidth="1"/>
    <col min="4" max="5" width="9.75" style="1451" customWidth="1"/>
    <col min="6" max="6" width="2.625" style="1451" customWidth="1"/>
    <col min="7" max="8" width="9.5" style="1452" bestFit="1" customWidth="1"/>
    <col min="9" max="9" width="2.625" style="1453" customWidth="1"/>
    <col min="10" max="10" width="5.875" style="1638" customWidth="1"/>
    <col min="11" max="11" width="5.875" style="1454" customWidth="1"/>
    <col min="12" max="12" width="19.875" style="1455" customWidth="1"/>
    <col min="13" max="22" width="7.375" style="1456" customWidth="1"/>
    <col min="23" max="25" width="10.125" style="1456" customWidth="1"/>
    <col min="26" max="26" width="10.125" style="1457" customWidth="1"/>
    <col min="27" max="29" width="10.125" style="1458" hidden="1" customWidth="1"/>
    <col min="30" max="16384" width="0.875" style="1458" hidden="1"/>
  </cols>
  <sheetData>
    <row r="1" spans="1:26"/>
    <row r="2" spans="1:26" s="1467" customFormat="1" ht="17.25">
      <c r="A2"/>
      <c r="B2" s="1597" t="s">
        <v>348</v>
      </c>
      <c r="C2" s="1459"/>
      <c r="D2" s="1459"/>
      <c r="E2" s="1459"/>
      <c r="F2" s="1459"/>
      <c r="G2" s="1460"/>
      <c r="H2" s="1460"/>
      <c r="I2" s="1461"/>
      <c r="J2" s="1462" t="s">
        <v>216</v>
      </c>
      <c r="K2" s="1463"/>
      <c r="L2" s="1464"/>
      <c r="M2" s="1464"/>
      <c r="N2" s="1465"/>
      <c r="O2" s="1465"/>
      <c r="P2" s="1465"/>
      <c r="Q2" s="1465"/>
      <c r="R2" s="1465"/>
      <c r="S2" s="1465"/>
      <c r="T2" s="1465"/>
      <c r="U2" s="1465"/>
      <c r="V2" s="1465"/>
      <c r="W2" s="1465"/>
      <c r="X2" s="1465"/>
      <c r="Y2" s="1465"/>
      <c r="Z2" s="1466"/>
    </row>
    <row r="3" spans="1:26" s="1467" customFormat="1" ht="17.25">
      <c r="A3"/>
      <c r="B3" s="1597"/>
      <c r="C3" s="1459"/>
      <c r="D3" s="1459"/>
      <c r="E3" s="1459"/>
      <c r="F3" s="1459"/>
      <c r="G3" s="1460"/>
      <c r="H3" s="1460"/>
      <c r="I3" s="1461"/>
      <c r="J3" s="1639" t="s">
        <v>217</v>
      </c>
      <c r="K3" s="1464"/>
      <c r="L3" s="1468"/>
      <c r="M3" s="1465"/>
      <c r="N3" s="1465"/>
      <c r="O3" s="1465"/>
      <c r="P3" s="1465"/>
      <c r="Q3" s="1465"/>
      <c r="R3" s="1465"/>
      <c r="S3" s="1465"/>
      <c r="T3" s="1465"/>
      <c r="U3" s="1465"/>
      <c r="V3" s="1465"/>
      <c r="W3" s="1465"/>
      <c r="X3" s="1465"/>
      <c r="Y3" s="1465"/>
      <c r="Z3" s="1466"/>
    </row>
    <row r="4" spans="1:26" s="1467" customFormat="1" ht="4.5" customHeight="1">
      <c r="A4"/>
      <c r="B4" s="1597"/>
      <c r="C4" s="1459"/>
      <c r="D4" s="1459"/>
      <c r="E4" s="1459"/>
      <c r="F4" s="1459"/>
      <c r="G4" s="1460"/>
      <c r="H4" s="1460"/>
      <c r="I4" s="1461"/>
      <c r="J4" s="1639"/>
      <c r="K4" s="1463"/>
      <c r="L4" s="1468"/>
      <c r="M4" s="1465"/>
      <c r="N4" s="1465"/>
      <c r="O4" s="1465"/>
      <c r="P4" s="1465"/>
      <c r="Q4" s="1465"/>
      <c r="R4" s="1465"/>
      <c r="S4" s="1465"/>
      <c r="T4" s="1465"/>
      <c r="U4" s="1465"/>
      <c r="V4" s="1465"/>
      <c r="W4" s="1465"/>
      <c r="X4" s="1465"/>
      <c r="Y4" s="1465"/>
      <c r="Z4" s="1466"/>
    </row>
    <row r="5" spans="1:26">
      <c r="B5" s="2986"/>
      <c r="C5" s="2987"/>
      <c r="D5" s="1469" t="s">
        <v>345</v>
      </c>
      <c r="E5" s="1470"/>
      <c r="F5" s="1459"/>
      <c r="G5" s="1469" t="s">
        <v>349</v>
      </c>
      <c r="H5" s="1470"/>
      <c r="I5" s="1471"/>
      <c r="J5" s="1640"/>
      <c r="K5" s="1472"/>
      <c r="L5" s="1472"/>
      <c r="M5" s="1473" t="s">
        <v>219</v>
      </c>
      <c r="N5" s="1474"/>
      <c r="O5" s="1474"/>
      <c r="P5" s="1474"/>
      <c r="Q5" s="1474"/>
      <c r="R5" s="1474"/>
      <c r="S5" s="1474"/>
      <c r="T5" s="1474"/>
      <c r="U5" s="1474"/>
      <c r="V5" s="1474" t="s">
        <v>842</v>
      </c>
      <c r="W5" s="1473" t="s">
        <v>220</v>
      </c>
      <c r="X5" s="1474"/>
      <c r="Y5" s="1475"/>
      <c r="Z5" s="1476"/>
    </row>
    <row r="6" spans="1:26">
      <c r="B6" s="2988"/>
      <c r="C6" s="2989"/>
      <c r="D6" s="1478" t="s">
        <v>346</v>
      </c>
      <c r="E6" s="1478" t="s">
        <v>347</v>
      </c>
      <c r="F6" s="1459"/>
      <c r="G6" s="1478" t="s">
        <v>346</v>
      </c>
      <c r="H6" s="1478" t="s">
        <v>347</v>
      </c>
      <c r="I6" s="1479"/>
      <c r="J6" s="1640"/>
      <c r="K6" s="1472"/>
      <c r="L6" s="1472" t="s">
        <v>388</v>
      </c>
      <c r="M6" s="1480" t="s">
        <v>456</v>
      </c>
      <c r="N6" s="1480" t="s">
        <v>458</v>
      </c>
      <c r="O6" s="1480" t="s">
        <v>460</v>
      </c>
      <c r="P6" s="1480" t="s">
        <v>462</v>
      </c>
      <c r="Q6" s="1480" t="s">
        <v>466</v>
      </c>
      <c r="R6" s="1480" t="s">
        <v>767</v>
      </c>
      <c r="S6" s="1480" t="s">
        <v>470</v>
      </c>
      <c r="T6" s="1481" t="s">
        <v>766</v>
      </c>
      <c r="U6" s="1480" t="s">
        <v>472</v>
      </c>
      <c r="V6" s="1482" t="s">
        <v>458</v>
      </c>
      <c r="W6" s="1482" t="s">
        <v>223</v>
      </c>
      <c r="X6" s="1480" t="s">
        <v>224</v>
      </c>
      <c r="Y6" s="1480" t="s">
        <v>225</v>
      </c>
      <c r="Z6" s="1483"/>
    </row>
    <row r="7" spans="1:26">
      <c r="B7" s="1603"/>
      <c r="C7" s="1484" t="s">
        <v>350</v>
      </c>
      <c r="D7" s="1484"/>
      <c r="E7" s="1484"/>
      <c r="F7" s="1459"/>
      <c r="G7" s="1478"/>
      <c r="H7" s="1478"/>
      <c r="I7" s="1479"/>
      <c r="J7" s="1640"/>
      <c r="K7" s="1472"/>
      <c r="L7" s="1472"/>
      <c r="M7" s="1485">
        <f>メイン!$V$52/メイン!$V$72</f>
        <v>0.71801566579634468</v>
      </c>
      <c r="N7" s="1485">
        <f>(メイン!J54+メイン!J57+メイン!J58)/メイン!$H$19</f>
        <v>0</v>
      </c>
      <c r="O7" s="1485">
        <f>メイン!$V$59/メイン!$V$72</f>
        <v>0</v>
      </c>
      <c r="P7" s="1485">
        <f>メイン!$V$61/メイン!$V$72</f>
        <v>0</v>
      </c>
      <c r="Q7" s="1485">
        <f>メイン!$V$65/メイン!$V$72</f>
        <v>0</v>
      </c>
      <c r="R7" s="1485">
        <f>メイン!$V$66/メイン!$V$72</f>
        <v>0</v>
      </c>
      <c r="S7" s="1485">
        <f>メイン!$V$67/メイン!$V$72</f>
        <v>2.0887728459530026E-2</v>
      </c>
      <c r="T7" s="1485">
        <f>メイン!$V$62/メイン!$V$72</f>
        <v>0</v>
      </c>
      <c r="U7" s="1485">
        <f>メイン!$V$68/メイン!$V$72</f>
        <v>0.26109660574412535</v>
      </c>
      <c r="V7" s="1485">
        <f>(メイン!J55+メイン!J56)/メイン!$H$19</f>
        <v>0</v>
      </c>
      <c r="W7" s="1485">
        <f>Q7</f>
        <v>0</v>
      </c>
      <c r="X7" s="1485">
        <f>R7</f>
        <v>0</v>
      </c>
      <c r="Y7" s="1485">
        <f>S7</f>
        <v>2.0887728459530026E-2</v>
      </c>
      <c r="Z7" s="1483"/>
    </row>
    <row r="8" spans="1:26" s="1496" customFormat="1" ht="14.25">
      <c r="A8"/>
      <c r="B8" s="1486" t="s">
        <v>351</v>
      </c>
      <c r="C8" s="1487" t="s">
        <v>352</v>
      </c>
      <c r="D8" s="1488"/>
      <c r="E8" s="1488"/>
      <c r="F8" s="1459"/>
      <c r="G8" s="1489"/>
      <c r="H8" s="1489"/>
      <c r="I8" s="1490"/>
      <c r="J8" s="1486" t="s">
        <v>227</v>
      </c>
      <c r="K8" s="1491" t="s">
        <v>229</v>
      </c>
      <c r="L8" s="1491" t="s">
        <v>366</v>
      </c>
      <c r="M8" s="1492"/>
      <c r="N8" s="1492"/>
      <c r="O8" s="1492"/>
      <c r="P8" s="1492"/>
      <c r="Q8" s="1492">
        <f>1-V8</f>
        <v>1</v>
      </c>
      <c r="R8" s="1492">
        <f>1-W8</f>
        <v>1</v>
      </c>
      <c r="S8" s="1492">
        <f>1-X8</f>
        <v>1</v>
      </c>
      <c r="T8" s="1493"/>
      <c r="U8" s="1492"/>
      <c r="V8" s="1769"/>
      <c r="W8" s="1494">
        <f>メイン!$J$73</f>
        <v>0</v>
      </c>
      <c r="X8" s="1494">
        <f>メイン!$J$74</f>
        <v>0</v>
      </c>
      <c r="Y8" s="1494">
        <f>メイン!$J$75</f>
        <v>0.9375</v>
      </c>
      <c r="Z8" s="1495"/>
    </row>
    <row r="9" spans="1:26" s="1505" customFormat="1">
      <c r="A9"/>
      <c r="B9" s="1497" t="str">
        <f t="shared" ref="B9:B40" si="0">J9</f>
        <v>Q1</v>
      </c>
      <c r="C9" s="1498" t="str">
        <f t="shared" ref="C9:C40" si="1">L9</f>
        <v>室内環境</v>
      </c>
      <c r="D9" s="1499">
        <f>G9</f>
        <v>0.37389033942558753</v>
      </c>
      <c r="E9" s="1499">
        <f>H9</f>
        <v>0</v>
      </c>
      <c r="F9" s="1459"/>
      <c r="G9" s="1500">
        <f>SUMPRODUCT($M$7:$Y$7,M9:Y9)</f>
        <v>0.37389033942558753</v>
      </c>
      <c r="H9" s="1500">
        <f>(W$7*W9)+(X$7*X9)+(Y$7*Y9)</f>
        <v>0</v>
      </c>
      <c r="I9" s="1501"/>
      <c r="J9" s="1497" t="s">
        <v>1528</v>
      </c>
      <c r="K9" s="1959" t="s">
        <v>229</v>
      </c>
      <c r="L9" s="1958" t="s">
        <v>1529</v>
      </c>
      <c r="M9" s="1503">
        <v>0.4</v>
      </c>
      <c r="N9" s="1503">
        <v>0.4</v>
      </c>
      <c r="O9" s="1503">
        <v>0.4</v>
      </c>
      <c r="P9" s="1503">
        <v>0.4</v>
      </c>
      <c r="Q9" s="1503">
        <v>0.4</v>
      </c>
      <c r="R9" s="1503">
        <v>0.4</v>
      </c>
      <c r="S9" s="1503">
        <v>0.4</v>
      </c>
      <c r="T9" s="1503">
        <v>0.4</v>
      </c>
      <c r="U9" s="1503">
        <v>0.3</v>
      </c>
      <c r="V9" s="1960">
        <v>0.4</v>
      </c>
      <c r="W9" s="1961"/>
      <c r="X9" s="1960"/>
      <c r="Y9" s="1960"/>
      <c r="Z9" s="1504"/>
    </row>
    <row r="10" spans="1:26" s="1505" customFormat="1">
      <c r="A10"/>
      <c r="B10" s="1497">
        <f t="shared" si="0"/>
        <v>1</v>
      </c>
      <c r="C10" s="1507" t="str">
        <f t="shared" si="1"/>
        <v>音環境</v>
      </c>
      <c r="D10" s="1508">
        <f>SUM(D11:D19)</f>
        <v>0.15313315926892951</v>
      </c>
      <c r="E10" s="1508">
        <f>SUM(E11:E19)</f>
        <v>0</v>
      </c>
      <c r="F10" s="1459"/>
      <c r="G10" s="1509">
        <f>SUMPRODUCT($M$7:$Y$7,M10:Y10)</f>
        <v>0.15</v>
      </c>
      <c r="H10" s="1509">
        <f t="shared" ref="H10:H73" si="2">(W$7*W10)+(X$7*X10)+(Y$7*Y10)</f>
        <v>0</v>
      </c>
      <c r="I10" s="1501"/>
      <c r="J10" s="1541">
        <v>1</v>
      </c>
      <c r="K10" s="1644" t="s">
        <v>230</v>
      </c>
      <c r="L10" s="1680" t="s">
        <v>925</v>
      </c>
      <c r="M10" s="1510">
        <v>0.15</v>
      </c>
      <c r="N10" s="1510">
        <v>0.15</v>
      </c>
      <c r="O10" s="1510">
        <v>0.15</v>
      </c>
      <c r="P10" s="1510">
        <v>0.15</v>
      </c>
      <c r="Q10" s="1510">
        <v>0.15</v>
      </c>
      <c r="R10" s="1510">
        <v>0.15</v>
      </c>
      <c r="S10" s="1510">
        <v>0.15</v>
      </c>
      <c r="T10" s="1511">
        <v>0.23</v>
      </c>
      <c r="U10" s="1510">
        <v>0.15</v>
      </c>
      <c r="V10" s="1611">
        <v>0.15</v>
      </c>
      <c r="W10" s="1963"/>
      <c r="X10" s="1611"/>
      <c r="Y10" s="1611"/>
      <c r="Z10" s="1512"/>
    </row>
    <row r="11" spans="1:26">
      <c r="B11" s="1497">
        <f t="shared" si="0"/>
        <v>1.1000000000000001</v>
      </c>
      <c r="C11" s="1514" t="str">
        <f t="shared" si="1"/>
        <v>騒音</v>
      </c>
      <c r="D11" s="1522">
        <f>G10*G11</f>
        <v>6.6422976501305492E-2</v>
      </c>
      <c r="E11" s="1522">
        <f>H10*H11</f>
        <v>0</v>
      </c>
      <c r="F11" s="1459"/>
      <c r="G11" s="1516">
        <f t="shared" ref="G11:G73" si="3">SUMPRODUCT($M$7:$Y$7,M11:Y11)</f>
        <v>0.44281984334203667</v>
      </c>
      <c r="H11" s="1516">
        <f t="shared" si="2"/>
        <v>8.3550913838120102E-3</v>
      </c>
      <c r="I11" s="1471"/>
      <c r="J11" s="1547">
        <v>1.1000000000000001</v>
      </c>
      <c r="K11" s="1593" t="s">
        <v>231</v>
      </c>
      <c r="L11" s="1964" t="s">
        <v>1316</v>
      </c>
      <c r="M11" s="2251">
        <v>0.4</v>
      </c>
      <c r="N11" s="1518">
        <v>0.4</v>
      </c>
      <c r="O11" s="1518">
        <v>0.8</v>
      </c>
      <c r="P11" s="1518">
        <v>0.4</v>
      </c>
      <c r="Q11" s="2251">
        <v>0.4</v>
      </c>
      <c r="R11" s="1518">
        <v>0.8</v>
      </c>
      <c r="S11" s="1518">
        <v>0.8</v>
      </c>
      <c r="T11" s="2251">
        <v>0.8</v>
      </c>
      <c r="U11" s="2251">
        <v>0.5</v>
      </c>
      <c r="V11" s="1523">
        <v>0.4</v>
      </c>
      <c r="W11" s="1525">
        <v>0.5</v>
      </c>
      <c r="X11" s="1523">
        <v>0.4</v>
      </c>
      <c r="Y11" s="1523">
        <v>0.4</v>
      </c>
      <c r="Z11" s="1520"/>
    </row>
    <row r="12" spans="1:26" hidden="1">
      <c r="B12" s="1497" t="str">
        <f t="shared" si="0"/>
        <v>1.1.1</v>
      </c>
      <c r="C12" s="1550" t="str">
        <f t="shared" si="1"/>
        <v>室内騒音レベル</v>
      </c>
      <c r="D12" s="1515"/>
      <c r="E12" s="1515"/>
      <c r="F12" s="1459"/>
      <c r="G12" s="1516">
        <f t="shared" si="3"/>
        <v>0</v>
      </c>
      <c r="H12" s="1516">
        <f t="shared" si="2"/>
        <v>0</v>
      </c>
      <c r="I12" s="1471"/>
      <c r="J12" s="1547" t="s">
        <v>232</v>
      </c>
      <c r="K12" s="1593" t="s">
        <v>233</v>
      </c>
      <c r="L12" s="1964" t="s">
        <v>843</v>
      </c>
      <c r="M12" s="1518"/>
      <c r="N12" s="1518"/>
      <c r="O12" s="1518"/>
      <c r="P12" s="1518"/>
      <c r="Q12" s="1518"/>
      <c r="R12" s="1518"/>
      <c r="S12" s="1518"/>
      <c r="T12" s="1518"/>
      <c r="U12" s="1518"/>
      <c r="V12" s="1523"/>
      <c r="W12" s="1525"/>
      <c r="X12" s="1523"/>
      <c r="Y12" s="1523"/>
      <c r="Z12" s="1520"/>
    </row>
    <row r="13" spans="1:26" hidden="1">
      <c r="B13" s="1497" t="str">
        <f t="shared" si="0"/>
        <v>1.1.2</v>
      </c>
      <c r="C13" s="1550" t="str">
        <f t="shared" si="1"/>
        <v>設備騒音対策</v>
      </c>
      <c r="D13" s="1515"/>
      <c r="E13" s="1515"/>
      <c r="F13" s="1459"/>
      <c r="G13" s="1516">
        <f t="shared" si="3"/>
        <v>0</v>
      </c>
      <c r="H13" s="1516">
        <f t="shared" si="2"/>
        <v>0</v>
      </c>
      <c r="I13" s="1471"/>
      <c r="J13" s="1547" t="s">
        <v>234</v>
      </c>
      <c r="K13" s="1593" t="s">
        <v>233</v>
      </c>
      <c r="L13" s="1964" t="s">
        <v>367</v>
      </c>
      <c r="M13" s="1518"/>
      <c r="N13" s="1518"/>
      <c r="O13" s="1518"/>
      <c r="P13" s="1518"/>
      <c r="Q13" s="1518"/>
      <c r="R13" s="1518"/>
      <c r="S13" s="1518"/>
      <c r="T13" s="1518"/>
      <c r="U13" s="1518"/>
      <c r="V13" s="1523"/>
      <c r="W13" s="1525"/>
      <c r="X13" s="1523"/>
      <c r="Y13" s="1523"/>
      <c r="Z13" s="1520"/>
    </row>
    <row r="14" spans="1:26">
      <c r="B14" s="1497">
        <f t="shared" si="0"/>
        <v>1.2</v>
      </c>
      <c r="C14" s="522" t="str">
        <f t="shared" si="1"/>
        <v>遮音</v>
      </c>
      <c r="D14" s="1522"/>
      <c r="E14" s="1522"/>
      <c r="F14" s="1459"/>
      <c r="G14" s="1516">
        <f t="shared" si="3"/>
        <v>0.42610966057441263</v>
      </c>
      <c r="H14" s="1516">
        <f t="shared" si="2"/>
        <v>8.3550913838120102E-3</v>
      </c>
      <c r="I14" s="1471"/>
      <c r="J14" s="1547">
        <v>1.2</v>
      </c>
      <c r="K14" s="1593" t="s">
        <v>231</v>
      </c>
      <c r="L14" s="1885" t="s">
        <v>368</v>
      </c>
      <c r="M14" s="2251">
        <v>0.4</v>
      </c>
      <c r="N14" s="1518">
        <v>0.4</v>
      </c>
      <c r="O14" s="1518"/>
      <c r="P14" s="1518">
        <v>0.4</v>
      </c>
      <c r="Q14" s="2251">
        <v>0.4</v>
      </c>
      <c r="R14" s="1518"/>
      <c r="S14" s="1518"/>
      <c r="T14" s="1518"/>
      <c r="U14" s="2251">
        <v>0.5</v>
      </c>
      <c r="V14" s="1523">
        <v>0.4</v>
      </c>
      <c r="W14" s="1525">
        <v>0.5</v>
      </c>
      <c r="X14" s="1523">
        <v>0.4</v>
      </c>
      <c r="Y14" s="2252">
        <v>0.4</v>
      </c>
      <c r="Z14" s="1520"/>
    </row>
    <row r="15" spans="1:26">
      <c r="B15" s="1497" t="str">
        <f t="shared" si="0"/>
        <v>1.2.1</v>
      </c>
      <c r="C15" s="522" t="str">
        <f t="shared" si="1"/>
        <v>開口部遮音性能</v>
      </c>
      <c r="D15" s="1515">
        <f t="shared" ref="D15:E18" si="4">G$10*G$14*G15</f>
        <v>0</v>
      </c>
      <c r="E15" s="1515">
        <f t="shared" si="4"/>
        <v>0</v>
      </c>
      <c r="F15" s="1459"/>
      <c r="G15" s="1516">
        <f t="shared" si="3"/>
        <v>0</v>
      </c>
      <c r="H15" s="1516">
        <f t="shared" si="2"/>
        <v>0</v>
      </c>
      <c r="I15" s="1471"/>
      <c r="J15" s="1547" t="s">
        <v>1471</v>
      </c>
      <c r="K15" s="1593" t="s">
        <v>235</v>
      </c>
      <c r="L15" s="1885" t="s">
        <v>1472</v>
      </c>
      <c r="M15" s="1554"/>
      <c r="N15" s="1554"/>
      <c r="O15" s="1554"/>
      <c r="P15" s="1554"/>
      <c r="Q15" s="1554"/>
      <c r="R15" s="1554"/>
      <c r="S15" s="1554"/>
      <c r="T15" s="1554"/>
      <c r="U15" s="1554"/>
      <c r="V15" s="1523"/>
      <c r="W15" s="1525"/>
      <c r="X15" s="1523"/>
      <c r="Y15" s="1523"/>
      <c r="Z15" s="1520"/>
    </row>
    <row r="16" spans="1:26">
      <c r="B16" s="1497" t="str">
        <f t="shared" si="0"/>
        <v>1.2.2</v>
      </c>
      <c r="C16" s="522" t="str">
        <f t="shared" si="1"/>
        <v>界壁遮音性能</v>
      </c>
      <c r="D16" s="1515">
        <f t="shared" si="4"/>
        <v>6.3115407426596423E-2</v>
      </c>
      <c r="E16" s="1515">
        <f t="shared" si="4"/>
        <v>0</v>
      </c>
      <c r="F16" s="1459"/>
      <c r="G16" s="1516">
        <f t="shared" si="3"/>
        <v>0.98746736292428205</v>
      </c>
      <c r="H16" s="1516">
        <f t="shared" si="2"/>
        <v>8.3550913838120102E-3</v>
      </c>
      <c r="I16" s="1471"/>
      <c r="J16" s="1547" t="s">
        <v>1473</v>
      </c>
      <c r="K16" s="1593" t="s">
        <v>235</v>
      </c>
      <c r="L16" s="1885" t="s">
        <v>548</v>
      </c>
      <c r="M16" s="2253">
        <v>1</v>
      </c>
      <c r="N16" s="1523">
        <v>0.4</v>
      </c>
      <c r="O16" s="1523"/>
      <c r="P16" s="1523">
        <v>1</v>
      </c>
      <c r="Q16" s="2253">
        <v>0.4</v>
      </c>
      <c r="R16" s="1523"/>
      <c r="S16" s="1523"/>
      <c r="T16" s="1524"/>
      <c r="U16" s="2253">
        <v>1</v>
      </c>
      <c r="V16" s="1523">
        <v>0.4</v>
      </c>
      <c r="W16" s="1525">
        <v>1</v>
      </c>
      <c r="X16" s="1523">
        <v>0.4</v>
      </c>
      <c r="Y16" s="1523">
        <v>0.4</v>
      </c>
      <c r="Z16" s="1520"/>
    </row>
    <row r="17" spans="1:26">
      <c r="B17" s="1497" t="str">
        <f t="shared" si="0"/>
        <v>1.2.3</v>
      </c>
      <c r="C17" s="522" t="str">
        <f t="shared" si="1"/>
        <v>界床遮音性能（軽量衝撃源）</v>
      </c>
      <c r="D17" s="1515">
        <f t="shared" si="4"/>
        <v>4.0052082978273777E-4</v>
      </c>
      <c r="E17" s="1515">
        <f t="shared" si="4"/>
        <v>0</v>
      </c>
      <c r="F17" s="1459"/>
      <c r="G17" s="1516">
        <f t="shared" si="3"/>
        <v>6.2663185378590081E-3</v>
      </c>
      <c r="H17" s="1516">
        <f t="shared" si="2"/>
        <v>6.2663185378590081E-3</v>
      </c>
      <c r="I17" s="1471"/>
      <c r="J17" s="1547" t="s">
        <v>1321</v>
      </c>
      <c r="K17" s="1593" t="s">
        <v>235</v>
      </c>
      <c r="L17" s="1885" t="s">
        <v>549</v>
      </c>
      <c r="M17" s="1523"/>
      <c r="N17" s="1523">
        <v>0.3</v>
      </c>
      <c r="O17" s="1523"/>
      <c r="P17" s="1523"/>
      <c r="Q17" s="2253">
        <v>0.6</v>
      </c>
      <c r="R17" s="1523"/>
      <c r="S17" s="1523"/>
      <c r="T17" s="1524"/>
      <c r="U17" s="1523"/>
      <c r="V17" s="1523">
        <v>0.3</v>
      </c>
      <c r="W17" s="1525"/>
      <c r="X17" s="1523">
        <v>0.3</v>
      </c>
      <c r="Y17" s="1523">
        <v>0.3</v>
      </c>
      <c r="Z17" s="1520"/>
    </row>
    <row r="18" spans="1:26">
      <c r="B18" s="1497" t="str">
        <f t="shared" si="0"/>
        <v>1.2.4</v>
      </c>
      <c r="C18" s="522" t="str">
        <f t="shared" si="1"/>
        <v>界床遮音性能（重量衝撃源）</v>
      </c>
      <c r="D18" s="1515">
        <f>G$10*G$14*G18</f>
        <v>4.0052082978273777E-4</v>
      </c>
      <c r="E18" s="1515">
        <f t="shared" si="4"/>
        <v>0</v>
      </c>
      <c r="F18" s="1459"/>
      <c r="G18" s="1516">
        <f>SUMPRODUCT($M$7:$Y$7,M18:Y18)</f>
        <v>6.2663185378590081E-3</v>
      </c>
      <c r="H18" s="1516">
        <f t="shared" si="2"/>
        <v>6.2663185378590081E-3</v>
      </c>
      <c r="I18" s="1471"/>
      <c r="J18" s="1547" t="s">
        <v>1474</v>
      </c>
      <c r="K18" s="1593" t="s">
        <v>235</v>
      </c>
      <c r="L18" s="1885" t="s">
        <v>550</v>
      </c>
      <c r="M18" s="1523"/>
      <c r="N18" s="1523">
        <v>0.3</v>
      </c>
      <c r="O18" s="1523"/>
      <c r="P18" s="1523"/>
      <c r="Q18" s="1523"/>
      <c r="R18" s="1523"/>
      <c r="S18" s="1523"/>
      <c r="T18" s="1524"/>
      <c r="U18" s="1523"/>
      <c r="V18" s="1523">
        <v>0.3</v>
      </c>
      <c r="W18" s="1525"/>
      <c r="X18" s="1523">
        <v>0.3</v>
      </c>
      <c r="Y18" s="1523">
        <v>0.3</v>
      </c>
      <c r="Z18" s="1520"/>
    </row>
    <row r="19" spans="1:26">
      <c r="B19" s="1497">
        <f t="shared" si="0"/>
        <v>1.3</v>
      </c>
      <c r="C19" s="522" t="str">
        <f t="shared" si="1"/>
        <v>吸音</v>
      </c>
      <c r="D19" s="1522">
        <f>G10*G19</f>
        <v>2.2793733681462144E-2</v>
      </c>
      <c r="E19" s="1522">
        <f>H10*H19</f>
        <v>0</v>
      </c>
      <c r="F19" s="1459"/>
      <c r="G19" s="1516">
        <f t="shared" si="3"/>
        <v>0.15195822454308097</v>
      </c>
      <c r="H19" s="1516">
        <f t="shared" si="2"/>
        <v>4.1775456919060051E-3</v>
      </c>
      <c r="I19" s="1471"/>
      <c r="J19" s="1547">
        <v>1.3</v>
      </c>
      <c r="K19" s="1593" t="s">
        <v>231</v>
      </c>
      <c r="L19" s="1885" t="s">
        <v>551</v>
      </c>
      <c r="M19" s="2253">
        <v>0.2</v>
      </c>
      <c r="N19" s="1518">
        <v>0.2</v>
      </c>
      <c r="O19" s="1518">
        <v>0.2</v>
      </c>
      <c r="P19" s="1518">
        <v>0.2</v>
      </c>
      <c r="Q19" s="2253">
        <v>0.2</v>
      </c>
      <c r="R19" s="1518">
        <v>0.2</v>
      </c>
      <c r="S19" s="1518">
        <v>0.2</v>
      </c>
      <c r="T19" s="2253">
        <v>0.2</v>
      </c>
      <c r="U19" s="1518"/>
      <c r="V19" s="1523">
        <v>0.2</v>
      </c>
      <c r="W19" s="1525"/>
      <c r="X19" s="1523">
        <v>0.2</v>
      </c>
      <c r="Y19" s="2253">
        <v>0.2</v>
      </c>
      <c r="Z19" s="1520"/>
    </row>
    <row r="20" spans="1:26" s="1505" customFormat="1">
      <c r="A20"/>
      <c r="B20" s="1497">
        <f t="shared" si="0"/>
        <v>2</v>
      </c>
      <c r="C20" s="1528" t="str">
        <f t="shared" si="1"/>
        <v>温熱環境</v>
      </c>
      <c r="D20" s="1508">
        <f>SUM(D21:D33)</f>
        <v>0.36111876146132293</v>
      </c>
      <c r="E20" s="1508">
        <f>SUM(E21:E33)</f>
        <v>0</v>
      </c>
      <c r="F20" s="1459"/>
      <c r="G20" s="1509">
        <f t="shared" si="3"/>
        <v>0.35000000000000003</v>
      </c>
      <c r="H20" s="1509">
        <f t="shared" si="2"/>
        <v>0</v>
      </c>
      <c r="I20" s="1501"/>
      <c r="J20" s="1541">
        <v>2</v>
      </c>
      <c r="K20" s="1644" t="s">
        <v>230</v>
      </c>
      <c r="L20" s="1687" t="s">
        <v>928</v>
      </c>
      <c r="M20" s="1510">
        <v>0.35</v>
      </c>
      <c r="N20" s="1510">
        <v>0.35</v>
      </c>
      <c r="O20" s="1510">
        <v>0.35</v>
      </c>
      <c r="P20" s="1510">
        <v>0.35</v>
      </c>
      <c r="Q20" s="1510">
        <v>0.35</v>
      </c>
      <c r="R20" s="1510">
        <v>0.35</v>
      </c>
      <c r="S20" s="1510">
        <v>0.35</v>
      </c>
      <c r="T20" s="1510">
        <v>0.44</v>
      </c>
      <c r="U20" s="1510">
        <v>0.35</v>
      </c>
      <c r="V20" s="1611">
        <v>0.35</v>
      </c>
      <c r="W20" s="1963"/>
      <c r="X20" s="1611"/>
      <c r="Y20" s="1611"/>
      <c r="Z20" s="1512"/>
    </row>
    <row r="21" spans="1:26">
      <c r="B21" s="1497">
        <f t="shared" si="0"/>
        <v>2.1</v>
      </c>
      <c r="C21" s="1530" t="str">
        <f t="shared" si="1"/>
        <v>室温制御</v>
      </c>
      <c r="D21" s="1515"/>
      <c r="E21" s="1515"/>
      <c r="F21" s="1459"/>
      <c r="G21" s="1516">
        <f t="shared" si="3"/>
        <v>0.52088772845953002</v>
      </c>
      <c r="H21" s="1516">
        <f t="shared" si="2"/>
        <v>2.0887728459530026E-2</v>
      </c>
      <c r="I21" s="1471"/>
      <c r="J21" s="1547">
        <v>2.1</v>
      </c>
      <c r="K21" s="1593" t="s">
        <v>236</v>
      </c>
      <c r="L21" s="1637" t="s">
        <v>555</v>
      </c>
      <c r="M21" s="1518">
        <v>0.5</v>
      </c>
      <c r="N21" s="1518">
        <v>0.5</v>
      </c>
      <c r="O21" s="1518">
        <v>0.5</v>
      </c>
      <c r="P21" s="1518">
        <v>0.5</v>
      </c>
      <c r="Q21" s="1518">
        <v>0.5</v>
      </c>
      <c r="R21" s="1518">
        <v>0.5</v>
      </c>
      <c r="S21" s="1518">
        <v>0.5</v>
      </c>
      <c r="T21" s="1518">
        <v>0.5</v>
      </c>
      <c r="U21" s="1518">
        <v>0.5</v>
      </c>
      <c r="V21" s="1523">
        <v>0.5</v>
      </c>
      <c r="W21" s="1525">
        <v>1</v>
      </c>
      <c r="X21" s="1523">
        <v>1</v>
      </c>
      <c r="Y21" s="1523">
        <v>1</v>
      </c>
      <c r="Z21" s="1520"/>
    </row>
    <row r="22" spans="1:26">
      <c r="B22" s="1497" t="str">
        <f t="shared" si="0"/>
        <v>2.1.1</v>
      </c>
      <c r="C22" s="1514" t="str">
        <f t="shared" si="1"/>
        <v>室温設定</v>
      </c>
      <c r="D22" s="1515">
        <f>G$20*G$21*G22</f>
        <v>5.5454822788348145E-2</v>
      </c>
      <c r="E22" s="1515">
        <f t="shared" ref="D22:E29" si="5">H$20*H$21*H22</f>
        <v>0</v>
      </c>
      <c r="F22" s="1459"/>
      <c r="G22" s="1516">
        <f t="shared" si="3"/>
        <v>0.30417754569190603</v>
      </c>
      <c r="H22" s="1516">
        <f t="shared" si="2"/>
        <v>0</v>
      </c>
      <c r="I22" s="1471"/>
      <c r="J22" s="1547" t="s">
        <v>1324</v>
      </c>
      <c r="K22" s="1593" t="s">
        <v>237</v>
      </c>
      <c r="L22" s="1964" t="s">
        <v>369</v>
      </c>
      <c r="M22" s="1518">
        <v>0.3</v>
      </c>
      <c r="N22" s="1518">
        <v>0.3</v>
      </c>
      <c r="O22" s="1518">
        <v>0.3</v>
      </c>
      <c r="P22" s="1518">
        <v>0.3</v>
      </c>
      <c r="Q22" s="1518">
        <v>0.3</v>
      </c>
      <c r="R22" s="1518">
        <v>0.3</v>
      </c>
      <c r="S22" s="1518">
        <v>0.5</v>
      </c>
      <c r="T22" s="1531">
        <v>0.3</v>
      </c>
      <c r="U22" s="1518">
        <v>0.3</v>
      </c>
      <c r="V22" s="1523">
        <v>0.3</v>
      </c>
      <c r="W22" s="1525"/>
      <c r="X22" s="1523"/>
      <c r="Y22" s="1523"/>
      <c r="Z22" s="1532"/>
    </row>
    <row r="23" spans="1:26" ht="13.5" hidden="1" customHeight="1">
      <c r="B23" s="1497" t="str">
        <f t="shared" si="0"/>
        <v>2.1.2</v>
      </c>
      <c r="C23" s="1550" t="str">
        <f t="shared" si="1"/>
        <v>負荷変動・追従制御性</v>
      </c>
      <c r="D23" s="1515">
        <f t="shared" si="5"/>
        <v>0</v>
      </c>
      <c r="E23" s="1515">
        <f>H$20*H$21*H23</f>
        <v>0</v>
      </c>
      <c r="F23" s="1459"/>
      <c r="G23" s="1516">
        <f t="shared" si="3"/>
        <v>0</v>
      </c>
      <c r="H23" s="1516">
        <f t="shared" si="2"/>
        <v>0</v>
      </c>
      <c r="I23" s="1471"/>
      <c r="J23" s="1547" t="s">
        <v>238</v>
      </c>
      <c r="K23" s="1593" t="s">
        <v>237</v>
      </c>
      <c r="L23" s="1964" t="s">
        <v>239</v>
      </c>
      <c r="M23" s="1554"/>
      <c r="N23" s="1554">
        <v>0.2</v>
      </c>
      <c r="O23" s="1554">
        <v>0.2</v>
      </c>
      <c r="P23" s="1554">
        <v>0.2</v>
      </c>
      <c r="Q23" s="1554"/>
      <c r="R23" s="1554"/>
      <c r="S23" s="1554"/>
      <c r="T23" s="1971">
        <v>0.3</v>
      </c>
      <c r="U23" s="1554"/>
      <c r="V23" s="1523">
        <v>0.2</v>
      </c>
      <c r="W23" s="1525"/>
      <c r="X23" s="1523"/>
      <c r="Y23" s="1523"/>
      <c r="Z23" s="1532"/>
    </row>
    <row r="24" spans="1:26">
      <c r="B24" s="1497" t="str">
        <f t="shared" si="0"/>
        <v>2.1.3</v>
      </c>
      <c r="C24" s="1514" t="str">
        <f t="shared" si="1"/>
        <v>外皮性能</v>
      </c>
      <c r="D24" s="1515">
        <f t="shared" si="5"/>
        <v>3.912778054250831E-2</v>
      </c>
      <c r="E24" s="1515">
        <f t="shared" si="5"/>
        <v>0</v>
      </c>
      <c r="F24" s="1459"/>
      <c r="G24" s="1516">
        <f t="shared" si="3"/>
        <v>0.21462140992167106</v>
      </c>
      <c r="H24" s="1516">
        <f t="shared" si="2"/>
        <v>1.2532637075718016E-2</v>
      </c>
      <c r="I24" s="1471"/>
      <c r="J24" s="1547" t="s">
        <v>240</v>
      </c>
      <c r="K24" s="1593" t="s">
        <v>237</v>
      </c>
      <c r="L24" s="1964" t="s">
        <v>241</v>
      </c>
      <c r="M24" s="1518">
        <v>0.2</v>
      </c>
      <c r="N24" s="1518">
        <v>0.2</v>
      </c>
      <c r="O24" s="1518">
        <v>0.1</v>
      </c>
      <c r="P24" s="1518">
        <v>0.1</v>
      </c>
      <c r="Q24" s="1518">
        <v>0.2</v>
      </c>
      <c r="R24" s="1518">
        <v>0.2</v>
      </c>
      <c r="S24" s="1518">
        <v>0.3</v>
      </c>
      <c r="T24" s="1531">
        <v>0.1</v>
      </c>
      <c r="U24" s="1518">
        <v>0.2</v>
      </c>
      <c r="V24" s="1523">
        <v>0.2</v>
      </c>
      <c r="W24" s="1525">
        <v>0.5</v>
      </c>
      <c r="X24" s="1523">
        <v>0.5</v>
      </c>
      <c r="Y24" s="1523">
        <v>0.6</v>
      </c>
      <c r="Z24" s="1532"/>
    </row>
    <row r="25" spans="1:26">
      <c r="B25" s="1497" t="str">
        <f t="shared" si="0"/>
        <v>2.1.4</v>
      </c>
      <c r="C25" s="1514" t="str">
        <f t="shared" si="1"/>
        <v>ゾーン別制御性</v>
      </c>
      <c r="D25" s="1515">
        <f t="shared" si="5"/>
        <v>5.3550794538104421E-2</v>
      </c>
      <c r="E25" s="1515">
        <f t="shared" si="5"/>
        <v>0</v>
      </c>
      <c r="F25" s="1459"/>
      <c r="G25" s="1516">
        <f t="shared" si="3"/>
        <v>0.29373368146214096</v>
      </c>
      <c r="H25" s="1516">
        <f t="shared" si="2"/>
        <v>0</v>
      </c>
      <c r="I25" s="1471"/>
      <c r="J25" s="1547" t="s">
        <v>242</v>
      </c>
      <c r="K25" s="1593" t="s">
        <v>237</v>
      </c>
      <c r="L25" s="1964" t="s">
        <v>243</v>
      </c>
      <c r="M25" s="1518">
        <v>0.3</v>
      </c>
      <c r="N25" s="1518"/>
      <c r="O25" s="1518">
        <v>0.2</v>
      </c>
      <c r="P25" s="1518">
        <v>0.2</v>
      </c>
      <c r="Q25" s="1518">
        <v>0.3</v>
      </c>
      <c r="R25" s="1518">
        <v>0.3</v>
      </c>
      <c r="S25" s="1518"/>
      <c r="T25" s="1531">
        <v>0.2</v>
      </c>
      <c r="U25" s="1518">
        <v>0.3</v>
      </c>
      <c r="V25" s="1523">
        <v>0</v>
      </c>
      <c r="W25" s="1525"/>
      <c r="X25" s="1523"/>
      <c r="Y25" s="1523"/>
      <c r="Z25" s="1532"/>
    </row>
    <row r="26" spans="1:26" hidden="1">
      <c r="B26" s="1497" t="str">
        <f t="shared" si="0"/>
        <v>2.1.5</v>
      </c>
      <c r="C26" s="1550" t="str">
        <f t="shared" si="1"/>
        <v>温度・湿度制御</v>
      </c>
      <c r="D26" s="1515">
        <f t="shared" si="5"/>
        <v>1.8611876146132297E-2</v>
      </c>
      <c r="E26" s="1515">
        <f t="shared" si="5"/>
        <v>0</v>
      </c>
      <c r="F26" s="1459"/>
      <c r="G26" s="1516">
        <f>SUMPRODUCT($M$7:$Y$7,M26:Y26)</f>
        <v>0.10208877284595302</v>
      </c>
      <c r="H26" s="1516">
        <f t="shared" si="2"/>
        <v>0</v>
      </c>
      <c r="I26" s="1471"/>
      <c r="J26" s="1547" t="s">
        <v>244</v>
      </c>
      <c r="K26" s="1593" t="s">
        <v>237</v>
      </c>
      <c r="L26" s="1964" t="s">
        <v>245</v>
      </c>
      <c r="M26" s="1554">
        <v>0.1</v>
      </c>
      <c r="N26" s="1554">
        <v>0.1</v>
      </c>
      <c r="O26" s="1554">
        <v>0.1</v>
      </c>
      <c r="P26" s="1554">
        <v>0.1</v>
      </c>
      <c r="Q26" s="1554">
        <v>0.1</v>
      </c>
      <c r="R26" s="1554">
        <v>0.1</v>
      </c>
      <c r="S26" s="1554">
        <v>0.2</v>
      </c>
      <c r="T26" s="1971">
        <v>0.1</v>
      </c>
      <c r="U26" s="1554">
        <v>0.1</v>
      </c>
      <c r="V26" s="1523">
        <v>0.1</v>
      </c>
      <c r="W26" s="1525">
        <v>0.3</v>
      </c>
      <c r="X26" s="1523">
        <v>0.3</v>
      </c>
      <c r="Y26" s="1523"/>
      <c r="Z26" s="1532"/>
    </row>
    <row r="27" spans="1:26" hidden="1">
      <c r="B27" s="1497" t="str">
        <f t="shared" si="0"/>
        <v>2.1.6</v>
      </c>
      <c r="C27" s="1550" t="str">
        <f t="shared" si="1"/>
        <v>個別制御</v>
      </c>
      <c r="D27" s="1515">
        <f t="shared" si="5"/>
        <v>1.5232226001949702E-3</v>
      </c>
      <c r="E27" s="1515">
        <f t="shared" si="5"/>
        <v>0</v>
      </c>
      <c r="F27" s="1459"/>
      <c r="G27" s="1516">
        <f t="shared" si="3"/>
        <v>8.3550913838120102E-3</v>
      </c>
      <c r="H27" s="1516">
        <f t="shared" si="2"/>
        <v>8.3550913838120102E-3</v>
      </c>
      <c r="I27" s="1471"/>
      <c r="J27" s="1547" t="s">
        <v>246</v>
      </c>
      <c r="K27" s="1593" t="s">
        <v>237</v>
      </c>
      <c r="L27" s="1964" t="s">
        <v>247</v>
      </c>
      <c r="M27" s="1554"/>
      <c r="N27" s="1554"/>
      <c r="O27" s="1554"/>
      <c r="P27" s="1554"/>
      <c r="Q27" s="1554"/>
      <c r="R27" s="1554"/>
      <c r="S27" s="1554"/>
      <c r="T27" s="1971"/>
      <c r="U27" s="1554"/>
      <c r="V27" s="1523">
        <v>0</v>
      </c>
      <c r="W27" s="1525">
        <v>0.2</v>
      </c>
      <c r="X27" s="1523">
        <v>0.2</v>
      </c>
      <c r="Y27" s="1523">
        <v>0.4</v>
      </c>
      <c r="Z27" s="1532"/>
    </row>
    <row r="28" spans="1:26" hidden="1">
      <c r="B28" s="1497" t="str">
        <f t="shared" si="0"/>
        <v>2.1.7</v>
      </c>
      <c r="C28" s="1550" t="str">
        <f t="shared" si="1"/>
        <v>時間外空調に対する配慮</v>
      </c>
      <c r="D28" s="1515">
        <f t="shared" si="5"/>
        <v>1.7850264846034813E-2</v>
      </c>
      <c r="E28" s="1515">
        <f t="shared" si="5"/>
        <v>0</v>
      </c>
      <c r="F28" s="1459"/>
      <c r="G28" s="1516">
        <f t="shared" si="3"/>
        <v>9.7911227154047015E-2</v>
      </c>
      <c r="H28" s="1516">
        <f t="shared" si="2"/>
        <v>0</v>
      </c>
      <c r="I28" s="1471"/>
      <c r="J28" s="1547" t="s">
        <v>248</v>
      </c>
      <c r="K28" s="1593" t="s">
        <v>237</v>
      </c>
      <c r="L28" s="1964" t="s">
        <v>844</v>
      </c>
      <c r="M28" s="1554">
        <v>0.1</v>
      </c>
      <c r="N28" s="1554">
        <v>0.2</v>
      </c>
      <c r="O28" s="1554"/>
      <c r="P28" s="1554"/>
      <c r="Q28" s="1554">
        <v>0.1</v>
      </c>
      <c r="R28" s="1554">
        <v>0.1</v>
      </c>
      <c r="S28" s="1554"/>
      <c r="T28" s="1971"/>
      <c r="U28" s="1554">
        <v>0.1</v>
      </c>
      <c r="V28" s="1523">
        <v>0.2</v>
      </c>
      <c r="W28" s="1525"/>
      <c r="X28" s="1523"/>
      <c r="Y28" s="1523"/>
      <c r="Z28" s="1532"/>
    </row>
    <row r="29" spans="1:26" hidden="1">
      <c r="B29" s="1497" t="str">
        <f t="shared" si="0"/>
        <v>2.1.8</v>
      </c>
      <c r="C29" s="1550" t="str">
        <f t="shared" si="1"/>
        <v>監視システム</v>
      </c>
      <c r="D29" s="1515">
        <f t="shared" si="5"/>
        <v>0</v>
      </c>
      <c r="E29" s="1515">
        <f t="shared" si="5"/>
        <v>0</v>
      </c>
      <c r="F29" s="1459"/>
      <c r="G29" s="1516">
        <f t="shared" si="3"/>
        <v>0</v>
      </c>
      <c r="H29" s="1516">
        <f t="shared" si="2"/>
        <v>0</v>
      </c>
      <c r="I29" s="1471"/>
      <c r="J29" s="1547" t="s">
        <v>249</v>
      </c>
      <c r="K29" s="1593" t="s">
        <v>237</v>
      </c>
      <c r="L29" s="1964" t="s">
        <v>250</v>
      </c>
      <c r="M29" s="1554"/>
      <c r="N29" s="1554"/>
      <c r="O29" s="1554">
        <v>0.1</v>
      </c>
      <c r="P29" s="1554">
        <v>0.1</v>
      </c>
      <c r="Q29" s="1554"/>
      <c r="R29" s="1554"/>
      <c r="S29" s="1554"/>
      <c r="T29" s="1971"/>
      <c r="U29" s="1554"/>
      <c r="V29" s="1523">
        <v>0</v>
      </c>
      <c r="W29" s="1525"/>
      <c r="X29" s="1523"/>
      <c r="Y29" s="1523"/>
      <c r="Z29" s="1532"/>
    </row>
    <row r="30" spans="1:26">
      <c r="B30" s="1497">
        <f t="shared" si="0"/>
        <v>2.2000000000000002</v>
      </c>
      <c r="C30" s="1530" t="str">
        <f t="shared" si="1"/>
        <v>湿度制御</v>
      </c>
      <c r="D30" s="1522">
        <f>G20*G30</f>
        <v>7.0000000000000021E-2</v>
      </c>
      <c r="E30" s="1522">
        <f>H20*H30</f>
        <v>0</v>
      </c>
      <c r="F30" s="1459"/>
      <c r="G30" s="1516">
        <f t="shared" si="3"/>
        <v>0.20000000000000004</v>
      </c>
      <c r="H30" s="1516">
        <f t="shared" si="2"/>
        <v>0</v>
      </c>
      <c r="I30" s="1471"/>
      <c r="J30" s="1547">
        <v>2.2000000000000002</v>
      </c>
      <c r="K30" s="1593" t="s">
        <v>236</v>
      </c>
      <c r="L30" s="1637" t="s">
        <v>878</v>
      </c>
      <c r="M30" s="1518">
        <v>0.2</v>
      </c>
      <c r="N30" s="1518">
        <v>0.2</v>
      </c>
      <c r="O30" s="1518">
        <v>0.2</v>
      </c>
      <c r="P30" s="1518">
        <v>0.2</v>
      </c>
      <c r="Q30" s="1518">
        <v>0.2</v>
      </c>
      <c r="R30" s="1518">
        <v>0.2</v>
      </c>
      <c r="S30" s="1518">
        <v>0.2</v>
      </c>
      <c r="T30" s="1531">
        <v>0.2</v>
      </c>
      <c r="U30" s="1518">
        <v>0.2</v>
      </c>
      <c r="V30" s="1523">
        <v>0.2</v>
      </c>
      <c r="W30" s="1525"/>
      <c r="X30" s="1523"/>
      <c r="Y30" s="1523"/>
      <c r="Z30" s="1520"/>
    </row>
    <row r="31" spans="1:26">
      <c r="B31" s="1497">
        <f t="shared" si="0"/>
        <v>2.2999999999999998</v>
      </c>
      <c r="C31" s="1530" t="str">
        <f t="shared" si="1"/>
        <v>空調方式</v>
      </c>
      <c r="D31" s="1515"/>
      <c r="E31" s="1515"/>
      <c r="F31" s="1459"/>
      <c r="G31" s="1516">
        <f t="shared" si="3"/>
        <v>0.3</v>
      </c>
      <c r="H31" s="1516">
        <f t="shared" si="2"/>
        <v>0</v>
      </c>
      <c r="I31" s="1471"/>
      <c r="J31" s="1547">
        <v>2.2999999999999998</v>
      </c>
      <c r="K31" s="1593" t="s">
        <v>236</v>
      </c>
      <c r="L31" s="1637" t="s">
        <v>564</v>
      </c>
      <c r="M31" s="1518">
        <v>0.3</v>
      </c>
      <c r="N31" s="1518">
        <v>0.3</v>
      </c>
      <c r="O31" s="1518">
        <v>0.3</v>
      </c>
      <c r="P31" s="1518">
        <v>0.3</v>
      </c>
      <c r="Q31" s="1518">
        <v>0.3</v>
      </c>
      <c r="R31" s="1518">
        <v>0.3</v>
      </c>
      <c r="S31" s="1518">
        <v>0.3</v>
      </c>
      <c r="T31" s="1531">
        <v>0.3</v>
      </c>
      <c r="U31" s="1518">
        <v>0.3</v>
      </c>
      <c r="V31" s="2254">
        <v>0.3</v>
      </c>
      <c r="W31" s="1525"/>
      <c r="X31" s="1523"/>
      <c r="Y31" s="1523"/>
      <c r="Z31" s="1520"/>
    </row>
    <row r="32" spans="1:26">
      <c r="B32" s="1497" t="str">
        <f t="shared" si="0"/>
        <v>2.3.1</v>
      </c>
      <c r="C32" s="1560" t="str">
        <f t="shared" si="1"/>
        <v>上下温度差</v>
      </c>
      <c r="D32" s="1515">
        <f>G$20*G$31*G32</f>
        <v>5.2500000000000005E-2</v>
      </c>
      <c r="E32" s="1515">
        <f>H$20*H$31*H32</f>
        <v>0</v>
      </c>
      <c r="F32" s="1459"/>
      <c r="G32" s="1516">
        <f t="shared" si="3"/>
        <v>0.5</v>
      </c>
      <c r="H32" s="1516">
        <f t="shared" si="2"/>
        <v>0</v>
      </c>
      <c r="I32" s="1471"/>
      <c r="J32" s="1547" t="s">
        <v>1327</v>
      </c>
      <c r="K32" s="1593" t="s">
        <v>251</v>
      </c>
      <c r="L32" s="1637" t="s">
        <v>566</v>
      </c>
      <c r="M32" s="1518">
        <v>0.5</v>
      </c>
      <c r="N32" s="1518">
        <v>0.5</v>
      </c>
      <c r="O32" s="1518">
        <v>0.5</v>
      </c>
      <c r="P32" s="1518">
        <v>0.5</v>
      </c>
      <c r="Q32" s="1518">
        <v>0.5</v>
      </c>
      <c r="R32" s="1518">
        <v>0.5</v>
      </c>
      <c r="S32" s="1518">
        <v>0.5</v>
      </c>
      <c r="T32" s="1531">
        <v>0.5</v>
      </c>
      <c r="U32" s="1518">
        <v>0.5</v>
      </c>
      <c r="V32" s="2254">
        <v>0.5</v>
      </c>
      <c r="W32" s="1525"/>
      <c r="X32" s="1525"/>
      <c r="Y32" s="1525"/>
      <c r="Z32" s="1520"/>
    </row>
    <row r="33" spans="1:26">
      <c r="B33" s="1497" t="str">
        <f t="shared" si="0"/>
        <v>2.3.2</v>
      </c>
      <c r="C33" s="1560" t="str">
        <f t="shared" si="1"/>
        <v>平均気流速度</v>
      </c>
      <c r="D33" s="1515">
        <f>G$20*G$31*G33</f>
        <v>5.2500000000000005E-2</v>
      </c>
      <c r="E33" s="1515">
        <f>H$20*H$31*H33</f>
        <v>0</v>
      </c>
      <c r="F33" s="1459"/>
      <c r="G33" s="1516">
        <f t="shared" si="3"/>
        <v>0.5</v>
      </c>
      <c r="H33" s="1516">
        <f t="shared" si="2"/>
        <v>0</v>
      </c>
      <c r="I33" s="1471"/>
      <c r="J33" s="1547" t="s">
        <v>1329</v>
      </c>
      <c r="K33" s="1593" t="s">
        <v>251</v>
      </c>
      <c r="L33" s="1637" t="s">
        <v>569</v>
      </c>
      <c r="M33" s="1518">
        <v>0.5</v>
      </c>
      <c r="N33" s="1518">
        <v>0.5</v>
      </c>
      <c r="O33" s="1518">
        <v>0.5</v>
      </c>
      <c r="P33" s="1518">
        <v>0.5</v>
      </c>
      <c r="Q33" s="1518">
        <v>0.5</v>
      </c>
      <c r="R33" s="1518">
        <v>0.5</v>
      </c>
      <c r="S33" s="1518">
        <v>0.5</v>
      </c>
      <c r="T33" s="1518">
        <v>0.5</v>
      </c>
      <c r="U33" s="1518">
        <v>0.5</v>
      </c>
      <c r="V33" s="2254">
        <v>0.5</v>
      </c>
      <c r="W33" s="1525"/>
      <c r="X33" s="1525"/>
      <c r="Y33" s="1525"/>
      <c r="Z33" s="1520"/>
    </row>
    <row r="34" spans="1:26" s="1505" customFormat="1">
      <c r="A34"/>
      <c r="B34" s="1497">
        <f t="shared" si="0"/>
        <v>3</v>
      </c>
      <c r="C34" s="1507" t="str">
        <f t="shared" si="1"/>
        <v>光・視環境</v>
      </c>
      <c r="D34" s="1508">
        <f>SUM(D35:D46)</f>
        <v>0.22013724614660951</v>
      </c>
      <c r="E34" s="1508">
        <f>SUM(E35:E46)</f>
        <v>0</v>
      </c>
      <c r="F34" s="1459"/>
      <c r="G34" s="1509">
        <f t="shared" si="3"/>
        <v>0.25</v>
      </c>
      <c r="H34" s="1509">
        <f t="shared" si="2"/>
        <v>0</v>
      </c>
      <c r="I34" s="1501"/>
      <c r="J34" s="1541">
        <v>3</v>
      </c>
      <c r="K34" s="1644" t="s">
        <v>230</v>
      </c>
      <c r="L34" s="1680" t="s">
        <v>1047</v>
      </c>
      <c r="M34" s="1510">
        <v>0.25</v>
      </c>
      <c r="N34" s="1510">
        <v>0.25</v>
      </c>
      <c r="O34" s="1510">
        <v>0.25</v>
      </c>
      <c r="P34" s="1510">
        <v>0.25</v>
      </c>
      <c r="Q34" s="1510">
        <v>0.25</v>
      </c>
      <c r="R34" s="1510">
        <v>0.25</v>
      </c>
      <c r="S34" s="1510">
        <v>0.25</v>
      </c>
      <c r="T34" s="1529">
        <v>0</v>
      </c>
      <c r="U34" s="1510">
        <v>0.25</v>
      </c>
      <c r="V34" s="1611">
        <v>0.25</v>
      </c>
      <c r="W34" s="1963"/>
      <c r="X34" s="1611"/>
      <c r="Y34" s="1611"/>
      <c r="Z34" s="1512"/>
    </row>
    <row r="35" spans="1:26">
      <c r="B35" s="1497">
        <f t="shared" si="0"/>
        <v>3.1</v>
      </c>
      <c r="C35" s="1530" t="str">
        <f t="shared" si="1"/>
        <v>昼光利用</v>
      </c>
      <c r="D35" s="1515"/>
      <c r="E35" s="1515"/>
      <c r="F35" s="1459"/>
      <c r="G35" s="1516">
        <f t="shared" si="3"/>
        <v>0.30626631853785902</v>
      </c>
      <c r="H35" s="1516">
        <f t="shared" si="2"/>
        <v>6.2663185378590081E-3</v>
      </c>
      <c r="I35" s="1471"/>
      <c r="J35" s="1547">
        <v>3.1</v>
      </c>
      <c r="K35" s="1593" t="s">
        <v>252</v>
      </c>
      <c r="L35" s="1637" t="s">
        <v>573</v>
      </c>
      <c r="M35" s="1518">
        <v>0.3</v>
      </c>
      <c r="N35" s="1518">
        <v>0.3</v>
      </c>
      <c r="O35" s="1518">
        <v>0.5</v>
      </c>
      <c r="P35" s="1518">
        <v>1</v>
      </c>
      <c r="Q35" s="1518">
        <v>0.3</v>
      </c>
      <c r="R35" s="1518">
        <v>0.3</v>
      </c>
      <c r="S35" s="1518">
        <v>0.3</v>
      </c>
      <c r="T35" s="1531"/>
      <c r="U35" s="1518">
        <v>0.3</v>
      </c>
      <c r="V35" s="1523">
        <v>0.3</v>
      </c>
      <c r="W35" s="1525">
        <v>0.3</v>
      </c>
      <c r="X35" s="1523">
        <v>0.3</v>
      </c>
      <c r="Y35" s="1523">
        <v>0.3</v>
      </c>
      <c r="Z35" s="1520"/>
    </row>
    <row r="36" spans="1:26">
      <c r="B36" s="1497" t="str">
        <f t="shared" si="0"/>
        <v>3.1.1</v>
      </c>
      <c r="C36" s="1514" t="str">
        <f t="shared" si="1"/>
        <v>昼光率</v>
      </c>
      <c r="D36" s="1515">
        <f t="shared" ref="D36:E38" si="6">G$34*G$35*G36</f>
        <v>4.6739598742918699E-2</v>
      </c>
      <c r="E36" s="1515">
        <f t="shared" si="6"/>
        <v>0</v>
      </c>
      <c r="F36" s="1459"/>
      <c r="G36" s="1516">
        <f t="shared" si="3"/>
        <v>0.61044386422976504</v>
      </c>
      <c r="H36" s="1516">
        <f t="shared" si="2"/>
        <v>1.0443864229765013E-2</v>
      </c>
      <c r="I36" s="1471"/>
      <c r="J36" s="1547" t="s">
        <v>1462</v>
      </c>
      <c r="K36" s="1593" t="s">
        <v>253</v>
      </c>
      <c r="L36" s="1964" t="s">
        <v>254</v>
      </c>
      <c r="M36" s="1518">
        <v>0.6</v>
      </c>
      <c r="N36" s="1518">
        <v>0.6</v>
      </c>
      <c r="O36" s="1518"/>
      <c r="P36" s="1518"/>
      <c r="Q36" s="1518">
        <v>0.6</v>
      </c>
      <c r="R36" s="1518">
        <v>0.6</v>
      </c>
      <c r="S36" s="1518">
        <v>0.6</v>
      </c>
      <c r="T36" s="1531"/>
      <c r="U36" s="1518">
        <v>0.6</v>
      </c>
      <c r="V36" s="1523">
        <v>0.6</v>
      </c>
      <c r="W36" s="1525">
        <v>0.6</v>
      </c>
      <c r="X36" s="1523">
        <v>0.6</v>
      </c>
      <c r="Y36" s="1523">
        <v>0.5</v>
      </c>
      <c r="Z36" s="1520"/>
    </row>
    <row r="37" spans="1:26">
      <c r="B37" s="1497" t="str">
        <f t="shared" si="0"/>
        <v>3.1.2</v>
      </c>
      <c r="C37" s="1514" t="str">
        <f t="shared" si="1"/>
        <v>方位別開口</v>
      </c>
      <c r="D37" s="1515">
        <f t="shared" si="6"/>
        <v>4.7979057734390447E-4</v>
      </c>
      <c r="E37" s="1515">
        <f t="shared" si="6"/>
        <v>0</v>
      </c>
      <c r="F37" s="1459"/>
      <c r="G37" s="1516">
        <f t="shared" si="3"/>
        <v>6.2663185378590081E-3</v>
      </c>
      <c r="H37" s="1516">
        <f t="shared" si="2"/>
        <v>6.2663185378590081E-3</v>
      </c>
      <c r="I37" s="1471"/>
      <c r="J37" s="1547" t="s">
        <v>1332</v>
      </c>
      <c r="K37" s="1593" t="s">
        <v>253</v>
      </c>
      <c r="L37" s="1964" t="s">
        <v>255</v>
      </c>
      <c r="M37" s="1518"/>
      <c r="N37" s="1518"/>
      <c r="O37" s="1518"/>
      <c r="P37" s="1518"/>
      <c r="Q37" s="1518"/>
      <c r="R37" s="1518"/>
      <c r="S37" s="1518"/>
      <c r="T37" s="1531"/>
      <c r="U37" s="1518"/>
      <c r="V37" s="1523"/>
      <c r="W37" s="1525"/>
      <c r="X37" s="1523"/>
      <c r="Y37" s="1523">
        <v>0.3</v>
      </c>
      <c r="Z37" s="1520"/>
    </row>
    <row r="38" spans="1:26">
      <c r="B38" s="1497" t="str">
        <f t="shared" si="0"/>
        <v>3.1.3</v>
      </c>
      <c r="C38" s="1514" t="str">
        <f t="shared" si="1"/>
        <v>昼光利用設備</v>
      </c>
      <c r="D38" s="1515">
        <f t="shared" si="6"/>
        <v>3.0946492238681841E-2</v>
      </c>
      <c r="E38" s="1515">
        <f t="shared" si="6"/>
        <v>0</v>
      </c>
      <c r="F38" s="1459"/>
      <c r="G38" s="1516">
        <f t="shared" si="3"/>
        <v>0.40417754569190606</v>
      </c>
      <c r="H38" s="1516">
        <f t="shared" si="2"/>
        <v>4.1775456919060051E-3</v>
      </c>
      <c r="I38" s="1471"/>
      <c r="J38" s="1547" t="s">
        <v>1463</v>
      </c>
      <c r="K38" s="1593" t="s">
        <v>253</v>
      </c>
      <c r="L38" s="1964" t="s">
        <v>256</v>
      </c>
      <c r="M38" s="1518">
        <v>0.4</v>
      </c>
      <c r="N38" s="1518">
        <v>0.4</v>
      </c>
      <c r="O38" s="1518">
        <v>1</v>
      </c>
      <c r="P38" s="1518">
        <v>1</v>
      </c>
      <c r="Q38" s="1518">
        <v>0.4</v>
      </c>
      <c r="R38" s="1518">
        <v>0.4</v>
      </c>
      <c r="S38" s="1518">
        <v>0.4</v>
      </c>
      <c r="T38" s="1531"/>
      <c r="U38" s="1518">
        <v>0.4</v>
      </c>
      <c r="V38" s="1523">
        <v>0.4</v>
      </c>
      <c r="W38" s="1525">
        <v>0.4</v>
      </c>
      <c r="X38" s="1523">
        <v>0.4</v>
      </c>
      <c r="Y38" s="1523">
        <v>0.2</v>
      </c>
      <c r="Z38" s="1520"/>
    </row>
    <row r="39" spans="1:26">
      <c r="B39" s="1497">
        <f t="shared" si="0"/>
        <v>3.2</v>
      </c>
      <c r="C39" s="1514" t="str">
        <f t="shared" si="1"/>
        <v>グレア対策</v>
      </c>
      <c r="D39" s="1522"/>
      <c r="E39" s="1522"/>
      <c r="F39" s="1459"/>
      <c r="G39" s="1516">
        <f t="shared" si="3"/>
        <v>0.30626631853785902</v>
      </c>
      <c r="H39" s="1516">
        <f t="shared" si="2"/>
        <v>6.2663185378590081E-3</v>
      </c>
      <c r="I39" s="1471"/>
      <c r="J39" s="1547">
        <v>3.2</v>
      </c>
      <c r="K39" s="1593" t="s">
        <v>252</v>
      </c>
      <c r="L39" s="1964" t="s">
        <v>584</v>
      </c>
      <c r="M39" s="1518">
        <v>0.3</v>
      </c>
      <c r="N39" s="1518">
        <v>0.3</v>
      </c>
      <c r="O39" s="1518"/>
      <c r="P39" s="1518"/>
      <c r="Q39" s="1518">
        <v>0.3</v>
      </c>
      <c r="R39" s="1518">
        <v>0.3</v>
      </c>
      <c r="S39" s="1518">
        <v>0.3</v>
      </c>
      <c r="T39" s="1531"/>
      <c r="U39" s="1518">
        <v>0.3</v>
      </c>
      <c r="V39" s="1523">
        <v>0.3</v>
      </c>
      <c r="W39" s="1525">
        <v>0.3</v>
      </c>
      <c r="X39" s="1523">
        <v>0.3</v>
      </c>
      <c r="Y39" s="1523">
        <v>0.3</v>
      </c>
      <c r="Z39" s="1520"/>
    </row>
    <row r="40" spans="1:26">
      <c r="B40" s="1497" t="str">
        <f t="shared" si="0"/>
        <v>3.2.1</v>
      </c>
      <c r="C40" s="1514" t="str">
        <f t="shared" si="1"/>
        <v>照明器具のグレア</v>
      </c>
      <c r="D40" s="1515">
        <f t="shared" ref="D40:E42" si="7">G$34*G$39*G40</f>
        <v>3.1266352623577784E-2</v>
      </c>
      <c r="E40" s="1515">
        <f t="shared" si="7"/>
        <v>0</v>
      </c>
      <c r="F40" s="1459"/>
      <c r="G40" s="1516">
        <f t="shared" si="3"/>
        <v>0.4083550913838121</v>
      </c>
      <c r="H40" s="1516">
        <f t="shared" si="2"/>
        <v>8.3550913838120102E-3</v>
      </c>
      <c r="I40" s="1471"/>
      <c r="J40" s="1547" t="s">
        <v>1335</v>
      </c>
      <c r="K40" s="1593" t="s">
        <v>257</v>
      </c>
      <c r="L40" s="1964" t="s">
        <v>258</v>
      </c>
      <c r="M40" s="1554">
        <v>0.4</v>
      </c>
      <c r="N40" s="1554">
        <v>0.4</v>
      </c>
      <c r="O40" s="1554"/>
      <c r="P40" s="1554"/>
      <c r="Q40" s="1554">
        <v>0.4</v>
      </c>
      <c r="R40" s="1554">
        <v>0.4</v>
      </c>
      <c r="S40" s="1554">
        <v>0.4</v>
      </c>
      <c r="T40" s="1971"/>
      <c r="U40" s="1554">
        <v>0.4</v>
      </c>
      <c r="V40" s="2254">
        <v>0.3</v>
      </c>
      <c r="W40" s="1525">
        <v>0.4</v>
      </c>
      <c r="X40" s="1523">
        <v>0.4</v>
      </c>
      <c r="Y40" s="1523">
        <v>0.4</v>
      </c>
      <c r="Z40" s="1532"/>
    </row>
    <row r="41" spans="1:26">
      <c r="B41" s="1497" t="str">
        <f t="shared" ref="B41:B73" si="8">J41</f>
        <v>3.2.2</v>
      </c>
      <c r="C41" s="1514" t="str">
        <f t="shared" ref="C41:C73" si="9">L41</f>
        <v>昼光制御</v>
      </c>
      <c r="D41" s="1515">
        <f t="shared" si="7"/>
        <v>4.6899528935366662E-2</v>
      </c>
      <c r="E41" s="1515">
        <f t="shared" si="7"/>
        <v>0</v>
      </c>
      <c r="F41" s="1459"/>
      <c r="G41" s="1516">
        <f t="shared" si="3"/>
        <v>0.61253263707571803</v>
      </c>
      <c r="H41" s="1516">
        <f t="shared" si="2"/>
        <v>1.2532637075718016E-2</v>
      </c>
      <c r="I41" s="1471"/>
      <c r="J41" s="1547" t="s">
        <v>1337</v>
      </c>
      <c r="K41" s="1593" t="s">
        <v>257</v>
      </c>
      <c r="L41" s="1964" t="s">
        <v>259</v>
      </c>
      <c r="M41" s="1518">
        <v>0.6</v>
      </c>
      <c r="N41" s="1518">
        <v>0.6</v>
      </c>
      <c r="O41" s="1518"/>
      <c r="P41" s="1518"/>
      <c r="Q41" s="1518">
        <v>0.6</v>
      </c>
      <c r="R41" s="1518">
        <v>0.6</v>
      </c>
      <c r="S41" s="1518">
        <v>0.6</v>
      </c>
      <c r="T41" s="1531"/>
      <c r="U41" s="1518">
        <v>0.6</v>
      </c>
      <c r="V41" s="2254">
        <v>0.4</v>
      </c>
      <c r="W41" s="1525">
        <v>0.6</v>
      </c>
      <c r="X41" s="1523">
        <v>0.6</v>
      </c>
      <c r="Y41" s="1523">
        <v>0.6</v>
      </c>
      <c r="Z41" s="1532"/>
    </row>
    <row r="42" spans="1:26">
      <c r="B42" s="1497" t="str">
        <f>J42</f>
        <v>3.2.3</v>
      </c>
      <c r="C42" s="1514" t="str">
        <f>L42</f>
        <v>映り込み対策</v>
      </c>
      <c r="D42" s="1515">
        <f>G$34*G$39*G42</f>
        <v>0</v>
      </c>
      <c r="E42" s="1515">
        <f t="shared" si="7"/>
        <v>0</v>
      </c>
      <c r="F42" s="1459"/>
      <c r="G42" s="1516">
        <f t="shared" si="3"/>
        <v>0</v>
      </c>
      <c r="H42" s="1516">
        <f t="shared" si="2"/>
        <v>0</v>
      </c>
      <c r="I42" s="1471"/>
      <c r="J42" s="1547" t="s">
        <v>332</v>
      </c>
      <c r="K42" s="1593" t="s">
        <v>260</v>
      </c>
      <c r="L42" s="1964" t="s">
        <v>787</v>
      </c>
      <c r="M42" s="1518"/>
      <c r="N42" s="1518"/>
      <c r="O42" s="1518"/>
      <c r="P42" s="1518"/>
      <c r="Q42" s="1518"/>
      <c r="R42" s="1518"/>
      <c r="S42" s="1518"/>
      <c r="T42" s="1531"/>
      <c r="U42" s="1518"/>
      <c r="V42" s="2254">
        <v>0.3</v>
      </c>
      <c r="W42" s="1525"/>
      <c r="X42" s="1523"/>
      <c r="Y42" s="1523"/>
      <c r="Z42" s="1532"/>
    </row>
    <row r="43" spans="1:26" ht="15.75" customHeight="1">
      <c r="B43" s="1497">
        <f t="shared" si="8"/>
        <v>3.3</v>
      </c>
      <c r="C43" s="1530" t="str">
        <f t="shared" si="9"/>
        <v>照度</v>
      </c>
      <c r="D43" s="1515"/>
      <c r="E43" s="1515"/>
      <c r="F43" s="1459"/>
      <c r="G43" s="1516">
        <f t="shared" si="3"/>
        <v>0.15313315926892951</v>
      </c>
      <c r="H43" s="1516">
        <f t="shared" si="2"/>
        <v>3.133159268929504E-3</v>
      </c>
      <c r="I43" s="1471"/>
      <c r="J43" s="1547">
        <v>3.3</v>
      </c>
      <c r="K43" s="1593" t="s">
        <v>252</v>
      </c>
      <c r="L43" s="1637" t="s">
        <v>590</v>
      </c>
      <c r="M43" s="1518">
        <v>0.15</v>
      </c>
      <c r="N43" s="1518">
        <v>0.15</v>
      </c>
      <c r="O43" s="1518"/>
      <c r="P43" s="1518"/>
      <c r="Q43" s="1518">
        <v>0.15</v>
      </c>
      <c r="R43" s="1518">
        <v>0.15</v>
      </c>
      <c r="S43" s="1518">
        <v>0.15</v>
      </c>
      <c r="T43" s="1531"/>
      <c r="U43" s="1518">
        <v>0.15</v>
      </c>
      <c r="V43" s="1523">
        <v>0.15</v>
      </c>
      <c r="W43" s="1525">
        <v>0.15</v>
      </c>
      <c r="X43" s="1523">
        <v>0.15</v>
      </c>
      <c r="Y43" s="1523">
        <v>0.15</v>
      </c>
      <c r="Z43" s="1520"/>
    </row>
    <row r="44" spans="1:26" hidden="1">
      <c r="B44" s="1497" t="str">
        <f t="shared" si="8"/>
        <v>3.3.1</v>
      </c>
      <c r="C44" s="1550" t="str">
        <f t="shared" si="9"/>
        <v>照度</v>
      </c>
      <c r="D44" s="1551">
        <f>G$34*G$43*G44</f>
        <v>0</v>
      </c>
      <c r="E44" s="1551">
        <f>H$34*H$43*H44</f>
        <v>0</v>
      </c>
      <c r="F44" s="1459"/>
      <c r="G44" s="1552">
        <f t="shared" si="3"/>
        <v>0</v>
      </c>
      <c r="H44" s="1552">
        <f t="shared" si="2"/>
        <v>0</v>
      </c>
      <c r="I44" s="1471"/>
      <c r="J44" s="1967" t="s">
        <v>1340</v>
      </c>
      <c r="K44" s="1969" t="s">
        <v>260</v>
      </c>
      <c r="L44" s="1970" t="s">
        <v>1342</v>
      </c>
      <c r="M44" s="1518"/>
      <c r="N44" s="1518"/>
      <c r="O44" s="1518"/>
      <c r="P44" s="1518"/>
      <c r="Q44" s="1518"/>
      <c r="R44" s="1518"/>
      <c r="S44" s="1518"/>
      <c r="T44" s="1531"/>
      <c r="U44" s="1518"/>
      <c r="V44" s="1972"/>
      <c r="W44" s="1973"/>
      <c r="X44" s="1972"/>
      <c r="Y44" s="1972"/>
      <c r="Z44" s="1532"/>
    </row>
    <row r="45" spans="1:26" hidden="1">
      <c r="B45" s="1497" t="str">
        <f t="shared" si="8"/>
        <v>3.3.2</v>
      </c>
      <c r="C45" s="1550" t="str">
        <f t="shared" si="9"/>
        <v>照度均斉度</v>
      </c>
      <c r="D45" s="1551">
        <f>G$34*G$43*G45</f>
        <v>0</v>
      </c>
      <c r="E45" s="1551">
        <f>H$34*H$43*H45</f>
        <v>0</v>
      </c>
      <c r="F45" s="1459"/>
      <c r="G45" s="1552">
        <f t="shared" si="3"/>
        <v>0</v>
      </c>
      <c r="H45" s="1552">
        <f t="shared" si="2"/>
        <v>0</v>
      </c>
      <c r="I45" s="1471"/>
      <c r="J45" s="1967" t="s">
        <v>1386</v>
      </c>
      <c r="K45" s="1969" t="s">
        <v>260</v>
      </c>
      <c r="L45" s="1970" t="s">
        <v>1475</v>
      </c>
      <c r="M45" s="1554"/>
      <c r="N45" s="1554"/>
      <c r="O45" s="1554"/>
      <c r="P45" s="1554"/>
      <c r="Q45" s="1554"/>
      <c r="R45" s="1554"/>
      <c r="S45" s="1554"/>
      <c r="T45" s="1971"/>
      <c r="U45" s="1554"/>
      <c r="V45" s="1972"/>
      <c r="W45" s="1973"/>
      <c r="X45" s="1972"/>
      <c r="Y45" s="1972"/>
      <c r="Z45" s="1532"/>
    </row>
    <row r="46" spans="1:26">
      <c r="B46" s="1497">
        <f t="shared" si="8"/>
        <v>3.4</v>
      </c>
      <c r="C46" s="1530" t="str">
        <f t="shared" si="9"/>
        <v>照明制御</v>
      </c>
      <c r="D46" s="1515">
        <f>G$34*G46</f>
        <v>6.3805483028720633E-2</v>
      </c>
      <c r="E46" s="1515">
        <f>H$34*H46</f>
        <v>0</v>
      </c>
      <c r="F46" s="1459"/>
      <c r="G46" s="1516">
        <f t="shared" si="3"/>
        <v>0.25522193211488253</v>
      </c>
      <c r="H46" s="1516">
        <f t="shared" si="2"/>
        <v>5.2219321148825066E-3</v>
      </c>
      <c r="I46" s="1471"/>
      <c r="J46" s="1547">
        <v>3.4</v>
      </c>
      <c r="K46" s="1593" t="s">
        <v>252</v>
      </c>
      <c r="L46" s="1637" t="s">
        <v>591</v>
      </c>
      <c r="M46" s="1518">
        <v>0.25</v>
      </c>
      <c r="N46" s="1518">
        <v>0.25</v>
      </c>
      <c r="O46" s="1518">
        <v>0.5</v>
      </c>
      <c r="P46" s="1518"/>
      <c r="Q46" s="1518">
        <v>0.25</v>
      </c>
      <c r="R46" s="1518">
        <v>0.25</v>
      </c>
      <c r="S46" s="1518">
        <v>0.25</v>
      </c>
      <c r="T46" s="1531"/>
      <c r="U46" s="1518">
        <v>0.25</v>
      </c>
      <c r="V46" s="1523">
        <v>0.25</v>
      </c>
      <c r="W46" s="1525">
        <v>0.25</v>
      </c>
      <c r="X46" s="1523">
        <v>0.25</v>
      </c>
      <c r="Y46" s="1523">
        <v>0.25</v>
      </c>
      <c r="Z46" s="1520"/>
    </row>
    <row r="47" spans="1:26" s="1505" customFormat="1">
      <c r="A47"/>
      <c r="B47" s="1497">
        <f t="shared" si="8"/>
        <v>4</v>
      </c>
      <c r="C47" s="1528" t="str">
        <f t="shared" si="9"/>
        <v>空気質環境</v>
      </c>
      <c r="D47" s="1508">
        <f>SUM(D48:D60)</f>
        <v>0.25846471105536206</v>
      </c>
      <c r="E47" s="1508">
        <f>SUM(E48:E60)</f>
        <v>0</v>
      </c>
      <c r="F47" s="1459"/>
      <c r="G47" s="1509">
        <f t="shared" si="3"/>
        <v>0.25</v>
      </c>
      <c r="H47" s="1509">
        <f t="shared" si="2"/>
        <v>0</v>
      </c>
      <c r="I47" s="1501"/>
      <c r="J47" s="1541">
        <v>4</v>
      </c>
      <c r="K47" s="1644" t="s">
        <v>230</v>
      </c>
      <c r="L47" s="1687" t="s">
        <v>1050</v>
      </c>
      <c r="M47" s="1534">
        <v>0.25</v>
      </c>
      <c r="N47" s="1534">
        <v>0.25</v>
      </c>
      <c r="O47" s="1534">
        <v>0.25</v>
      </c>
      <c r="P47" s="1534">
        <v>0.25</v>
      </c>
      <c r="Q47" s="1534">
        <v>0.25</v>
      </c>
      <c r="R47" s="1534">
        <v>0.25</v>
      </c>
      <c r="S47" s="1534">
        <v>0.25</v>
      </c>
      <c r="T47" s="1535">
        <v>0.33</v>
      </c>
      <c r="U47" s="1534">
        <v>0.25</v>
      </c>
      <c r="V47" s="1611">
        <v>0.25</v>
      </c>
      <c r="W47" s="1963"/>
      <c r="X47" s="1611"/>
      <c r="Y47" s="1611"/>
      <c r="Z47" s="1512"/>
    </row>
    <row r="48" spans="1:26">
      <c r="B48" s="1497">
        <f t="shared" si="8"/>
        <v>4.0999999999999996</v>
      </c>
      <c r="C48" s="1530" t="str">
        <f t="shared" si="9"/>
        <v>発生源対策</v>
      </c>
      <c r="D48" s="1515"/>
      <c r="E48" s="1515"/>
      <c r="F48" s="1459"/>
      <c r="G48" s="1516">
        <f t="shared" si="3"/>
        <v>0.51514360313315921</v>
      </c>
      <c r="H48" s="1516">
        <f t="shared" si="2"/>
        <v>1.3054830287206266E-2</v>
      </c>
      <c r="I48" s="1471"/>
      <c r="J48" s="1547">
        <v>4.0999999999999996</v>
      </c>
      <c r="K48" s="1593" t="s">
        <v>261</v>
      </c>
      <c r="L48" s="1637" t="s">
        <v>593</v>
      </c>
      <c r="M48" s="1536">
        <v>0.5</v>
      </c>
      <c r="N48" s="1536">
        <v>0.5</v>
      </c>
      <c r="O48" s="1536">
        <v>0.5</v>
      </c>
      <c r="P48" s="1536">
        <v>0.5</v>
      </c>
      <c r="Q48" s="1536">
        <v>0.5</v>
      </c>
      <c r="R48" s="1536">
        <v>0.5</v>
      </c>
      <c r="S48" s="1536">
        <v>0.6</v>
      </c>
      <c r="T48" s="1537">
        <v>0.5</v>
      </c>
      <c r="U48" s="1536">
        <v>0.5</v>
      </c>
      <c r="V48" s="1523">
        <v>0.5</v>
      </c>
      <c r="W48" s="1525">
        <v>0.625</v>
      </c>
      <c r="X48" s="1523">
        <v>0.625</v>
      </c>
      <c r="Y48" s="1523">
        <v>0.625</v>
      </c>
      <c r="Z48" s="1520"/>
    </row>
    <row r="49" spans="1:26">
      <c r="B49" s="1497" t="str">
        <f t="shared" si="8"/>
        <v>4.1.1</v>
      </c>
      <c r="C49" s="1514" t="str">
        <f t="shared" si="9"/>
        <v xml:space="preserve"> 化学汚染物質</v>
      </c>
      <c r="D49" s="1515">
        <f t="shared" ref="D49:E52" si="10">G$47*G$48*G49</f>
        <v>3.3084190021064976E-2</v>
      </c>
      <c r="E49" s="1515">
        <f t="shared" si="10"/>
        <v>0</v>
      </c>
      <c r="F49" s="1459"/>
      <c r="G49" s="1516">
        <f t="shared" si="3"/>
        <v>0.25689295039164495</v>
      </c>
      <c r="H49" s="1516">
        <f t="shared" si="2"/>
        <v>5.2219321148825066E-3</v>
      </c>
      <c r="I49" s="1471"/>
      <c r="J49" s="1547" t="s">
        <v>1346</v>
      </c>
      <c r="K49" s="1593" t="s">
        <v>262</v>
      </c>
      <c r="L49" s="1964" t="s">
        <v>263</v>
      </c>
      <c r="M49" s="1536">
        <v>0.25</v>
      </c>
      <c r="N49" s="1536">
        <v>0.25</v>
      </c>
      <c r="O49" s="1536">
        <v>0.25</v>
      </c>
      <c r="P49" s="1536">
        <v>0.25</v>
      </c>
      <c r="Q49" s="1539">
        <v>0.25</v>
      </c>
      <c r="R49" s="1539">
        <v>0.33</v>
      </c>
      <c r="S49" s="1539">
        <v>0.33</v>
      </c>
      <c r="T49" s="1537">
        <v>0.25</v>
      </c>
      <c r="U49" s="1536">
        <v>0.25</v>
      </c>
      <c r="V49" s="1523">
        <v>0.25</v>
      </c>
      <c r="W49" s="1525">
        <v>0.25</v>
      </c>
      <c r="X49" s="1523">
        <v>0.25</v>
      </c>
      <c r="Y49" s="1523">
        <v>0.25</v>
      </c>
      <c r="Z49" s="1532"/>
    </row>
    <row r="50" spans="1:26">
      <c r="B50" s="1497" t="str">
        <f t="shared" si="8"/>
        <v>4.1.2</v>
      </c>
      <c r="C50" s="1514" t="str">
        <f t="shared" si="9"/>
        <v xml:space="preserve"> アスベスト対策</v>
      </c>
      <c r="D50" s="1515">
        <f t="shared" si="10"/>
        <v>3.3084190021064976E-2</v>
      </c>
      <c r="E50" s="1515">
        <f t="shared" si="10"/>
        <v>0</v>
      </c>
      <c r="F50" s="1459"/>
      <c r="G50" s="1516">
        <f t="shared" si="3"/>
        <v>0.25689295039164495</v>
      </c>
      <c r="H50" s="1516">
        <f t="shared" si="2"/>
        <v>5.2219321148825066E-3</v>
      </c>
      <c r="I50" s="1471"/>
      <c r="J50" s="1547" t="s">
        <v>1347</v>
      </c>
      <c r="K50" s="1593" t="s">
        <v>262</v>
      </c>
      <c r="L50" s="1964" t="s">
        <v>1348</v>
      </c>
      <c r="M50" s="1536">
        <v>0.25</v>
      </c>
      <c r="N50" s="1536">
        <v>0.25</v>
      </c>
      <c r="O50" s="1536">
        <v>0.25</v>
      </c>
      <c r="P50" s="1536">
        <v>0.25</v>
      </c>
      <c r="Q50" s="1539">
        <v>0.25</v>
      </c>
      <c r="R50" s="1539">
        <v>0.33</v>
      </c>
      <c r="S50" s="1539">
        <v>0.33</v>
      </c>
      <c r="T50" s="1537">
        <v>0.25</v>
      </c>
      <c r="U50" s="1536">
        <v>0.25</v>
      </c>
      <c r="V50" s="1523">
        <v>0.25</v>
      </c>
      <c r="W50" s="1525">
        <v>0.25</v>
      </c>
      <c r="X50" s="1523">
        <v>0.25</v>
      </c>
      <c r="Y50" s="1523">
        <v>0.25</v>
      </c>
      <c r="Z50" s="1532"/>
    </row>
    <row r="51" spans="1:26" hidden="1">
      <c r="B51" s="1497" t="str">
        <f t="shared" si="8"/>
        <v>4.1.3</v>
      </c>
      <c r="C51" s="1550" t="str">
        <f t="shared" si="9"/>
        <v xml:space="preserve"> ダニ・カビ等</v>
      </c>
      <c r="D51" s="1515">
        <f t="shared" si="10"/>
        <v>3.3084190021064976E-2</v>
      </c>
      <c r="E51" s="1515">
        <f t="shared" si="10"/>
        <v>0</v>
      </c>
      <c r="F51" s="1459"/>
      <c r="G51" s="1516">
        <f t="shared" si="3"/>
        <v>0.25689295039164495</v>
      </c>
      <c r="H51" s="1516">
        <f t="shared" si="2"/>
        <v>5.2219321148825066E-3</v>
      </c>
      <c r="I51" s="1471"/>
      <c r="J51" s="1547" t="s">
        <v>1349</v>
      </c>
      <c r="K51" s="1593" t="s">
        <v>262</v>
      </c>
      <c r="L51" s="1964" t="s">
        <v>845</v>
      </c>
      <c r="M51" s="1974">
        <v>0.25</v>
      </c>
      <c r="N51" s="1974">
        <v>0.25</v>
      </c>
      <c r="O51" s="1974">
        <v>0.25</v>
      </c>
      <c r="P51" s="1974">
        <v>0.25</v>
      </c>
      <c r="Q51" s="1978">
        <v>0.25</v>
      </c>
      <c r="R51" s="1978">
        <v>0.33</v>
      </c>
      <c r="S51" s="1978">
        <v>0.33</v>
      </c>
      <c r="T51" s="1975">
        <v>0.25</v>
      </c>
      <c r="U51" s="1974">
        <v>0.25</v>
      </c>
      <c r="V51" s="1523">
        <v>0.25</v>
      </c>
      <c r="W51" s="1525">
        <v>0.25</v>
      </c>
      <c r="X51" s="1523">
        <v>0.25</v>
      </c>
      <c r="Y51" s="1523">
        <v>0.25</v>
      </c>
      <c r="Z51" s="1532"/>
    </row>
    <row r="52" spans="1:26" hidden="1">
      <c r="B52" s="1497" t="str">
        <f t="shared" si="8"/>
        <v>4.1.4</v>
      </c>
      <c r="C52" s="1550" t="str">
        <f t="shared" si="9"/>
        <v xml:space="preserve"> レジオネラ対策</v>
      </c>
      <c r="D52" s="1515">
        <f t="shared" si="10"/>
        <v>3.2196475195822458E-2</v>
      </c>
      <c r="E52" s="1515">
        <f t="shared" si="10"/>
        <v>0</v>
      </c>
      <c r="F52" s="1459"/>
      <c r="G52" s="1516">
        <f t="shared" si="3"/>
        <v>0.25000000000000006</v>
      </c>
      <c r="H52" s="1516">
        <f t="shared" si="2"/>
        <v>5.2219321148825066E-3</v>
      </c>
      <c r="I52" s="1471"/>
      <c r="J52" s="1547" t="s">
        <v>1350</v>
      </c>
      <c r="K52" s="1593" t="s">
        <v>262</v>
      </c>
      <c r="L52" s="1964" t="s">
        <v>265</v>
      </c>
      <c r="M52" s="1536">
        <v>0.25</v>
      </c>
      <c r="N52" s="1536">
        <v>0.25</v>
      </c>
      <c r="O52" s="1536">
        <v>0.25</v>
      </c>
      <c r="P52" s="1536">
        <v>0.25</v>
      </c>
      <c r="Q52" s="1536">
        <v>0.25</v>
      </c>
      <c r="R52" s="1536"/>
      <c r="S52" s="1536"/>
      <c r="T52" s="1537">
        <v>0.25</v>
      </c>
      <c r="U52" s="1536">
        <v>0.25</v>
      </c>
      <c r="V52" s="1523">
        <v>0.25</v>
      </c>
      <c r="W52" s="1525">
        <v>0.25</v>
      </c>
      <c r="X52" s="1523">
        <v>0.25</v>
      </c>
      <c r="Y52" s="1523">
        <v>0.25</v>
      </c>
      <c r="Z52" s="1532"/>
    </row>
    <row r="53" spans="1:26">
      <c r="B53" s="1497">
        <f t="shared" si="8"/>
        <v>4.2</v>
      </c>
      <c r="C53" s="1530" t="str">
        <f t="shared" si="9"/>
        <v>換気</v>
      </c>
      <c r="D53" s="1515"/>
      <c r="E53" s="1515"/>
      <c r="F53" s="1459"/>
      <c r="G53" s="1516">
        <f t="shared" si="3"/>
        <v>0.30992167101827678</v>
      </c>
      <c r="H53" s="1516">
        <f t="shared" si="2"/>
        <v>7.8328981723237608E-3</v>
      </c>
      <c r="I53" s="1471"/>
      <c r="J53" s="1547">
        <v>4.2</v>
      </c>
      <c r="K53" s="1593" t="s">
        <v>261</v>
      </c>
      <c r="L53" s="1637" t="s">
        <v>600</v>
      </c>
      <c r="M53" s="1536">
        <v>0.3</v>
      </c>
      <c r="N53" s="1536">
        <v>0.3</v>
      </c>
      <c r="O53" s="1536">
        <v>0.3</v>
      </c>
      <c r="P53" s="1536">
        <v>0.3</v>
      </c>
      <c r="Q53" s="1536">
        <v>0.3</v>
      </c>
      <c r="R53" s="1536">
        <v>0.3</v>
      </c>
      <c r="S53" s="1536">
        <v>0.4</v>
      </c>
      <c r="T53" s="1537">
        <v>0.3</v>
      </c>
      <c r="U53" s="1536">
        <v>0.3</v>
      </c>
      <c r="V53" s="1523">
        <v>0.3</v>
      </c>
      <c r="W53" s="1525">
        <v>0.375</v>
      </c>
      <c r="X53" s="1523">
        <v>0.375</v>
      </c>
      <c r="Y53" s="1523">
        <v>0.375</v>
      </c>
      <c r="Z53" s="1520"/>
    </row>
    <row r="54" spans="1:26">
      <c r="B54" s="1497" t="str">
        <f t="shared" si="8"/>
        <v>4.2.1</v>
      </c>
      <c r="C54" s="1514" t="str">
        <f t="shared" si="9"/>
        <v>換気量</v>
      </c>
      <c r="D54" s="1515">
        <f t="shared" ref="D54:E57" si="11">G$47*G$53*G54</f>
        <v>1.8965506956895202E-2</v>
      </c>
      <c r="E54" s="1515">
        <f t="shared" si="11"/>
        <v>0</v>
      </c>
      <c r="F54" s="1459"/>
      <c r="G54" s="1516">
        <f t="shared" si="3"/>
        <v>0.24477806788511752</v>
      </c>
      <c r="H54" s="1516">
        <f t="shared" si="2"/>
        <v>0</v>
      </c>
      <c r="I54" s="1471"/>
      <c r="J54" s="1547" t="s">
        <v>1351</v>
      </c>
      <c r="K54" s="1593" t="s">
        <v>266</v>
      </c>
      <c r="L54" s="1964" t="s">
        <v>267</v>
      </c>
      <c r="M54" s="1536">
        <v>0.25</v>
      </c>
      <c r="N54" s="1536">
        <v>0.25</v>
      </c>
      <c r="O54" s="1539">
        <v>0.33333333333333331</v>
      </c>
      <c r="P54" s="1539">
        <v>0.33333333333333331</v>
      </c>
      <c r="Q54" s="1539">
        <v>0.33333333333333331</v>
      </c>
      <c r="R54" s="1539">
        <v>0.33333333333333331</v>
      </c>
      <c r="S54" s="1536"/>
      <c r="T54" s="1539">
        <v>0.33333333333333331</v>
      </c>
      <c r="U54" s="1536">
        <v>0.25</v>
      </c>
      <c r="V54" s="1523">
        <v>0.25</v>
      </c>
      <c r="W54" s="1525">
        <v>0.25</v>
      </c>
      <c r="X54" s="1523">
        <v>0.25</v>
      </c>
      <c r="Y54" s="1523"/>
      <c r="Z54" s="1532"/>
    </row>
    <row r="55" spans="1:26">
      <c r="B55" s="1497" t="str">
        <f t="shared" si="8"/>
        <v>4.2.2</v>
      </c>
      <c r="C55" s="1514" t="str">
        <f t="shared" si="9"/>
        <v>自然換気性能</v>
      </c>
      <c r="D55" s="1515">
        <f t="shared" si="11"/>
        <v>1.9499575632801372E-2</v>
      </c>
      <c r="E55" s="1515">
        <f t="shared" si="11"/>
        <v>0</v>
      </c>
      <c r="F55" s="1459"/>
      <c r="G55" s="1516">
        <f t="shared" si="3"/>
        <v>0.25167101827676241</v>
      </c>
      <c r="H55" s="1516">
        <f t="shared" si="2"/>
        <v>6.8929503916449093E-3</v>
      </c>
      <c r="I55" s="1471"/>
      <c r="J55" s="1547" t="s">
        <v>1353</v>
      </c>
      <c r="K55" s="1593" t="s">
        <v>266</v>
      </c>
      <c r="L55" s="1964" t="s">
        <v>268</v>
      </c>
      <c r="M55" s="1536">
        <v>0.25</v>
      </c>
      <c r="N55" s="1536">
        <v>0.25</v>
      </c>
      <c r="O55" s="1536"/>
      <c r="P55" s="1536"/>
      <c r="Q55" s="1536"/>
      <c r="R55" s="1536"/>
      <c r="S55" s="1536"/>
      <c r="T55" s="1537"/>
      <c r="U55" s="1536">
        <v>0.25</v>
      </c>
      <c r="V55" s="1523">
        <v>0.25</v>
      </c>
      <c r="W55" s="1525">
        <v>0.25</v>
      </c>
      <c r="X55" s="1523">
        <v>0.25</v>
      </c>
      <c r="Y55" s="1523">
        <v>0.33</v>
      </c>
      <c r="Z55" s="1532"/>
    </row>
    <row r="56" spans="1:26">
      <c r="B56" s="1497" t="str">
        <f t="shared" si="8"/>
        <v>4.2.3</v>
      </c>
      <c r="C56" s="1514" t="str">
        <f t="shared" si="9"/>
        <v>取り入れ外気への配慮</v>
      </c>
      <c r="D56" s="1515">
        <f t="shared" si="11"/>
        <v>2.1117965559789762E-2</v>
      </c>
      <c r="E56" s="1515">
        <f t="shared" si="11"/>
        <v>0</v>
      </c>
      <c r="F56" s="1459"/>
      <c r="G56" s="1516">
        <f t="shared" si="3"/>
        <v>0.27255874673629243</v>
      </c>
      <c r="H56" s="1516">
        <f t="shared" si="2"/>
        <v>6.8929503916449093E-3</v>
      </c>
      <c r="I56" s="1471"/>
      <c r="J56" s="1547" t="s">
        <v>1354</v>
      </c>
      <c r="K56" s="1593" t="s">
        <v>266</v>
      </c>
      <c r="L56" s="1964" t="s">
        <v>269</v>
      </c>
      <c r="M56" s="1536">
        <v>0.25</v>
      </c>
      <c r="N56" s="1536">
        <v>0.25</v>
      </c>
      <c r="O56" s="1539">
        <v>0.33333333333333331</v>
      </c>
      <c r="P56" s="1539">
        <v>0.33333333333333331</v>
      </c>
      <c r="Q56" s="1539">
        <v>0.33333333333333331</v>
      </c>
      <c r="R56" s="1539">
        <v>0.33333333333333331</v>
      </c>
      <c r="S56" s="1536">
        <v>1</v>
      </c>
      <c r="T56" s="1539">
        <v>0.33333333333333331</v>
      </c>
      <c r="U56" s="1536">
        <v>0.25</v>
      </c>
      <c r="V56" s="1523">
        <v>0.25</v>
      </c>
      <c r="W56" s="1525">
        <v>0.25</v>
      </c>
      <c r="X56" s="1523">
        <v>0.25</v>
      </c>
      <c r="Y56" s="1523">
        <v>0.33</v>
      </c>
      <c r="Z56" s="1532"/>
    </row>
    <row r="57" spans="1:26" hidden="1">
      <c r="B57" s="1497" t="str">
        <f t="shared" si="8"/>
        <v>4.2.4</v>
      </c>
      <c r="C57" s="1550" t="str">
        <f t="shared" si="9"/>
        <v>給気計画</v>
      </c>
      <c r="D57" s="1515">
        <f t="shared" si="11"/>
        <v>1.9499575632801372E-2</v>
      </c>
      <c r="E57" s="1515">
        <f t="shared" si="11"/>
        <v>0</v>
      </c>
      <c r="F57" s="1459"/>
      <c r="G57" s="1516">
        <f t="shared" si="3"/>
        <v>0.25167101827676241</v>
      </c>
      <c r="H57" s="1516">
        <f t="shared" si="2"/>
        <v>6.8929503916449093E-3</v>
      </c>
      <c r="I57" s="1471"/>
      <c r="J57" s="1547" t="s">
        <v>1355</v>
      </c>
      <c r="K57" s="1593" t="s">
        <v>266</v>
      </c>
      <c r="L57" s="1964" t="s">
        <v>1356</v>
      </c>
      <c r="M57" s="1974">
        <v>0.25</v>
      </c>
      <c r="N57" s="1974">
        <v>0.25</v>
      </c>
      <c r="O57" s="1978">
        <v>0.33333333333333331</v>
      </c>
      <c r="P57" s="1978">
        <v>0.33333333333333331</v>
      </c>
      <c r="Q57" s="1978">
        <v>0.33333333333333331</v>
      </c>
      <c r="R57" s="1978">
        <v>0.33333333333333331</v>
      </c>
      <c r="S57" s="1974"/>
      <c r="T57" s="1978">
        <v>0.33333333333333331</v>
      </c>
      <c r="U57" s="1974">
        <v>0.25</v>
      </c>
      <c r="V57" s="1523">
        <v>0.25</v>
      </c>
      <c r="W57" s="1525">
        <v>0.25</v>
      </c>
      <c r="X57" s="1523">
        <v>0.25</v>
      </c>
      <c r="Y57" s="1523">
        <v>0.33</v>
      </c>
      <c r="Z57" s="1532"/>
    </row>
    <row r="58" spans="1:26">
      <c r="B58" s="1497">
        <f t="shared" si="8"/>
        <v>4.3</v>
      </c>
      <c r="C58" s="1530" t="str">
        <f t="shared" si="9"/>
        <v>運用管理</v>
      </c>
      <c r="D58" s="1515"/>
      <c r="E58" s="1515"/>
      <c r="F58" s="1459"/>
      <c r="G58" s="1516">
        <f t="shared" si="3"/>
        <v>0.19582245430809403</v>
      </c>
      <c r="H58" s="1516">
        <f t="shared" si="2"/>
        <v>0</v>
      </c>
      <c r="I58" s="1471"/>
      <c r="J58" s="1547">
        <v>4.3</v>
      </c>
      <c r="K58" s="1593" t="s">
        <v>261</v>
      </c>
      <c r="L58" s="1637" t="s">
        <v>608</v>
      </c>
      <c r="M58" s="1536">
        <v>0.2</v>
      </c>
      <c r="N58" s="1536">
        <v>0.2</v>
      </c>
      <c r="O58" s="1536">
        <v>0.2</v>
      </c>
      <c r="P58" s="1536">
        <v>0.2</v>
      </c>
      <c r="Q58" s="1536">
        <v>0.2</v>
      </c>
      <c r="R58" s="1536">
        <v>0.2</v>
      </c>
      <c r="S58" s="1536"/>
      <c r="T58" s="1537">
        <v>0.2</v>
      </c>
      <c r="U58" s="1536">
        <v>0.2</v>
      </c>
      <c r="V58" s="1523">
        <v>0.2</v>
      </c>
      <c r="W58" s="1525"/>
      <c r="X58" s="1523"/>
      <c r="Y58" s="1523"/>
      <c r="Z58" s="1520"/>
    </row>
    <row r="59" spans="1:26">
      <c r="B59" s="1497" t="str">
        <f t="shared" si="8"/>
        <v>4.3.1</v>
      </c>
      <c r="C59" s="1514" t="str">
        <f t="shared" si="9"/>
        <v>CO2の監視</v>
      </c>
      <c r="D59" s="1515">
        <f>G$47*G$58*G59</f>
        <v>2.3966521007028483E-2</v>
      </c>
      <c r="E59" s="1515">
        <f>H$47*H$58*H59</f>
        <v>0</v>
      </c>
      <c r="F59" s="1459"/>
      <c r="G59" s="1516">
        <f t="shared" si="3"/>
        <v>0.48955613577023505</v>
      </c>
      <c r="H59" s="1516">
        <f t="shared" si="2"/>
        <v>0</v>
      </c>
      <c r="I59" s="1471"/>
      <c r="J59" s="1547" t="s">
        <v>1357</v>
      </c>
      <c r="K59" s="1593" t="s">
        <v>270</v>
      </c>
      <c r="L59" s="1964" t="s">
        <v>1358</v>
      </c>
      <c r="M59" s="1536">
        <v>0.5</v>
      </c>
      <c r="N59" s="1536">
        <v>0.5</v>
      </c>
      <c r="O59" s="1536">
        <v>0.5</v>
      </c>
      <c r="P59" s="1536">
        <v>0.5</v>
      </c>
      <c r="Q59" s="1536"/>
      <c r="R59" s="1536"/>
      <c r="S59" s="1536"/>
      <c r="T59" s="1537">
        <v>0.5</v>
      </c>
      <c r="U59" s="1536">
        <v>0.5</v>
      </c>
      <c r="V59" s="1523">
        <v>0.5</v>
      </c>
      <c r="W59" s="1525"/>
      <c r="X59" s="1523"/>
      <c r="Y59" s="1523"/>
      <c r="Z59" s="1532"/>
    </row>
    <row r="60" spans="1:26">
      <c r="B60" s="1497" t="str">
        <f t="shared" si="8"/>
        <v>4.3.2</v>
      </c>
      <c r="C60" s="1514" t="str">
        <f t="shared" si="9"/>
        <v>喫煙の制御</v>
      </c>
      <c r="D60" s="1515">
        <f>G$47*G$58*G60</f>
        <v>2.3966521007028483E-2</v>
      </c>
      <c r="E60" s="1515">
        <f>H$47*H$58*H60</f>
        <v>0</v>
      </c>
      <c r="F60" s="1459"/>
      <c r="G60" s="1516">
        <f t="shared" si="3"/>
        <v>0.48955613577023505</v>
      </c>
      <c r="H60" s="1516">
        <f t="shared" si="2"/>
        <v>0</v>
      </c>
      <c r="I60" s="1471"/>
      <c r="J60" s="1547" t="s">
        <v>1359</v>
      </c>
      <c r="K60" s="1593" t="s">
        <v>270</v>
      </c>
      <c r="L60" s="1964" t="s">
        <v>1360</v>
      </c>
      <c r="M60" s="1536">
        <v>0.5</v>
      </c>
      <c r="N60" s="1536">
        <v>0.5</v>
      </c>
      <c r="O60" s="1536">
        <v>0.5</v>
      </c>
      <c r="P60" s="1536">
        <v>0.5</v>
      </c>
      <c r="Q60" s="1536">
        <v>1</v>
      </c>
      <c r="R60" s="1536">
        <v>1</v>
      </c>
      <c r="S60" s="1536"/>
      <c r="T60" s="1537">
        <v>0.5</v>
      </c>
      <c r="U60" s="1536">
        <v>0.5</v>
      </c>
      <c r="V60" s="1523">
        <v>0.5</v>
      </c>
      <c r="W60" s="1525"/>
      <c r="X60" s="1523"/>
      <c r="Y60" s="1523"/>
      <c r="Z60" s="1532"/>
    </row>
    <row r="61" spans="1:26" s="1505" customFormat="1">
      <c r="A61"/>
      <c r="B61" s="1497" t="str">
        <f t="shared" si="8"/>
        <v>Q2</v>
      </c>
      <c r="C61" s="1497" t="str">
        <f t="shared" si="9"/>
        <v>サービス性能</v>
      </c>
      <c r="D61" s="1499">
        <f>G61</f>
        <v>0.3</v>
      </c>
      <c r="E61" s="1499">
        <f>H61</f>
        <v>0</v>
      </c>
      <c r="F61" s="1459"/>
      <c r="G61" s="1500">
        <f t="shared" si="3"/>
        <v>0.3</v>
      </c>
      <c r="H61" s="1500">
        <f t="shared" si="2"/>
        <v>0</v>
      </c>
      <c r="I61" s="1540"/>
      <c r="J61" s="1497" t="s">
        <v>1361</v>
      </c>
      <c r="K61" s="1959" t="s">
        <v>229</v>
      </c>
      <c r="L61" s="1958" t="s">
        <v>1362</v>
      </c>
      <c r="M61" s="1503">
        <v>0.3</v>
      </c>
      <c r="N61" s="1503">
        <v>0.3</v>
      </c>
      <c r="O61" s="1503">
        <v>0.3</v>
      </c>
      <c r="P61" s="1503">
        <v>0.3</v>
      </c>
      <c r="Q61" s="1503">
        <v>0.3</v>
      </c>
      <c r="R61" s="1503">
        <v>0.3</v>
      </c>
      <c r="S61" s="1503">
        <v>0.3</v>
      </c>
      <c r="T61" s="1503">
        <v>0.3</v>
      </c>
      <c r="U61" s="1503">
        <v>0.3</v>
      </c>
      <c r="V61" s="1960">
        <v>0.3</v>
      </c>
      <c r="W61" s="1961">
        <v>0</v>
      </c>
      <c r="X61" s="1960">
        <v>0</v>
      </c>
      <c r="Y61" s="1960">
        <v>0</v>
      </c>
      <c r="Z61" s="1504"/>
    </row>
    <row r="62" spans="1:26" s="1505" customFormat="1">
      <c r="A62"/>
      <c r="B62" s="1497">
        <f t="shared" si="8"/>
        <v>1</v>
      </c>
      <c r="C62" s="1541" t="str">
        <f t="shared" si="9"/>
        <v>機能性</v>
      </c>
      <c r="D62" s="1508">
        <f>SUM(D63:D74)</f>
        <v>0.41437817423256018</v>
      </c>
      <c r="E62" s="1508">
        <f>SUM(E63:E70)</f>
        <v>0</v>
      </c>
      <c r="F62" s="1459"/>
      <c r="G62" s="1509">
        <f t="shared" si="3"/>
        <v>0.40000000000000008</v>
      </c>
      <c r="H62" s="1509">
        <f t="shared" si="2"/>
        <v>0</v>
      </c>
      <c r="I62" s="1542"/>
      <c r="J62" s="1541">
        <v>1</v>
      </c>
      <c r="K62" s="1644" t="s">
        <v>271</v>
      </c>
      <c r="L62" s="1680" t="s">
        <v>272</v>
      </c>
      <c r="M62" s="1543">
        <v>0.4</v>
      </c>
      <c r="N62" s="1543">
        <v>0.4</v>
      </c>
      <c r="O62" s="1543">
        <v>0.4</v>
      </c>
      <c r="P62" s="1543">
        <v>0.4</v>
      </c>
      <c r="Q62" s="1543">
        <v>0.4</v>
      </c>
      <c r="R62" s="1543">
        <v>0.4</v>
      </c>
      <c r="S62" s="1543">
        <v>0.4</v>
      </c>
      <c r="T62" s="1529">
        <v>0.4</v>
      </c>
      <c r="U62" s="1543">
        <v>0.4</v>
      </c>
      <c r="V62" s="1979">
        <v>0.4</v>
      </c>
      <c r="W62" s="1980"/>
      <c r="X62" s="1979"/>
      <c r="Y62" s="1979"/>
      <c r="Z62" s="1512"/>
    </row>
    <row r="63" spans="1:26">
      <c r="B63" s="1497">
        <f t="shared" si="8"/>
        <v>1.1000000000000001</v>
      </c>
      <c r="C63" s="1514" t="str">
        <f t="shared" si="9"/>
        <v>機能性・使いやすさ</v>
      </c>
      <c r="D63" s="1515"/>
      <c r="E63" s="1515"/>
      <c r="F63" s="1459"/>
      <c r="G63" s="1516">
        <f t="shared" si="3"/>
        <v>0.41253263707571808</v>
      </c>
      <c r="H63" s="1516">
        <f t="shared" si="2"/>
        <v>1.2532637075718016E-2</v>
      </c>
      <c r="I63" s="1544"/>
      <c r="J63" s="1547">
        <v>1.1000000000000001</v>
      </c>
      <c r="K63" s="1593" t="s">
        <v>273</v>
      </c>
      <c r="L63" s="1964" t="s">
        <v>370</v>
      </c>
      <c r="M63" s="1518">
        <v>0.4</v>
      </c>
      <c r="N63" s="1518">
        <v>0.4</v>
      </c>
      <c r="O63" s="1518">
        <v>0.4</v>
      </c>
      <c r="P63" s="2251">
        <v>0.4</v>
      </c>
      <c r="Q63" s="2251">
        <v>0.4</v>
      </c>
      <c r="R63" s="1518">
        <v>0.4</v>
      </c>
      <c r="S63" s="2251">
        <v>0.4</v>
      </c>
      <c r="T63" s="1518">
        <v>0.4</v>
      </c>
      <c r="U63" s="2251">
        <v>0.4</v>
      </c>
      <c r="V63" s="1523">
        <v>0.4</v>
      </c>
      <c r="W63" s="1523">
        <v>0.6</v>
      </c>
      <c r="X63" s="1523">
        <v>0.6</v>
      </c>
      <c r="Y63" s="1523">
        <v>0.6</v>
      </c>
      <c r="Z63" s="1520"/>
    </row>
    <row r="64" spans="1:26" ht="14.25" customHeight="1">
      <c r="B64" s="1497" t="str">
        <f t="shared" si="8"/>
        <v>1.1.1</v>
      </c>
      <c r="C64" s="1514" t="str">
        <f t="shared" si="9"/>
        <v>広さ・収納性</v>
      </c>
      <c r="D64" s="1515">
        <f t="shared" ref="D64:E66" si="12">G$62*G$63*G64</f>
        <v>5.385543564957157E-2</v>
      </c>
      <c r="E64" s="1515">
        <f t="shared" si="12"/>
        <v>0</v>
      </c>
      <c r="F64" s="1459"/>
      <c r="G64" s="1516">
        <f t="shared" si="3"/>
        <v>0.32637075718015668</v>
      </c>
      <c r="H64" s="1516">
        <f t="shared" si="2"/>
        <v>0</v>
      </c>
      <c r="I64" s="1545"/>
      <c r="J64" s="1547" t="s">
        <v>1363</v>
      </c>
      <c r="K64" s="1593" t="s">
        <v>274</v>
      </c>
      <c r="L64" s="1964" t="s">
        <v>275</v>
      </c>
      <c r="M64" s="1539">
        <v>0.33333333333333331</v>
      </c>
      <c r="N64" s="1518"/>
      <c r="O64" s="1518"/>
      <c r="P64" s="1518"/>
      <c r="Q64" s="1518"/>
      <c r="R64" s="1518"/>
      <c r="S64" s="1518"/>
      <c r="T64" s="1531"/>
      <c r="U64" s="1539">
        <v>0.33333333333333331</v>
      </c>
      <c r="V64" s="2254">
        <v>0.5</v>
      </c>
      <c r="W64" s="1525">
        <v>1</v>
      </c>
      <c r="X64" s="1523">
        <v>0.5</v>
      </c>
      <c r="Y64" s="1523"/>
      <c r="Z64" s="1532"/>
    </row>
    <row r="65" spans="1:26">
      <c r="B65" s="1497" t="str">
        <f t="shared" si="8"/>
        <v>1.1.2</v>
      </c>
      <c r="C65" s="1514" t="str">
        <f t="shared" si="9"/>
        <v>高度情報通信設備対応</v>
      </c>
      <c r="D65" s="1515">
        <f t="shared" si="12"/>
        <v>5.7302183531144149E-2</v>
      </c>
      <c r="E65" s="1515">
        <f t="shared" si="12"/>
        <v>0</v>
      </c>
      <c r="F65" s="1459"/>
      <c r="G65" s="1516">
        <f t="shared" si="3"/>
        <v>0.3472584856396867</v>
      </c>
      <c r="H65" s="1516">
        <f t="shared" si="2"/>
        <v>2.0887728459530026E-2</v>
      </c>
      <c r="I65" s="1545"/>
      <c r="J65" s="1547" t="s">
        <v>1364</v>
      </c>
      <c r="K65" s="1593" t="s">
        <v>274</v>
      </c>
      <c r="L65" s="1964" t="s">
        <v>1365</v>
      </c>
      <c r="M65" s="1539">
        <v>0.33333333333333331</v>
      </c>
      <c r="N65" s="1518"/>
      <c r="O65" s="1518"/>
      <c r="P65" s="1518"/>
      <c r="Q65" s="1518"/>
      <c r="R65" s="1518"/>
      <c r="S65" s="1518"/>
      <c r="T65" s="1531"/>
      <c r="U65" s="1539">
        <v>0.33333333333333331</v>
      </c>
      <c r="V65" s="2254"/>
      <c r="W65" s="1525"/>
      <c r="X65" s="1523">
        <v>0.5</v>
      </c>
      <c r="Y65" s="1523">
        <v>1</v>
      </c>
      <c r="Z65" s="1532"/>
    </row>
    <row r="66" spans="1:26">
      <c r="B66" s="1497" t="str">
        <f t="shared" si="8"/>
        <v>1.1.3</v>
      </c>
      <c r="C66" s="1514" t="str">
        <f t="shared" si="9"/>
        <v>バリアフリー計画</v>
      </c>
      <c r="D66" s="1515">
        <f t="shared" si="12"/>
        <v>5.7302183531144149E-2</v>
      </c>
      <c r="E66" s="1515">
        <f t="shared" si="12"/>
        <v>0</v>
      </c>
      <c r="F66" s="1459"/>
      <c r="G66" s="1516">
        <f t="shared" si="3"/>
        <v>0.3472584856396867</v>
      </c>
      <c r="H66" s="1516">
        <f t="shared" si="2"/>
        <v>0</v>
      </c>
      <c r="I66" s="1545"/>
      <c r="J66" s="1547" t="s">
        <v>1366</v>
      </c>
      <c r="K66" s="1593" t="s">
        <v>274</v>
      </c>
      <c r="L66" s="1964" t="s">
        <v>276</v>
      </c>
      <c r="M66" s="1539">
        <v>0.33333333333333331</v>
      </c>
      <c r="N66" s="1518">
        <v>1</v>
      </c>
      <c r="O66" s="1518">
        <v>1</v>
      </c>
      <c r="P66" s="1518">
        <v>1</v>
      </c>
      <c r="Q66" s="1518">
        <v>1</v>
      </c>
      <c r="R66" s="1518">
        <v>1</v>
      </c>
      <c r="S66" s="1518">
        <v>1</v>
      </c>
      <c r="T66" s="1531">
        <v>1</v>
      </c>
      <c r="U66" s="1539">
        <v>0.33333333333333331</v>
      </c>
      <c r="V66" s="2254">
        <v>0.5</v>
      </c>
      <c r="W66" s="1525"/>
      <c r="X66" s="1523"/>
      <c r="Y66" s="1523"/>
      <c r="Z66" s="1532"/>
    </row>
    <row r="67" spans="1:26">
      <c r="B67" s="1497">
        <f t="shared" si="8"/>
        <v>1.2</v>
      </c>
      <c r="C67" s="1514" t="str">
        <f t="shared" si="9"/>
        <v>心理性・快適性</v>
      </c>
      <c r="D67" s="1515"/>
      <c r="E67" s="1515"/>
      <c r="F67" s="1459"/>
      <c r="G67" s="1516">
        <f t="shared" si="3"/>
        <v>0.30835509138381201</v>
      </c>
      <c r="H67" s="1516">
        <f t="shared" si="2"/>
        <v>8.3550913838120102E-3</v>
      </c>
      <c r="I67" s="1544"/>
      <c r="J67" s="1547">
        <v>1.2</v>
      </c>
      <c r="K67" s="1593" t="s">
        <v>273</v>
      </c>
      <c r="L67" s="1964" t="s">
        <v>622</v>
      </c>
      <c r="M67" s="1518">
        <v>0.3</v>
      </c>
      <c r="N67" s="1518">
        <v>0.3</v>
      </c>
      <c r="O67" s="1518">
        <v>0.3</v>
      </c>
      <c r="P67" s="2251">
        <v>0.3</v>
      </c>
      <c r="Q67" s="2251">
        <v>0.3</v>
      </c>
      <c r="R67" s="1518">
        <v>0.3</v>
      </c>
      <c r="S67" s="2251">
        <v>0.3</v>
      </c>
      <c r="T67" s="1518">
        <v>0.3</v>
      </c>
      <c r="U67" s="2251">
        <v>0.3</v>
      </c>
      <c r="V67" s="1523">
        <v>0.3</v>
      </c>
      <c r="W67" s="1523">
        <v>0.4</v>
      </c>
      <c r="X67" s="1523">
        <v>0.4</v>
      </c>
      <c r="Y67" s="1523">
        <v>0.4</v>
      </c>
      <c r="Z67" s="1520"/>
    </row>
    <row r="68" spans="1:26">
      <c r="B68" s="1497" t="str">
        <f t="shared" si="8"/>
        <v>1.2.1</v>
      </c>
      <c r="C68" s="1514" t="str">
        <f t="shared" si="9"/>
        <v>広さ感・景観</v>
      </c>
      <c r="D68" s="1515">
        <f t="shared" ref="D68:E70" si="13">G$62*G$67*G68</f>
        <v>2.9520504832218738E-2</v>
      </c>
      <c r="E68" s="1515">
        <f t="shared" si="13"/>
        <v>0</v>
      </c>
      <c r="F68" s="1459"/>
      <c r="G68" s="1516">
        <f t="shared" si="3"/>
        <v>0.23933855526544823</v>
      </c>
      <c r="H68" s="1516">
        <f t="shared" si="2"/>
        <v>0</v>
      </c>
      <c r="I68" s="1545"/>
      <c r="J68" s="1547" t="s">
        <v>1367</v>
      </c>
      <c r="K68" s="1593" t="s">
        <v>277</v>
      </c>
      <c r="L68" s="1964" t="s">
        <v>278</v>
      </c>
      <c r="M68" s="1539">
        <v>0.33333333333333331</v>
      </c>
      <c r="N68" s="1518"/>
      <c r="O68" s="1518"/>
      <c r="P68" s="1518"/>
      <c r="Q68" s="1518"/>
      <c r="R68" s="1518"/>
      <c r="S68" s="1518"/>
      <c r="T68" s="1531"/>
      <c r="U68" s="1518"/>
      <c r="V68" s="1523"/>
      <c r="W68" s="1525"/>
      <c r="X68" s="1525"/>
      <c r="Y68" s="1525"/>
      <c r="Z68" s="1532"/>
    </row>
    <row r="69" spans="1:26">
      <c r="B69" s="1497" t="str">
        <f t="shared" si="8"/>
        <v>1.2.2</v>
      </c>
      <c r="C69" s="1514" t="str">
        <f t="shared" si="9"/>
        <v>リフレッシュスペース</v>
      </c>
      <c r="D69" s="1515">
        <f t="shared" si="13"/>
        <v>2.9520504832218738E-2</v>
      </c>
      <c r="E69" s="1515">
        <f t="shared" si="13"/>
        <v>0</v>
      </c>
      <c r="F69" s="1459"/>
      <c r="G69" s="1516">
        <f t="shared" si="3"/>
        <v>0.23933855526544823</v>
      </c>
      <c r="H69" s="1516">
        <f t="shared" si="2"/>
        <v>0</v>
      </c>
      <c r="I69" s="1545"/>
      <c r="J69" s="1547" t="s">
        <v>1368</v>
      </c>
      <c r="K69" s="1593" t="s">
        <v>277</v>
      </c>
      <c r="L69" s="1964" t="s">
        <v>279</v>
      </c>
      <c r="M69" s="1539">
        <v>0.33333333333333331</v>
      </c>
      <c r="N69" s="1518"/>
      <c r="O69" s="1518">
        <v>0.5</v>
      </c>
      <c r="P69" s="1518"/>
      <c r="Q69" s="1518"/>
      <c r="R69" s="1518"/>
      <c r="S69" s="1518"/>
      <c r="T69" s="1531"/>
      <c r="U69" s="1518"/>
      <c r="V69" s="1523"/>
      <c r="W69" s="1525"/>
      <c r="X69" s="1525"/>
      <c r="Y69" s="1525"/>
      <c r="Z69" s="1532"/>
    </row>
    <row r="70" spans="1:26">
      <c r="B70" s="1497" t="str">
        <f t="shared" si="8"/>
        <v>1.2.3</v>
      </c>
      <c r="C70" s="1514" t="str">
        <f t="shared" si="9"/>
        <v>内装計画</v>
      </c>
      <c r="D70" s="1515">
        <f t="shared" si="13"/>
        <v>6.6877361856262807E-2</v>
      </c>
      <c r="E70" s="1515">
        <f t="shared" si="13"/>
        <v>0</v>
      </c>
      <c r="F70" s="1459"/>
      <c r="G70" s="1516">
        <f t="shared" si="3"/>
        <v>0.54221061792863356</v>
      </c>
      <c r="H70" s="1516">
        <f t="shared" si="2"/>
        <v>2.0887728459530026E-2</v>
      </c>
      <c r="I70" s="1545"/>
      <c r="J70" s="1547" t="s">
        <v>1369</v>
      </c>
      <c r="K70" s="1593" t="s">
        <v>277</v>
      </c>
      <c r="L70" s="1964" t="s">
        <v>280</v>
      </c>
      <c r="M70" s="1539">
        <v>0.33333333333333331</v>
      </c>
      <c r="N70" s="1518">
        <v>1</v>
      </c>
      <c r="O70" s="1518">
        <v>0.5</v>
      </c>
      <c r="P70" s="1518">
        <v>1</v>
      </c>
      <c r="Q70" s="1518">
        <v>1</v>
      </c>
      <c r="R70" s="1518">
        <v>1</v>
      </c>
      <c r="S70" s="1518">
        <v>1</v>
      </c>
      <c r="T70" s="1531">
        <v>1</v>
      </c>
      <c r="U70" s="1518">
        <v>1</v>
      </c>
      <c r="V70" s="1523">
        <v>1</v>
      </c>
      <c r="W70" s="1525">
        <v>1</v>
      </c>
      <c r="X70" s="1525">
        <v>1</v>
      </c>
      <c r="Y70" s="1525">
        <v>1</v>
      </c>
      <c r="Z70" s="1532"/>
    </row>
    <row r="71" spans="1:26">
      <c r="B71" s="1497">
        <f t="shared" si="8"/>
        <v>1.3</v>
      </c>
      <c r="C71" s="1514" t="str">
        <f t="shared" si="9"/>
        <v>維持管理</v>
      </c>
      <c r="D71" s="1515"/>
      <c r="E71" s="1515"/>
      <c r="F71" s="1459"/>
      <c r="G71" s="1516">
        <f t="shared" si="3"/>
        <v>0.3</v>
      </c>
      <c r="H71" s="1516">
        <f t="shared" si="2"/>
        <v>0</v>
      </c>
      <c r="I71" s="1545"/>
      <c r="J71" s="1547">
        <v>1.3</v>
      </c>
      <c r="K71" s="1593" t="s">
        <v>273</v>
      </c>
      <c r="L71" s="1964" t="s">
        <v>281</v>
      </c>
      <c r="M71" s="1539">
        <v>0.3</v>
      </c>
      <c r="N71" s="1539">
        <v>0.3</v>
      </c>
      <c r="O71" s="1539">
        <v>0.3</v>
      </c>
      <c r="P71" s="2251">
        <v>0.3</v>
      </c>
      <c r="Q71" s="2251">
        <v>0.3</v>
      </c>
      <c r="R71" s="1539">
        <v>0.3</v>
      </c>
      <c r="S71" s="2251">
        <v>0.3</v>
      </c>
      <c r="T71" s="1539">
        <v>0.3</v>
      </c>
      <c r="U71" s="2251">
        <v>0.3</v>
      </c>
      <c r="V71" s="1523">
        <v>0.3</v>
      </c>
      <c r="W71" s="1525">
        <v>0</v>
      </c>
      <c r="X71" s="1525">
        <v>0</v>
      </c>
      <c r="Y71" s="1525">
        <v>0</v>
      </c>
      <c r="Z71" s="1532"/>
    </row>
    <row r="72" spans="1:26">
      <c r="B72" s="1497" t="str">
        <f t="shared" si="8"/>
        <v>1.3.1</v>
      </c>
      <c r="C72" s="1514" t="str">
        <f t="shared" si="9"/>
        <v>総合的な取組み</v>
      </c>
      <c r="D72" s="1515">
        <f t="shared" ref="D72:E74" si="14">G$62*G$71*G72</f>
        <v>6.0000000000000012E-2</v>
      </c>
      <c r="E72" s="1515">
        <f t="shared" si="14"/>
        <v>0</v>
      </c>
      <c r="F72" s="1459"/>
      <c r="G72" s="1516">
        <f t="shared" si="3"/>
        <v>0.5</v>
      </c>
      <c r="H72" s="1516">
        <f t="shared" si="2"/>
        <v>0</v>
      </c>
      <c r="I72" s="1545"/>
      <c r="J72" s="1547" t="s">
        <v>282</v>
      </c>
      <c r="K72" s="1593" t="s">
        <v>283</v>
      </c>
      <c r="L72" s="324" t="s">
        <v>851</v>
      </c>
      <c r="M72" s="1539">
        <v>0.5</v>
      </c>
      <c r="N72" s="1539">
        <v>0.5</v>
      </c>
      <c r="O72" s="1539">
        <v>0.5</v>
      </c>
      <c r="P72" s="2253">
        <v>0.5</v>
      </c>
      <c r="Q72" s="2253">
        <v>0.5</v>
      </c>
      <c r="R72" s="1539">
        <v>0.5</v>
      </c>
      <c r="S72" s="2253">
        <v>0.5</v>
      </c>
      <c r="T72" s="1539">
        <v>0.5</v>
      </c>
      <c r="U72" s="2253">
        <v>0.5</v>
      </c>
      <c r="V72" s="1523">
        <v>0.5</v>
      </c>
      <c r="W72" s="1525">
        <v>0</v>
      </c>
      <c r="X72" s="1525">
        <v>0</v>
      </c>
      <c r="Y72" s="1525">
        <v>0</v>
      </c>
      <c r="Z72" s="1532"/>
    </row>
    <row r="73" spans="1:26">
      <c r="B73" s="1497" t="str">
        <f t="shared" si="8"/>
        <v>1.3.2</v>
      </c>
      <c r="C73" s="1514" t="str">
        <f t="shared" si="9"/>
        <v>清掃管理業務</v>
      </c>
      <c r="D73" s="1515">
        <f t="shared" si="14"/>
        <v>3.6000000000000004E-2</v>
      </c>
      <c r="E73" s="1515">
        <f t="shared" si="14"/>
        <v>0</v>
      </c>
      <c r="F73" s="1459"/>
      <c r="G73" s="1516">
        <f t="shared" si="3"/>
        <v>0.3</v>
      </c>
      <c r="H73" s="1516">
        <f t="shared" si="2"/>
        <v>0</v>
      </c>
      <c r="I73" s="1545"/>
      <c r="J73" s="1547" t="s">
        <v>284</v>
      </c>
      <c r="K73" s="1593" t="s">
        <v>283</v>
      </c>
      <c r="L73" s="324" t="s">
        <v>852</v>
      </c>
      <c r="M73" s="1539">
        <v>0.3</v>
      </c>
      <c r="N73" s="1539">
        <v>0.3</v>
      </c>
      <c r="O73" s="1539">
        <v>0.3</v>
      </c>
      <c r="P73" s="2253">
        <v>0.3</v>
      </c>
      <c r="Q73" s="2253">
        <v>0.3</v>
      </c>
      <c r="R73" s="1539">
        <v>0.3</v>
      </c>
      <c r="S73" s="2253">
        <v>0.3</v>
      </c>
      <c r="T73" s="1539">
        <v>0.3</v>
      </c>
      <c r="U73" s="2253">
        <v>0.3</v>
      </c>
      <c r="V73" s="1523">
        <v>0.3</v>
      </c>
      <c r="W73" s="1525">
        <v>0</v>
      </c>
      <c r="X73" s="1525">
        <v>0</v>
      </c>
      <c r="Y73" s="1525">
        <v>0</v>
      </c>
      <c r="Z73" s="1532"/>
    </row>
    <row r="74" spans="1:26">
      <c r="B74" s="1497" t="str">
        <f t="shared" ref="B74:B105" si="15">J74</f>
        <v>1.3.3</v>
      </c>
      <c r="C74" s="1514" t="str">
        <f t="shared" ref="C74:C105" si="16">L74</f>
        <v>衛生管理業務</v>
      </c>
      <c r="D74" s="1515">
        <f t="shared" si="14"/>
        <v>2.4000000000000011E-2</v>
      </c>
      <c r="E74" s="1515">
        <f t="shared" si="14"/>
        <v>0</v>
      </c>
      <c r="F74" s="1459"/>
      <c r="G74" s="1516">
        <f t="shared" ref="G74:G141" si="17">SUMPRODUCT($M$7:$Y$7,M74:Y74)</f>
        <v>0.20000000000000004</v>
      </c>
      <c r="H74" s="1516">
        <f t="shared" ref="H74:H141" si="18">(W$7*W74)+(X$7*X74)+(Y$7*Y74)</f>
        <v>0</v>
      </c>
      <c r="I74" s="1545"/>
      <c r="J74" s="1547" t="s">
        <v>285</v>
      </c>
      <c r="K74" s="1593" t="s">
        <v>1553</v>
      </c>
      <c r="L74" s="324" t="s">
        <v>631</v>
      </c>
      <c r="M74" s="1539">
        <v>0.2</v>
      </c>
      <c r="N74" s="1539">
        <v>0.2</v>
      </c>
      <c r="O74" s="1539">
        <v>0.2</v>
      </c>
      <c r="P74" s="2253">
        <v>0.2</v>
      </c>
      <c r="Q74" s="2253">
        <v>0.2</v>
      </c>
      <c r="R74" s="1539">
        <v>0.2</v>
      </c>
      <c r="S74" s="2253">
        <v>0.2</v>
      </c>
      <c r="T74" s="1539">
        <v>0.2</v>
      </c>
      <c r="U74" s="2253">
        <v>0.2</v>
      </c>
      <c r="V74" s="1523">
        <v>0.2</v>
      </c>
      <c r="W74" s="1525">
        <v>0</v>
      </c>
      <c r="X74" s="1525">
        <v>0</v>
      </c>
      <c r="Y74" s="1525">
        <v>0</v>
      </c>
      <c r="Z74" s="1532"/>
    </row>
    <row r="75" spans="1:26" s="1505" customFormat="1">
      <c r="A75"/>
      <c r="B75" s="1497">
        <f t="shared" si="15"/>
        <v>2</v>
      </c>
      <c r="C75" s="1528" t="str">
        <f t="shared" si="16"/>
        <v>耐用性・信頼性</v>
      </c>
      <c r="D75" s="1508">
        <f>SUM(D76:D95)</f>
        <v>0.28500000000000009</v>
      </c>
      <c r="E75" s="1508">
        <f>SUM(E76:E95)</f>
        <v>0</v>
      </c>
      <c r="F75" s="1459"/>
      <c r="G75" s="1509">
        <f t="shared" si="17"/>
        <v>0.3</v>
      </c>
      <c r="H75" s="1509">
        <f t="shared" si="18"/>
        <v>0</v>
      </c>
      <c r="I75" s="1542"/>
      <c r="J75" s="1541">
        <v>2</v>
      </c>
      <c r="K75" s="1644" t="s">
        <v>271</v>
      </c>
      <c r="L75" s="1687" t="s">
        <v>372</v>
      </c>
      <c r="M75" s="1510">
        <v>0.3</v>
      </c>
      <c r="N75" s="1510">
        <v>0.3</v>
      </c>
      <c r="O75" s="1510">
        <v>0.3</v>
      </c>
      <c r="P75" s="1510">
        <v>0.3</v>
      </c>
      <c r="Q75" s="1510">
        <v>0.3</v>
      </c>
      <c r="R75" s="1510">
        <v>0.3</v>
      </c>
      <c r="S75" s="1510">
        <v>0.3</v>
      </c>
      <c r="T75" s="1546">
        <v>0.3</v>
      </c>
      <c r="U75" s="1510">
        <v>0.3</v>
      </c>
      <c r="V75" s="1611">
        <v>0.3</v>
      </c>
      <c r="W75" s="1963">
        <v>0</v>
      </c>
      <c r="X75" s="1611">
        <v>0</v>
      </c>
      <c r="Y75" s="1611">
        <v>0</v>
      </c>
      <c r="Z75" s="1512"/>
    </row>
    <row r="76" spans="1:26">
      <c r="B76" s="1497">
        <f t="shared" si="15"/>
        <v>2.1</v>
      </c>
      <c r="C76" s="1547" t="str">
        <f t="shared" si="16"/>
        <v>耐震･免震</v>
      </c>
      <c r="D76" s="1548"/>
      <c r="E76" s="1548"/>
      <c r="F76" s="1459"/>
      <c r="G76" s="1516">
        <f t="shared" si="17"/>
        <v>0.25</v>
      </c>
      <c r="H76" s="1516">
        <f t="shared" si="18"/>
        <v>0</v>
      </c>
      <c r="I76" s="1544"/>
      <c r="J76" s="1547">
        <v>2.1</v>
      </c>
      <c r="K76" s="1593" t="s">
        <v>286</v>
      </c>
      <c r="L76" s="1637" t="s">
        <v>635</v>
      </c>
      <c r="M76" s="1518">
        <v>0.25</v>
      </c>
      <c r="N76" s="1518">
        <v>0.25</v>
      </c>
      <c r="O76" s="1518">
        <v>0.25</v>
      </c>
      <c r="P76" s="1518">
        <v>0.25</v>
      </c>
      <c r="Q76" s="1518">
        <v>0.25</v>
      </c>
      <c r="R76" s="1518">
        <v>0.25</v>
      </c>
      <c r="S76" s="1518">
        <v>0.25</v>
      </c>
      <c r="T76" s="1526">
        <v>0.25</v>
      </c>
      <c r="U76" s="1518">
        <v>0.25</v>
      </c>
      <c r="V76" s="1523">
        <v>0.25</v>
      </c>
      <c r="W76" s="1525">
        <v>0</v>
      </c>
      <c r="X76" s="1523">
        <v>0</v>
      </c>
      <c r="Y76" s="1523">
        <v>0</v>
      </c>
      <c r="Z76" s="1520"/>
    </row>
    <row r="77" spans="1:26">
      <c r="B77" s="1497" t="str">
        <f t="shared" si="15"/>
        <v>2.1.1</v>
      </c>
      <c r="C77" s="1514" t="str">
        <f t="shared" si="16"/>
        <v>耐震性</v>
      </c>
      <c r="D77" s="1515">
        <f>G$75*G$76*G77</f>
        <v>6.0000000000000012E-2</v>
      </c>
      <c r="E77" s="1515">
        <f>H$75*H$76*H77</f>
        <v>0</v>
      </c>
      <c r="F77" s="1459"/>
      <c r="G77" s="1516">
        <f t="shared" si="17"/>
        <v>0.80000000000000016</v>
      </c>
      <c r="H77" s="1516">
        <f t="shared" si="18"/>
        <v>0</v>
      </c>
      <c r="I77" s="1545"/>
      <c r="J77" s="1547" t="s">
        <v>1371</v>
      </c>
      <c r="K77" s="1593" t="s">
        <v>287</v>
      </c>
      <c r="L77" s="1964" t="s">
        <v>288</v>
      </c>
      <c r="M77" s="1518">
        <v>0.8</v>
      </c>
      <c r="N77" s="1518">
        <v>0.8</v>
      </c>
      <c r="O77" s="1518">
        <v>0.8</v>
      </c>
      <c r="P77" s="1518">
        <v>0.8</v>
      </c>
      <c r="Q77" s="1518">
        <v>0.8</v>
      </c>
      <c r="R77" s="1518">
        <v>0.8</v>
      </c>
      <c r="S77" s="1518">
        <v>0.8</v>
      </c>
      <c r="T77" s="1526">
        <v>0.8</v>
      </c>
      <c r="U77" s="1518">
        <v>0.8</v>
      </c>
      <c r="V77" s="1523">
        <v>0.8</v>
      </c>
      <c r="W77" s="1525">
        <v>0</v>
      </c>
      <c r="X77" s="1523">
        <v>0</v>
      </c>
      <c r="Y77" s="1523">
        <v>0</v>
      </c>
      <c r="Z77" s="1532"/>
    </row>
    <row r="78" spans="1:26">
      <c r="B78" s="1497" t="str">
        <f t="shared" si="15"/>
        <v>2.1.2</v>
      </c>
      <c r="C78" s="1514" t="str">
        <f t="shared" si="16"/>
        <v>免震・制振性能</v>
      </c>
      <c r="D78" s="1515">
        <f>G$75*G$76*G78</f>
        <v>1.5000000000000003E-2</v>
      </c>
      <c r="E78" s="1515">
        <f>H$75*H$76*H78</f>
        <v>0</v>
      </c>
      <c r="F78" s="1459"/>
      <c r="G78" s="1516">
        <f t="shared" si="17"/>
        <v>0.20000000000000004</v>
      </c>
      <c r="H78" s="1516">
        <f t="shared" si="18"/>
        <v>0</v>
      </c>
      <c r="I78" s="1545"/>
      <c r="J78" s="1547" t="s">
        <v>1372</v>
      </c>
      <c r="K78" s="1593" t="s">
        <v>287</v>
      </c>
      <c r="L78" s="1964" t="s">
        <v>373</v>
      </c>
      <c r="M78" s="1518">
        <v>0.2</v>
      </c>
      <c r="N78" s="1518">
        <v>0.2</v>
      </c>
      <c r="O78" s="1518">
        <v>0.2</v>
      </c>
      <c r="P78" s="1518">
        <v>0.2</v>
      </c>
      <c r="Q78" s="1518">
        <v>0.2</v>
      </c>
      <c r="R78" s="1518">
        <v>0.2</v>
      </c>
      <c r="S78" s="1518">
        <v>0.2</v>
      </c>
      <c r="T78" s="1526">
        <v>0.2</v>
      </c>
      <c r="U78" s="1518">
        <v>0.2</v>
      </c>
      <c r="V78" s="1523">
        <v>0.2</v>
      </c>
      <c r="W78" s="1525">
        <v>0</v>
      </c>
      <c r="X78" s="1523">
        <v>0</v>
      </c>
      <c r="Y78" s="1523">
        <v>0</v>
      </c>
      <c r="Z78" s="1532"/>
    </row>
    <row r="79" spans="1:26">
      <c r="B79" s="1497">
        <f t="shared" si="15"/>
        <v>2.2000000000000002</v>
      </c>
      <c r="C79" s="1547" t="str">
        <f t="shared" si="16"/>
        <v>部品・部材の耐用年数</v>
      </c>
      <c r="D79" s="1548"/>
      <c r="E79" s="1548"/>
      <c r="F79" s="1459"/>
      <c r="G79" s="1516">
        <f t="shared" si="17"/>
        <v>0.25</v>
      </c>
      <c r="H79" s="1516">
        <f t="shared" si="18"/>
        <v>0</v>
      </c>
      <c r="I79" s="1544"/>
      <c r="J79" s="1547">
        <v>2.2000000000000002</v>
      </c>
      <c r="K79" s="1593" t="s">
        <v>286</v>
      </c>
      <c r="L79" s="1637" t="s">
        <v>641</v>
      </c>
      <c r="M79" s="1518">
        <v>0.25</v>
      </c>
      <c r="N79" s="1518">
        <v>0.25</v>
      </c>
      <c r="O79" s="1518">
        <v>0.25</v>
      </c>
      <c r="P79" s="1518">
        <v>0.25</v>
      </c>
      <c r="Q79" s="1518">
        <v>0.25</v>
      </c>
      <c r="R79" s="1518">
        <v>0.25</v>
      </c>
      <c r="S79" s="1518">
        <v>0.25</v>
      </c>
      <c r="T79" s="1526">
        <v>0.25</v>
      </c>
      <c r="U79" s="1518">
        <v>0.25</v>
      </c>
      <c r="V79" s="1523">
        <v>0.25</v>
      </c>
      <c r="W79" s="1525">
        <v>0</v>
      </c>
      <c r="X79" s="1523">
        <v>0</v>
      </c>
      <c r="Y79" s="1523">
        <v>0</v>
      </c>
      <c r="Z79" s="1520"/>
    </row>
    <row r="80" spans="1:26">
      <c r="B80" s="1497" t="str">
        <f t="shared" si="15"/>
        <v>2.2.1</v>
      </c>
      <c r="C80" s="1514" t="str">
        <f t="shared" si="16"/>
        <v>躯体材料の耐用年数</v>
      </c>
      <c r="D80" s="1515">
        <f t="shared" ref="D80:E85" si="19">G$75*G$79*G80</f>
        <v>1.5000000000000003E-2</v>
      </c>
      <c r="E80" s="1515">
        <f t="shared" si="19"/>
        <v>0</v>
      </c>
      <c r="F80" s="1459"/>
      <c r="G80" s="1516">
        <f t="shared" si="17"/>
        <v>0.20000000000000004</v>
      </c>
      <c r="H80" s="1516">
        <f t="shared" si="18"/>
        <v>0</v>
      </c>
      <c r="I80" s="1544"/>
      <c r="J80" s="1547" t="s">
        <v>1373</v>
      </c>
      <c r="K80" s="1593" t="s">
        <v>289</v>
      </c>
      <c r="L80" s="1964" t="s">
        <v>643</v>
      </c>
      <c r="M80" s="1519">
        <v>0.2</v>
      </c>
      <c r="N80" s="1519">
        <v>0.2</v>
      </c>
      <c r="O80" s="1519">
        <v>0.2</v>
      </c>
      <c r="P80" s="1519">
        <v>0.2</v>
      </c>
      <c r="Q80" s="1519">
        <v>0.2</v>
      </c>
      <c r="R80" s="1519">
        <v>0.2</v>
      </c>
      <c r="S80" s="1519">
        <v>0.2</v>
      </c>
      <c r="T80" s="1519">
        <v>0.2</v>
      </c>
      <c r="U80" s="1519">
        <v>0.2</v>
      </c>
      <c r="V80" s="1523">
        <v>0.25</v>
      </c>
      <c r="W80" s="1525">
        <v>0</v>
      </c>
      <c r="X80" s="1523">
        <v>0</v>
      </c>
      <c r="Y80" s="1523">
        <v>0</v>
      </c>
      <c r="Z80" s="1520"/>
    </row>
    <row r="81" spans="2:26">
      <c r="B81" s="1497" t="str">
        <f t="shared" si="15"/>
        <v>2.2.2</v>
      </c>
      <c r="C81" s="1514" t="str">
        <f t="shared" si="16"/>
        <v>外壁仕上げ材の補修必要間隔</v>
      </c>
      <c r="D81" s="1515">
        <f t="shared" si="19"/>
        <v>1.5000000000000003E-2</v>
      </c>
      <c r="E81" s="1515">
        <f t="shared" si="19"/>
        <v>0</v>
      </c>
      <c r="F81" s="1459"/>
      <c r="G81" s="1516">
        <f t="shared" si="17"/>
        <v>0.20000000000000004</v>
      </c>
      <c r="H81" s="1516">
        <f t="shared" si="18"/>
        <v>0</v>
      </c>
      <c r="I81" s="1544"/>
      <c r="J81" s="1547" t="s">
        <v>1374</v>
      </c>
      <c r="K81" s="1593" t="s">
        <v>289</v>
      </c>
      <c r="L81" s="1964" t="s">
        <v>290</v>
      </c>
      <c r="M81" s="1519">
        <v>0.2</v>
      </c>
      <c r="N81" s="1519">
        <v>0.2</v>
      </c>
      <c r="O81" s="1519">
        <v>0.2</v>
      </c>
      <c r="P81" s="1519">
        <v>0.2</v>
      </c>
      <c r="Q81" s="1519">
        <v>0.2</v>
      </c>
      <c r="R81" s="1519">
        <v>0.2</v>
      </c>
      <c r="S81" s="1519">
        <v>0.2</v>
      </c>
      <c r="T81" s="1519">
        <v>0.2</v>
      </c>
      <c r="U81" s="1519">
        <v>0.2</v>
      </c>
      <c r="V81" s="1523">
        <v>0.25</v>
      </c>
      <c r="W81" s="1525">
        <v>0</v>
      </c>
      <c r="X81" s="1523">
        <v>0</v>
      </c>
      <c r="Y81" s="1523">
        <v>0</v>
      </c>
      <c r="Z81" s="1520"/>
    </row>
    <row r="82" spans="2:26">
      <c r="B82" s="1497" t="str">
        <f t="shared" si="15"/>
        <v>2.2.3</v>
      </c>
      <c r="C82" s="1514" t="str">
        <f t="shared" si="16"/>
        <v>主要内装仕上げ材の更新必要間隔</v>
      </c>
      <c r="D82" s="1515">
        <f t="shared" si="19"/>
        <v>0</v>
      </c>
      <c r="E82" s="1515">
        <f t="shared" si="19"/>
        <v>0</v>
      </c>
      <c r="F82" s="1459"/>
      <c r="G82" s="1516">
        <f t="shared" si="17"/>
        <v>0</v>
      </c>
      <c r="H82" s="1516">
        <f t="shared" si="18"/>
        <v>0</v>
      </c>
      <c r="I82" s="1544"/>
      <c r="J82" s="1547" t="s">
        <v>1375</v>
      </c>
      <c r="K82" s="1593" t="s">
        <v>289</v>
      </c>
      <c r="L82" s="1964" t="s">
        <v>291</v>
      </c>
      <c r="M82" s="1554">
        <v>0</v>
      </c>
      <c r="N82" s="1554">
        <v>0</v>
      </c>
      <c r="O82" s="1554">
        <v>0</v>
      </c>
      <c r="P82" s="1554">
        <v>0</v>
      </c>
      <c r="Q82" s="1554">
        <v>0</v>
      </c>
      <c r="R82" s="1554">
        <v>0</v>
      </c>
      <c r="S82" s="1554">
        <v>0</v>
      </c>
      <c r="T82" s="1554">
        <v>0</v>
      </c>
      <c r="U82" s="1554">
        <v>0</v>
      </c>
      <c r="V82" s="1523">
        <v>0</v>
      </c>
      <c r="W82" s="1525">
        <v>0</v>
      </c>
      <c r="X82" s="1523">
        <v>0</v>
      </c>
      <c r="Y82" s="1523">
        <v>0</v>
      </c>
      <c r="Z82" s="1520"/>
    </row>
    <row r="83" spans="2:26">
      <c r="B83" s="1497" t="str">
        <f t="shared" si="15"/>
        <v>2.2.4</v>
      </c>
      <c r="C83" s="1514" t="str">
        <f t="shared" si="16"/>
        <v>空調換気ダクトの更新必要間隔</v>
      </c>
      <c r="D83" s="1515">
        <f t="shared" si="19"/>
        <v>7.5000000000000015E-3</v>
      </c>
      <c r="E83" s="1515">
        <f t="shared" si="19"/>
        <v>0</v>
      </c>
      <c r="F83" s="1459"/>
      <c r="G83" s="1516">
        <f t="shared" si="17"/>
        <v>0.10000000000000002</v>
      </c>
      <c r="H83" s="1516">
        <f t="shared" si="18"/>
        <v>0</v>
      </c>
      <c r="I83" s="1544"/>
      <c r="J83" s="1547" t="s">
        <v>1376</v>
      </c>
      <c r="K83" s="1593" t="s">
        <v>289</v>
      </c>
      <c r="L83" s="1964" t="s">
        <v>294</v>
      </c>
      <c r="M83" s="1519">
        <v>0.1</v>
      </c>
      <c r="N83" s="1519">
        <v>0.1</v>
      </c>
      <c r="O83" s="1519">
        <v>0.1</v>
      </c>
      <c r="P83" s="1519">
        <v>0.1</v>
      </c>
      <c r="Q83" s="1519">
        <v>0.1</v>
      </c>
      <c r="R83" s="1519">
        <v>0.1</v>
      </c>
      <c r="S83" s="1519">
        <v>0.1</v>
      </c>
      <c r="T83" s="1519">
        <v>0.1</v>
      </c>
      <c r="U83" s="1519">
        <v>0.1</v>
      </c>
      <c r="V83" s="1523">
        <v>0.1</v>
      </c>
      <c r="W83" s="1525">
        <v>0</v>
      </c>
      <c r="X83" s="1523">
        <v>0</v>
      </c>
      <c r="Y83" s="1523">
        <v>0</v>
      </c>
      <c r="Z83" s="1520"/>
    </row>
    <row r="84" spans="2:26">
      <c r="B84" s="1497" t="str">
        <f t="shared" si="15"/>
        <v>2.2.5</v>
      </c>
      <c r="C84" s="1514" t="str">
        <f t="shared" si="16"/>
        <v>空調・給排水配管の更新必要間隔</v>
      </c>
      <c r="D84" s="1515">
        <f t="shared" si="19"/>
        <v>7.5000000000000015E-3</v>
      </c>
      <c r="E84" s="1515">
        <f t="shared" si="19"/>
        <v>0</v>
      </c>
      <c r="F84" s="1459"/>
      <c r="G84" s="1516">
        <f t="shared" si="17"/>
        <v>0.10000000000000002</v>
      </c>
      <c r="H84" s="1516">
        <f t="shared" si="18"/>
        <v>0</v>
      </c>
      <c r="I84" s="1544"/>
      <c r="J84" s="1547" t="s">
        <v>1377</v>
      </c>
      <c r="K84" s="1593" t="s">
        <v>289</v>
      </c>
      <c r="L84" s="1964" t="s">
        <v>295</v>
      </c>
      <c r="M84" s="1519">
        <v>0.1</v>
      </c>
      <c r="N84" s="1519">
        <v>0.1</v>
      </c>
      <c r="O84" s="1519">
        <v>0.1</v>
      </c>
      <c r="P84" s="1519">
        <v>0.1</v>
      </c>
      <c r="Q84" s="1519">
        <v>0.1</v>
      </c>
      <c r="R84" s="1519">
        <v>0.1</v>
      </c>
      <c r="S84" s="1519">
        <v>0.1</v>
      </c>
      <c r="T84" s="1519">
        <v>0.1</v>
      </c>
      <c r="U84" s="1519">
        <v>0.1</v>
      </c>
      <c r="V84" s="1523">
        <v>0.1</v>
      </c>
      <c r="W84" s="1525"/>
      <c r="X84" s="1523"/>
      <c r="Y84" s="1523"/>
      <c r="Z84" s="1520"/>
    </row>
    <row r="85" spans="2:26">
      <c r="B85" s="1497" t="str">
        <f t="shared" si="15"/>
        <v>2.2.6</v>
      </c>
      <c r="C85" s="1514" t="str">
        <f t="shared" si="16"/>
        <v>主要設備機器の更新必要間隔</v>
      </c>
      <c r="D85" s="1515">
        <f t="shared" si="19"/>
        <v>1.5000000000000003E-2</v>
      </c>
      <c r="E85" s="1515">
        <f t="shared" si="19"/>
        <v>0</v>
      </c>
      <c r="F85" s="1459"/>
      <c r="G85" s="1516">
        <f t="shared" si="17"/>
        <v>0.20000000000000004</v>
      </c>
      <c r="H85" s="1516">
        <f t="shared" si="18"/>
        <v>0</v>
      </c>
      <c r="I85" s="1544"/>
      <c r="J85" s="1547" t="s">
        <v>1378</v>
      </c>
      <c r="K85" s="1593" t="s">
        <v>289</v>
      </c>
      <c r="L85" s="1964" t="s">
        <v>296</v>
      </c>
      <c r="M85" s="1519">
        <v>0.2</v>
      </c>
      <c r="N85" s="1519">
        <v>0.2</v>
      </c>
      <c r="O85" s="1519">
        <v>0.2</v>
      </c>
      <c r="P85" s="1519">
        <v>0.2</v>
      </c>
      <c r="Q85" s="1519">
        <v>0.2</v>
      </c>
      <c r="R85" s="1519">
        <v>0.2</v>
      </c>
      <c r="S85" s="1519">
        <v>0.2</v>
      </c>
      <c r="T85" s="1519">
        <v>0.2</v>
      </c>
      <c r="U85" s="1519">
        <v>0.2</v>
      </c>
      <c r="V85" s="1523">
        <v>0.25</v>
      </c>
      <c r="W85" s="1525">
        <v>0</v>
      </c>
      <c r="X85" s="1523">
        <v>0</v>
      </c>
      <c r="Y85" s="1523">
        <v>0</v>
      </c>
      <c r="Z85" s="1520"/>
    </row>
    <row r="86" spans="2:26">
      <c r="B86" s="1497">
        <f t="shared" si="15"/>
        <v>2.2999999999999998</v>
      </c>
      <c r="C86" s="1641" t="str">
        <f t="shared" si="16"/>
        <v>適切な更新</v>
      </c>
      <c r="D86" s="1515"/>
      <c r="E86" s="1515"/>
      <c r="F86" s="1459"/>
      <c r="G86" s="1516">
        <f t="shared" si="17"/>
        <v>0.25</v>
      </c>
      <c r="H86" s="1516">
        <f t="shared" si="18"/>
        <v>0</v>
      </c>
      <c r="I86" s="1544"/>
      <c r="J86" s="1547">
        <v>2.2999999999999998</v>
      </c>
      <c r="K86" s="1547" t="s">
        <v>1554</v>
      </c>
      <c r="L86" s="1593" t="s">
        <v>374</v>
      </c>
      <c r="M86" s="1518">
        <v>0.25</v>
      </c>
      <c r="N86" s="1518">
        <v>0.25</v>
      </c>
      <c r="O86" s="1518">
        <v>0.25</v>
      </c>
      <c r="P86" s="1518">
        <v>0.25</v>
      </c>
      <c r="Q86" s="1518">
        <v>0.25</v>
      </c>
      <c r="R86" s="1518">
        <v>0.25</v>
      </c>
      <c r="S86" s="1518">
        <v>0.25</v>
      </c>
      <c r="T86" s="1526">
        <v>0.25</v>
      </c>
      <c r="U86" s="1518">
        <v>0.25</v>
      </c>
      <c r="V86" s="1523">
        <v>0.25</v>
      </c>
      <c r="W86" s="1523"/>
      <c r="X86" s="1525"/>
      <c r="Y86" s="1523"/>
      <c r="Z86" s="1520"/>
    </row>
    <row r="87" spans="2:26">
      <c r="B87" s="1497" t="str">
        <f t="shared" si="15"/>
        <v>2.3.1</v>
      </c>
      <c r="C87" s="1642" t="str">
        <f t="shared" si="16"/>
        <v>屋上（屋根）・外壁仕上げ材の更新</v>
      </c>
      <c r="D87" s="1515">
        <f>G$75*G$86*G87</f>
        <v>2.5000000000000001E-2</v>
      </c>
      <c r="E87" s="1515">
        <f t="shared" ref="D87:E89" si="20">H$75*H$86*H87</f>
        <v>0</v>
      </c>
      <c r="F87" s="1459"/>
      <c r="G87" s="1516">
        <f>SUMPRODUCT($M$7:$Y$7,M87:Y87)</f>
        <v>0.33333333333333337</v>
      </c>
      <c r="H87" s="1516">
        <f t="shared" si="18"/>
        <v>0</v>
      </c>
      <c r="I87" s="1544"/>
      <c r="J87" s="1547" t="s">
        <v>1379</v>
      </c>
      <c r="K87" s="1547" t="s">
        <v>1555</v>
      </c>
      <c r="L87" s="1593" t="s">
        <v>375</v>
      </c>
      <c r="M87" s="1539">
        <v>0.33333333333333331</v>
      </c>
      <c r="N87" s="1539">
        <v>0.33333333333333331</v>
      </c>
      <c r="O87" s="1539">
        <v>0.33333333333333331</v>
      </c>
      <c r="P87" s="1539">
        <v>0.33333333333333331</v>
      </c>
      <c r="Q87" s="1539">
        <v>0.33333333333333331</v>
      </c>
      <c r="R87" s="1539">
        <v>0.33333333333333331</v>
      </c>
      <c r="S87" s="1539">
        <v>0.33333333333333331</v>
      </c>
      <c r="T87" s="1539">
        <v>0.33333333333333331</v>
      </c>
      <c r="U87" s="1539">
        <v>0.33333333333333331</v>
      </c>
      <c r="V87" s="1523">
        <v>0.33333333333333331</v>
      </c>
      <c r="W87" s="1523"/>
      <c r="X87" s="1525"/>
      <c r="Y87" s="1523"/>
      <c r="Z87" s="1520"/>
    </row>
    <row r="88" spans="2:26">
      <c r="B88" s="1497" t="str">
        <f t="shared" si="15"/>
        <v>2.3.2</v>
      </c>
      <c r="C88" s="1642" t="str">
        <f t="shared" si="16"/>
        <v>配管・配線材の更新</v>
      </c>
      <c r="D88" s="1515">
        <f t="shared" si="20"/>
        <v>2.5000000000000001E-2</v>
      </c>
      <c r="E88" s="1515">
        <f t="shared" si="20"/>
        <v>0</v>
      </c>
      <c r="F88" s="1459"/>
      <c r="G88" s="1516">
        <f t="shared" si="17"/>
        <v>0.33333333333333337</v>
      </c>
      <c r="H88" s="1516">
        <f t="shared" si="18"/>
        <v>0</v>
      </c>
      <c r="I88" s="1544"/>
      <c r="J88" s="1547" t="s">
        <v>1380</v>
      </c>
      <c r="K88" s="1547" t="s">
        <v>1555</v>
      </c>
      <c r="L88" s="1593" t="s">
        <v>376</v>
      </c>
      <c r="M88" s="1539">
        <v>0.33333333333333331</v>
      </c>
      <c r="N88" s="1539">
        <v>0.33333333333333331</v>
      </c>
      <c r="O88" s="1539">
        <v>0.33333333333333331</v>
      </c>
      <c r="P88" s="1539">
        <v>0.33333333333333331</v>
      </c>
      <c r="Q88" s="1539">
        <v>0.33333333333333331</v>
      </c>
      <c r="R88" s="1539">
        <v>0.33333333333333331</v>
      </c>
      <c r="S88" s="1539">
        <v>0.33333333333333331</v>
      </c>
      <c r="T88" s="1539">
        <v>0.33333333333333331</v>
      </c>
      <c r="U88" s="1539">
        <v>0.33333333333333331</v>
      </c>
      <c r="V88" s="1523">
        <v>0.33333333333333331</v>
      </c>
      <c r="W88" s="1523"/>
      <c r="X88" s="1525"/>
      <c r="Y88" s="1523"/>
      <c r="Z88" s="1520"/>
    </row>
    <row r="89" spans="2:26">
      <c r="B89" s="1497" t="str">
        <f t="shared" si="15"/>
        <v>2.3.3</v>
      </c>
      <c r="C89" s="1642" t="str">
        <f t="shared" si="16"/>
        <v>主要設備機器の更新</v>
      </c>
      <c r="D89" s="1515">
        <f t="shared" si="20"/>
        <v>2.5000000000000001E-2</v>
      </c>
      <c r="E89" s="1515">
        <f t="shared" si="20"/>
        <v>0</v>
      </c>
      <c r="F89" s="1459"/>
      <c r="G89" s="1516">
        <f t="shared" si="17"/>
        <v>0.33333333333333337</v>
      </c>
      <c r="H89" s="1516">
        <f t="shared" si="18"/>
        <v>0</v>
      </c>
      <c r="I89" s="1544"/>
      <c r="J89" s="1547" t="s">
        <v>1381</v>
      </c>
      <c r="K89" s="1547" t="s">
        <v>1555</v>
      </c>
      <c r="L89" s="1593" t="s">
        <v>377</v>
      </c>
      <c r="M89" s="1539">
        <v>0.33333333333333331</v>
      </c>
      <c r="N89" s="1539">
        <v>0.33333333333333331</v>
      </c>
      <c r="O89" s="1539">
        <v>0.33333333333333331</v>
      </c>
      <c r="P89" s="1539">
        <v>0.33333333333333331</v>
      </c>
      <c r="Q89" s="1539">
        <v>0.33333333333333331</v>
      </c>
      <c r="R89" s="1539">
        <v>0.33333333333333331</v>
      </c>
      <c r="S89" s="1539">
        <v>0.33333333333333331</v>
      </c>
      <c r="T89" s="1539">
        <v>0.33333333333333331</v>
      </c>
      <c r="U89" s="1539">
        <v>0.33333333333333331</v>
      </c>
      <c r="V89" s="1523">
        <v>0.33333333333333331</v>
      </c>
      <c r="W89" s="1523"/>
      <c r="X89" s="1525"/>
      <c r="Y89" s="1523"/>
      <c r="Z89" s="1520"/>
    </row>
    <row r="90" spans="2:26">
      <c r="B90" s="1497">
        <f t="shared" si="15"/>
        <v>2.4</v>
      </c>
      <c r="C90" s="1547" t="str">
        <f t="shared" si="16"/>
        <v>信頼性</v>
      </c>
      <c r="D90" s="1548"/>
      <c r="E90" s="1548"/>
      <c r="F90" s="1459"/>
      <c r="G90" s="1516">
        <f t="shared" si="17"/>
        <v>0.25</v>
      </c>
      <c r="H90" s="1516">
        <f t="shared" si="18"/>
        <v>0</v>
      </c>
      <c r="I90" s="1544"/>
      <c r="J90" s="1547">
        <v>2.4</v>
      </c>
      <c r="K90" s="1593" t="s">
        <v>286</v>
      </c>
      <c r="L90" s="1637" t="s">
        <v>653</v>
      </c>
      <c r="M90" s="1518">
        <v>0.25</v>
      </c>
      <c r="N90" s="1518">
        <v>0.25</v>
      </c>
      <c r="O90" s="1518">
        <v>0.25</v>
      </c>
      <c r="P90" s="1518">
        <v>0.25</v>
      </c>
      <c r="Q90" s="1518">
        <v>0.25</v>
      </c>
      <c r="R90" s="1518">
        <v>0.25</v>
      </c>
      <c r="S90" s="1518">
        <v>0.25</v>
      </c>
      <c r="T90" s="1526">
        <v>0.25</v>
      </c>
      <c r="U90" s="1518">
        <v>0.25</v>
      </c>
      <c r="V90" s="1523">
        <v>0.25</v>
      </c>
      <c r="W90" s="1525">
        <v>0</v>
      </c>
      <c r="X90" s="1523">
        <v>0</v>
      </c>
      <c r="Y90" s="1523">
        <v>0</v>
      </c>
      <c r="Z90" s="1520"/>
    </row>
    <row r="91" spans="2:26">
      <c r="B91" s="1497" t="str">
        <f t="shared" si="15"/>
        <v>2.4.1</v>
      </c>
      <c r="C91" s="1514" t="str">
        <f t="shared" si="16"/>
        <v>空調・換気設備</v>
      </c>
      <c r="D91" s="1515">
        <f t="shared" ref="D91:E95" si="21">G$75*G$90*G91</f>
        <v>1.5000000000000003E-2</v>
      </c>
      <c r="E91" s="1515">
        <f t="shared" si="21"/>
        <v>0</v>
      </c>
      <c r="F91" s="1459"/>
      <c r="G91" s="1516">
        <f t="shared" si="17"/>
        <v>0.20000000000000004</v>
      </c>
      <c r="H91" s="1516">
        <f t="shared" si="18"/>
        <v>0</v>
      </c>
      <c r="I91" s="1544"/>
      <c r="J91" s="1547" t="s">
        <v>1382</v>
      </c>
      <c r="K91" s="1593" t="s">
        <v>298</v>
      </c>
      <c r="L91" s="1964" t="s">
        <v>299</v>
      </c>
      <c r="M91" s="1518">
        <v>0.2</v>
      </c>
      <c r="N91" s="1518">
        <v>0.2</v>
      </c>
      <c r="O91" s="1518">
        <v>0.2</v>
      </c>
      <c r="P91" s="1518">
        <v>0.2</v>
      </c>
      <c r="Q91" s="1518">
        <v>0.2</v>
      </c>
      <c r="R91" s="1518">
        <v>0.2</v>
      </c>
      <c r="S91" s="1518">
        <v>0.2</v>
      </c>
      <c r="T91" s="1526">
        <v>0.2</v>
      </c>
      <c r="U91" s="1518">
        <v>0.2</v>
      </c>
      <c r="V91" s="1523">
        <v>0.2</v>
      </c>
      <c r="W91" s="1525">
        <v>0</v>
      </c>
      <c r="X91" s="1523">
        <v>0</v>
      </c>
      <c r="Y91" s="1523">
        <v>0</v>
      </c>
      <c r="Z91" s="1520"/>
    </row>
    <row r="92" spans="2:26">
      <c r="B92" s="1497" t="str">
        <f t="shared" si="15"/>
        <v>2.4.2</v>
      </c>
      <c r="C92" s="1514" t="str">
        <f t="shared" si="16"/>
        <v>給排水・衛生設備</v>
      </c>
      <c r="D92" s="1515">
        <f t="shared" si="21"/>
        <v>1.5000000000000003E-2</v>
      </c>
      <c r="E92" s="1515">
        <f t="shared" si="21"/>
        <v>0</v>
      </c>
      <c r="F92" s="1459"/>
      <c r="G92" s="1516">
        <f t="shared" si="17"/>
        <v>0.20000000000000004</v>
      </c>
      <c r="H92" s="1516">
        <f t="shared" si="18"/>
        <v>0</v>
      </c>
      <c r="I92" s="1544"/>
      <c r="J92" s="1547" t="s">
        <v>300</v>
      </c>
      <c r="K92" s="1593" t="s">
        <v>298</v>
      </c>
      <c r="L92" s="1964" t="s">
        <v>301</v>
      </c>
      <c r="M92" s="1518">
        <v>0.2</v>
      </c>
      <c r="N92" s="1518">
        <v>0.2</v>
      </c>
      <c r="O92" s="1518">
        <v>0.2</v>
      </c>
      <c r="P92" s="1518">
        <v>0.2</v>
      </c>
      <c r="Q92" s="1518">
        <v>0.2</v>
      </c>
      <c r="R92" s="1518">
        <v>0.2</v>
      </c>
      <c r="S92" s="1518">
        <v>0.2</v>
      </c>
      <c r="T92" s="1526">
        <v>0.2</v>
      </c>
      <c r="U92" s="1518">
        <v>0.2</v>
      </c>
      <c r="V92" s="1523">
        <v>0.2</v>
      </c>
      <c r="W92" s="1525">
        <v>0</v>
      </c>
      <c r="X92" s="1523">
        <v>0</v>
      </c>
      <c r="Y92" s="1523">
        <v>0</v>
      </c>
      <c r="Z92" s="1520"/>
    </row>
    <row r="93" spans="2:26">
      <c r="B93" s="1497" t="str">
        <f t="shared" si="15"/>
        <v>2.4.3</v>
      </c>
      <c r="C93" s="1514" t="str">
        <f t="shared" si="16"/>
        <v>電気設備</v>
      </c>
      <c r="D93" s="1515">
        <f t="shared" si="21"/>
        <v>1.5000000000000003E-2</v>
      </c>
      <c r="E93" s="1515">
        <f t="shared" si="21"/>
        <v>0</v>
      </c>
      <c r="F93" s="1459"/>
      <c r="G93" s="1516">
        <f t="shared" si="17"/>
        <v>0.20000000000000004</v>
      </c>
      <c r="H93" s="1516">
        <f t="shared" si="18"/>
        <v>0</v>
      </c>
      <c r="I93" s="1544"/>
      <c r="J93" s="1547" t="s">
        <v>302</v>
      </c>
      <c r="K93" s="1593" t="s">
        <v>298</v>
      </c>
      <c r="L93" s="1964" t="s">
        <v>303</v>
      </c>
      <c r="M93" s="1518">
        <v>0.2</v>
      </c>
      <c r="N93" s="1518">
        <v>0.2</v>
      </c>
      <c r="O93" s="1518">
        <v>0.2</v>
      </c>
      <c r="P93" s="1518">
        <v>0.2</v>
      </c>
      <c r="Q93" s="1518">
        <v>0.2</v>
      </c>
      <c r="R93" s="1518">
        <v>0.2</v>
      </c>
      <c r="S93" s="1518">
        <v>0.2</v>
      </c>
      <c r="T93" s="1526">
        <v>0.2</v>
      </c>
      <c r="U93" s="1518">
        <v>0.2</v>
      </c>
      <c r="V93" s="1523">
        <v>0.2</v>
      </c>
      <c r="W93" s="1525">
        <v>0</v>
      </c>
      <c r="X93" s="1523">
        <v>0</v>
      </c>
      <c r="Y93" s="1523">
        <v>0</v>
      </c>
      <c r="Z93" s="1520"/>
    </row>
    <row r="94" spans="2:26">
      <c r="B94" s="1497" t="str">
        <f t="shared" si="15"/>
        <v>2.4.4</v>
      </c>
      <c r="C94" s="1514" t="str">
        <f t="shared" si="16"/>
        <v>機械・配管支持方法</v>
      </c>
      <c r="D94" s="1515">
        <f t="shared" si="21"/>
        <v>1.5000000000000003E-2</v>
      </c>
      <c r="E94" s="1515">
        <f t="shared" si="21"/>
        <v>0</v>
      </c>
      <c r="F94" s="1459"/>
      <c r="G94" s="1516">
        <f t="shared" si="17"/>
        <v>0.20000000000000004</v>
      </c>
      <c r="H94" s="1516">
        <f t="shared" si="18"/>
        <v>0</v>
      </c>
      <c r="I94" s="1544"/>
      <c r="J94" s="1547" t="s">
        <v>304</v>
      </c>
      <c r="K94" s="1593" t="s">
        <v>298</v>
      </c>
      <c r="L94" s="1964" t="s">
        <v>305</v>
      </c>
      <c r="M94" s="1518">
        <v>0.2</v>
      </c>
      <c r="N94" s="1518">
        <v>0.2</v>
      </c>
      <c r="O94" s="1518">
        <v>0.2</v>
      </c>
      <c r="P94" s="1518">
        <v>0.2</v>
      </c>
      <c r="Q94" s="1518">
        <v>0.2</v>
      </c>
      <c r="R94" s="1518">
        <v>0.2</v>
      </c>
      <c r="S94" s="1518">
        <v>0.2</v>
      </c>
      <c r="T94" s="1526">
        <v>0.2</v>
      </c>
      <c r="U94" s="1518">
        <v>0.2</v>
      </c>
      <c r="V94" s="1523">
        <v>0.2</v>
      </c>
      <c r="W94" s="1525">
        <v>0</v>
      </c>
      <c r="X94" s="1523">
        <v>0</v>
      </c>
      <c r="Y94" s="1523">
        <v>0</v>
      </c>
      <c r="Z94" s="1520"/>
    </row>
    <row r="95" spans="2:26">
      <c r="B95" s="1497" t="str">
        <f t="shared" si="15"/>
        <v>2.4.5</v>
      </c>
      <c r="C95" s="1514" t="str">
        <f t="shared" si="16"/>
        <v>通信・情報設備</v>
      </c>
      <c r="D95" s="1515">
        <f t="shared" si="21"/>
        <v>1.5000000000000003E-2</v>
      </c>
      <c r="E95" s="1515">
        <f t="shared" si="21"/>
        <v>0</v>
      </c>
      <c r="F95" s="1459"/>
      <c r="G95" s="1516">
        <f t="shared" si="17"/>
        <v>0.20000000000000004</v>
      </c>
      <c r="H95" s="1516">
        <f t="shared" si="18"/>
        <v>0</v>
      </c>
      <c r="I95" s="1544"/>
      <c r="J95" s="1547" t="s">
        <v>306</v>
      </c>
      <c r="K95" s="1593" t="s">
        <v>298</v>
      </c>
      <c r="L95" s="1964" t="s">
        <v>307</v>
      </c>
      <c r="M95" s="1518">
        <v>0.2</v>
      </c>
      <c r="N95" s="1518">
        <v>0.2</v>
      </c>
      <c r="O95" s="1518">
        <v>0.2</v>
      </c>
      <c r="P95" s="1518">
        <v>0.2</v>
      </c>
      <c r="Q95" s="1518">
        <v>0.2</v>
      </c>
      <c r="R95" s="1518">
        <v>0.2</v>
      </c>
      <c r="S95" s="1518">
        <v>0.2</v>
      </c>
      <c r="T95" s="1526">
        <v>0.2</v>
      </c>
      <c r="U95" s="1518">
        <v>0.2</v>
      </c>
      <c r="V95" s="1523">
        <v>0.2</v>
      </c>
      <c r="W95" s="1525">
        <v>0</v>
      </c>
      <c r="X95" s="1523">
        <v>0</v>
      </c>
      <c r="Y95" s="1523">
        <v>0</v>
      </c>
      <c r="Z95" s="1520"/>
    </row>
    <row r="96" spans="2:26" hidden="1">
      <c r="B96" s="1497">
        <f t="shared" si="15"/>
        <v>0</v>
      </c>
      <c r="C96" s="1550">
        <f t="shared" si="16"/>
        <v>0</v>
      </c>
      <c r="D96" s="1551"/>
      <c r="E96" s="1551"/>
      <c r="F96" s="1459"/>
      <c r="G96" s="1552">
        <f t="shared" si="17"/>
        <v>0</v>
      </c>
      <c r="H96" s="1552">
        <f t="shared" si="18"/>
        <v>0</v>
      </c>
      <c r="I96" s="1544"/>
      <c r="J96" s="1547"/>
      <c r="K96" s="1593" t="s">
        <v>229</v>
      </c>
      <c r="L96" s="1964"/>
      <c r="M96" s="1554">
        <v>0</v>
      </c>
      <c r="N96" s="1554">
        <v>0</v>
      </c>
      <c r="O96" s="1554">
        <v>0</v>
      </c>
      <c r="P96" s="1554">
        <v>0</v>
      </c>
      <c r="Q96" s="1554">
        <v>0</v>
      </c>
      <c r="R96" s="1554">
        <v>0</v>
      </c>
      <c r="S96" s="1554">
        <v>0</v>
      </c>
      <c r="T96" s="1555">
        <v>0</v>
      </c>
      <c r="U96" s="1554">
        <v>0</v>
      </c>
      <c r="V96" s="1523"/>
      <c r="W96" s="1525">
        <v>0</v>
      </c>
      <c r="X96" s="1523">
        <v>0</v>
      </c>
      <c r="Y96" s="1523">
        <v>0</v>
      </c>
      <c r="Z96" s="1520"/>
    </row>
    <row r="97" spans="1:26" s="1505" customFormat="1">
      <c r="A97"/>
      <c r="B97" s="1497">
        <f t="shared" si="15"/>
        <v>3</v>
      </c>
      <c r="C97" s="1557" t="str">
        <f t="shared" si="16"/>
        <v>対応性・更新性</v>
      </c>
      <c r="D97" s="1508">
        <f>SUM(D98:D108)</f>
        <v>0.30626631853785902</v>
      </c>
      <c r="E97" s="1508">
        <f>SUM(E98:E108)</f>
        <v>0</v>
      </c>
      <c r="F97" s="1459"/>
      <c r="G97" s="1509">
        <f t="shared" si="17"/>
        <v>0.3</v>
      </c>
      <c r="H97" s="1509">
        <f t="shared" si="18"/>
        <v>0</v>
      </c>
      <c r="I97" s="1542"/>
      <c r="J97" s="1541">
        <v>3</v>
      </c>
      <c r="K97" s="1644" t="s">
        <v>271</v>
      </c>
      <c r="L97" s="1687" t="s">
        <v>308</v>
      </c>
      <c r="M97" s="1510">
        <v>0.3</v>
      </c>
      <c r="N97" s="1510">
        <v>0.3</v>
      </c>
      <c r="O97" s="1510">
        <v>0.3</v>
      </c>
      <c r="P97" s="1510">
        <v>0.3</v>
      </c>
      <c r="Q97" s="1510">
        <v>0.3</v>
      </c>
      <c r="R97" s="1510">
        <v>0.3</v>
      </c>
      <c r="S97" s="1510">
        <v>0.3</v>
      </c>
      <c r="T97" s="1546">
        <v>0.3</v>
      </c>
      <c r="U97" s="1510">
        <v>0.3</v>
      </c>
      <c r="V97" s="1611">
        <v>0.3</v>
      </c>
      <c r="W97" s="1963"/>
      <c r="X97" s="1611"/>
      <c r="Y97" s="1611"/>
      <c r="Z97" s="1512"/>
    </row>
    <row r="98" spans="1:26">
      <c r="B98" s="1497">
        <f t="shared" si="15"/>
        <v>3.1</v>
      </c>
      <c r="C98" s="1547" t="str">
        <f t="shared" si="16"/>
        <v>空間のゆとり</v>
      </c>
      <c r="D98" s="1508"/>
      <c r="E98" s="1508"/>
      <c r="F98" s="1459"/>
      <c r="G98" s="1516">
        <f t="shared" si="17"/>
        <v>0.30417754569190597</v>
      </c>
      <c r="H98" s="1516">
        <f t="shared" si="18"/>
        <v>1.0443864229765013E-2</v>
      </c>
      <c r="I98" s="1544"/>
      <c r="J98" s="1547">
        <v>3.1</v>
      </c>
      <c r="K98" s="1593" t="s">
        <v>309</v>
      </c>
      <c r="L98" s="1637" t="s">
        <v>662</v>
      </c>
      <c r="M98" s="1518">
        <v>0.3</v>
      </c>
      <c r="N98" s="1518">
        <v>0.3</v>
      </c>
      <c r="O98" s="1518">
        <v>0.3</v>
      </c>
      <c r="P98" s="1518">
        <v>0.3</v>
      </c>
      <c r="Q98" s="1518">
        <v>0.3</v>
      </c>
      <c r="R98" s="1518"/>
      <c r="S98" s="1518"/>
      <c r="T98" s="1526">
        <v>0.3</v>
      </c>
      <c r="U98" s="1518">
        <v>0.3</v>
      </c>
      <c r="V98" s="1523">
        <v>0.3</v>
      </c>
      <c r="W98" s="1525">
        <v>0.5</v>
      </c>
      <c r="X98" s="1523">
        <v>0.5</v>
      </c>
      <c r="Y98" s="1523">
        <v>0.5</v>
      </c>
      <c r="Z98" s="1520"/>
    </row>
    <row r="99" spans="1:26">
      <c r="B99" s="1497" t="str">
        <f t="shared" si="15"/>
        <v>3.1.1</v>
      </c>
      <c r="C99" s="1514" t="str">
        <f t="shared" si="16"/>
        <v>階高のゆとり</v>
      </c>
      <c r="D99" s="1515">
        <f>G$97*G$98*G99</f>
        <v>5.4751958224543075E-2</v>
      </c>
      <c r="E99" s="1515">
        <f>H$97*H$98*H99</f>
        <v>0</v>
      </c>
      <c r="F99" s="1459"/>
      <c r="G99" s="1516">
        <f t="shared" si="17"/>
        <v>0.6</v>
      </c>
      <c r="H99" s="1516">
        <f t="shared" si="18"/>
        <v>1.2532637075718016E-2</v>
      </c>
      <c r="I99" s="1544"/>
      <c r="J99" s="1547" t="s">
        <v>1383</v>
      </c>
      <c r="K99" s="1593" t="s">
        <v>310</v>
      </c>
      <c r="L99" s="1964" t="s">
        <v>311</v>
      </c>
      <c r="M99" s="1518">
        <v>0.6</v>
      </c>
      <c r="N99" s="1518">
        <v>0.6</v>
      </c>
      <c r="O99" s="1518">
        <v>0.6</v>
      </c>
      <c r="P99" s="1518">
        <v>0.6</v>
      </c>
      <c r="Q99" s="1518">
        <v>0.6</v>
      </c>
      <c r="R99" s="1518"/>
      <c r="S99" s="1518"/>
      <c r="T99" s="1526">
        <v>0</v>
      </c>
      <c r="U99" s="1518">
        <v>0.6</v>
      </c>
      <c r="V99" s="1523">
        <v>0.6</v>
      </c>
      <c r="W99" s="1525">
        <v>0.6</v>
      </c>
      <c r="X99" s="1523">
        <v>0.6</v>
      </c>
      <c r="Y99" s="1523">
        <v>0.6</v>
      </c>
      <c r="Z99" s="1520"/>
    </row>
    <row r="100" spans="1:26">
      <c r="B100" s="1497" t="str">
        <f t="shared" si="15"/>
        <v>3.1.2</v>
      </c>
      <c r="C100" s="1514" t="str">
        <f t="shared" si="16"/>
        <v>空間の形状・自由さ</v>
      </c>
      <c r="D100" s="1515">
        <f>G$97*G$98*G100</f>
        <v>3.6501305483028726E-2</v>
      </c>
      <c r="E100" s="1515">
        <f>H$97*H$98*H100</f>
        <v>0</v>
      </c>
      <c r="F100" s="1459"/>
      <c r="G100" s="1516">
        <f t="shared" si="17"/>
        <v>0.40000000000000008</v>
      </c>
      <c r="H100" s="1516">
        <f t="shared" si="18"/>
        <v>8.3550913838120102E-3</v>
      </c>
      <c r="I100" s="1544"/>
      <c r="J100" s="1547" t="s">
        <v>1384</v>
      </c>
      <c r="K100" s="1593" t="s">
        <v>310</v>
      </c>
      <c r="L100" s="1964" t="s">
        <v>312</v>
      </c>
      <c r="M100" s="1518">
        <v>0.4</v>
      </c>
      <c r="N100" s="1518">
        <v>0.4</v>
      </c>
      <c r="O100" s="1518">
        <v>0.4</v>
      </c>
      <c r="P100" s="1518">
        <v>0.4</v>
      </c>
      <c r="Q100" s="1518">
        <v>0.4</v>
      </c>
      <c r="R100" s="1518"/>
      <c r="S100" s="1518"/>
      <c r="T100" s="1526">
        <v>1</v>
      </c>
      <c r="U100" s="1518">
        <v>0.4</v>
      </c>
      <c r="V100" s="1523">
        <v>0.4</v>
      </c>
      <c r="W100" s="1525">
        <v>0.4</v>
      </c>
      <c r="X100" s="1523">
        <v>0.4</v>
      </c>
      <c r="Y100" s="1523">
        <v>0.4</v>
      </c>
      <c r="Z100" s="1520"/>
    </row>
    <row r="101" spans="1:26">
      <c r="B101" s="1497">
        <f t="shared" si="15"/>
        <v>3.2</v>
      </c>
      <c r="C101" s="1547" t="str">
        <f t="shared" si="16"/>
        <v>荷重のゆとり</v>
      </c>
      <c r="D101" s="1515">
        <f>G$97*G101</f>
        <v>9.1253263707571794E-2</v>
      </c>
      <c r="E101" s="1515">
        <f>H$97*H101</f>
        <v>0</v>
      </c>
      <c r="F101" s="1459"/>
      <c r="G101" s="1516">
        <f t="shared" si="17"/>
        <v>0.30417754569190597</v>
      </c>
      <c r="H101" s="1516">
        <f t="shared" si="18"/>
        <v>1.0443864229765013E-2</v>
      </c>
      <c r="I101" s="1544"/>
      <c r="J101" s="1547">
        <v>3.2</v>
      </c>
      <c r="K101" s="1593" t="s">
        <v>309</v>
      </c>
      <c r="L101" s="1637" t="s">
        <v>666</v>
      </c>
      <c r="M101" s="1518">
        <v>0.3</v>
      </c>
      <c r="N101" s="1518">
        <v>0.3</v>
      </c>
      <c r="O101" s="1518">
        <v>0.3</v>
      </c>
      <c r="P101" s="1518">
        <v>0.3</v>
      </c>
      <c r="Q101" s="1518">
        <v>0.3</v>
      </c>
      <c r="R101" s="1518"/>
      <c r="S101" s="1518"/>
      <c r="T101" s="1526">
        <v>0.3</v>
      </c>
      <c r="U101" s="1518">
        <v>0.3</v>
      </c>
      <c r="V101" s="1523">
        <v>0.3</v>
      </c>
      <c r="W101" s="1525">
        <v>0.5</v>
      </c>
      <c r="X101" s="1523">
        <v>0.5</v>
      </c>
      <c r="Y101" s="1523">
        <v>0.5</v>
      </c>
      <c r="Z101" s="1520"/>
    </row>
    <row r="102" spans="1:26">
      <c r="B102" s="1497">
        <f t="shared" si="15"/>
        <v>3.3</v>
      </c>
      <c r="C102" s="1547" t="str">
        <f t="shared" si="16"/>
        <v>設備の更新性</v>
      </c>
      <c r="D102" s="1548"/>
      <c r="E102" s="1548"/>
      <c r="F102" s="1459"/>
      <c r="G102" s="1516">
        <f t="shared" si="17"/>
        <v>0.41253263707571808</v>
      </c>
      <c r="H102" s="1516">
        <f t="shared" si="18"/>
        <v>0</v>
      </c>
      <c r="I102" s="1544"/>
      <c r="J102" s="1547">
        <v>3.3</v>
      </c>
      <c r="K102" s="1593" t="s">
        <v>309</v>
      </c>
      <c r="L102" s="1637" t="s">
        <v>667</v>
      </c>
      <c r="M102" s="1518">
        <v>0.4</v>
      </c>
      <c r="N102" s="1518">
        <v>0.4</v>
      </c>
      <c r="O102" s="1518">
        <v>0.4</v>
      </c>
      <c r="P102" s="1518">
        <v>0.4</v>
      </c>
      <c r="Q102" s="1518">
        <v>0.4</v>
      </c>
      <c r="R102" s="1518">
        <v>1</v>
      </c>
      <c r="S102" s="1518">
        <v>1</v>
      </c>
      <c r="T102" s="1526">
        <v>0.4</v>
      </c>
      <c r="U102" s="1518">
        <v>0.4</v>
      </c>
      <c r="V102" s="1523">
        <v>0.4</v>
      </c>
      <c r="W102" s="1525"/>
      <c r="X102" s="1523"/>
      <c r="Y102" s="1523"/>
      <c r="Z102" s="1520"/>
    </row>
    <row r="103" spans="1:26">
      <c r="B103" s="1497" t="str">
        <f t="shared" si="15"/>
        <v>3.3.1</v>
      </c>
      <c r="C103" s="1514" t="str">
        <f t="shared" si="16"/>
        <v>空調配管の更新性</v>
      </c>
      <c r="D103" s="1515">
        <f t="shared" ref="D103:E108" si="22">G$97*G$102*G103</f>
        <v>2.4751958224543087E-2</v>
      </c>
      <c r="E103" s="1515">
        <f t="shared" si="22"/>
        <v>0</v>
      </c>
      <c r="F103" s="1459"/>
      <c r="G103" s="1516">
        <f t="shared" si="17"/>
        <v>0.20000000000000004</v>
      </c>
      <c r="H103" s="1516">
        <f t="shared" si="18"/>
        <v>0</v>
      </c>
      <c r="I103" s="1544"/>
      <c r="J103" s="1547" t="s">
        <v>1385</v>
      </c>
      <c r="K103" s="1593" t="s">
        <v>313</v>
      </c>
      <c r="L103" s="1964" t="s">
        <v>314</v>
      </c>
      <c r="M103" s="1518">
        <v>0.2</v>
      </c>
      <c r="N103" s="1518">
        <v>0.2</v>
      </c>
      <c r="O103" s="1518">
        <v>0.2</v>
      </c>
      <c r="P103" s="1518">
        <v>0.2</v>
      </c>
      <c r="Q103" s="1518">
        <v>0.2</v>
      </c>
      <c r="R103" s="1518">
        <v>0.2</v>
      </c>
      <c r="S103" s="1518">
        <v>0.2</v>
      </c>
      <c r="T103" s="1526">
        <v>0.2</v>
      </c>
      <c r="U103" s="1518">
        <v>0.2</v>
      </c>
      <c r="V103" s="1523">
        <v>0.2</v>
      </c>
      <c r="W103" s="1525"/>
      <c r="X103" s="1523"/>
      <c r="Y103" s="1523"/>
      <c r="Z103" s="1520"/>
    </row>
    <row r="104" spans="1:26">
      <c r="B104" s="1497" t="str">
        <f t="shared" si="15"/>
        <v>3.3.2</v>
      </c>
      <c r="C104" s="1514" t="str">
        <f t="shared" si="16"/>
        <v>給排水管の更新性</v>
      </c>
      <c r="D104" s="1515">
        <f t="shared" si="22"/>
        <v>2.4751958224543087E-2</v>
      </c>
      <c r="E104" s="1515">
        <f t="shared" si="22"/>
        <v>0</v>
      </c>
      <c r="F104" s="1459"/>
      <c r="G104" s="1516">
        <f t="shared" si="17"/>
        <v>0.20000000000000004</v>
      </c>
      <c r="H104" s="1516">
        <f t="shared" si="18"/>
        <v>0</v>
      </c>
      <c r="I104" s="1544"/>
      <c r="J104" s="1547" t="s">
        <v>1387</v>
      </c>
      <c r="K104" s="1593" t="s">
        <v>313</v>
      </c>
      <c r="L104" s="1964" t="s">
        <v>315</v>
      </c>
      <c r="M104" s="1518">
        <v>0.2</v>
      </c>
      <c r="N104" s="1518">
        <v>0.2</v>
      </c>
      <c r="O104" s="1518">
        <v>0.2</v>
      </c>
      <c r="P104" s="1518">
        <v>0.2</v>
      </c>
      <c r="Q104" s="1518">
        <v>0.2</v>
      </c>
      <c r="R104" s="1518">
        <v>0.2</v>
      </c>
      <c r="S104" s="1518">
        <v>0.2</v>
      </c>
      <c r="T104" s="1526">
        <v>0.2</v>
      </c>
      <c r="U104" s="1518">
        <v>0.2</v>
      </c>
      <c r="V104" s="1523">
        <v>0.2</v>
      </c>
      <c r="W104" s="1525"/>
      <c r="X104" s="1523"/>
      <c r="Y104" s="1523"/>
      <c r="Z104" s="1520"/>
    </row>
    <row r="105" spans="1:26">
      <c r="B105" s="1497" t="str">
        <f t="shared" si="15"/>
        <v>3.3.3</v>
      </c>
      <c r="C105" s="1514" t="str">
        <f t="shared" si="16"/>
        <v>電気配線の更新性</v>
      </c>
      <c r="D105" s="1515">
        <f t="shared" si="22"/>
        <v>1.2375979112271543E-2</v>
      </c>
      <c r="E105" s="1515">
        <f t="shared" si="22"/>
        <v>0</v>
      </c>
      <c r="F105" s="1459"/>
      <c r="G105" s="1516">
        <f t="shared" si="17"/>
        <v>0.10000000000000002</v>
      </c>
      <c r="H105" s="1516">
        <f t="shared" si="18"/>
        <v>0</v>
      </c>
      <c r="I105" s="1544"/>
      <c r="J105" s="1547" t="s">
        <v>1389</v>
      </c>
      <c r="K105" s="1593" t="s">
        <v>313</v>
      </c>
      <c r="L105" s="1964" t="s">
        <v>316</v>
      </c>
      <c r="M105" s="1518">
        <v>0.1</v>
      </c>
      <c r="N105" s="1518">
        <v>0.1</v>
      </c>
      <c r="O105" s="1518">
        <v>0.1</v>
      </c>
      <c r="P105" s="1518">
        <v>0.1</v>
      </c>
      <c r="Q105" s="1518">
        <v>0.1</v>
      </c>
      <c r="R105" s="1518">
        <v>0.1</v>
      </c>
      <c r="S105" s="1518">
        <v>0.1</v>
      </c>
      <c r="T105" s="1526">
        <v>0.1</v>
      </c>
      <c r="U105" s="1518">
        <v>0.1</v>
      </c>
      <c r="V105" s="1523">
        <v>0.1</v>
      </c>
      <c r="W105" s="1525"/>
      <c r="X105" s="1523"/>
      <c r="Y105" s="1523"/>
      <c r="Z105" s="1520"/>
    </row>
    <row r="106" spans="1:26">
      <c r="B106" s="1497" t="str">
        <f t="shared" ref="B106:B141" si="23">J106</f>
        <v>3.3.4</v>
      </c>
      <c r="C106" s="1514" t="str">
        <f t="shared" ref="C106:C141" si="24">L106</f>
        <v>通信配線の更新性</v>
      </c>
      <c r="D106" s="1515">
        <f t="shared" si="22"/>
        <v>1.2375979112271543E-2</v>
      </c>
      <c r="E106" s="1515">
        <f t="shared" si="22"/>
        <v>0</v>
      </c>
      <c r="F106" s="1459"/>
      <c r="G106" s="1516">
        <f t="shared" si="17"/>
        <v>0.10000000000000002</v>
      </c>
      <c r="H106" s="1516">
        <f t="shared" si="18"/>
        <v>0</v>
      </c>
      <c r="I106" s="1544"/>
      <c r="J106" s="1547" t="s">
        <v>1390</v>
      </c>
      <c r="K106" s="1593" t="s">
        <v>313</v>
      </c>
      <c r="L106" s="1964" t="s">
        <v>317</v>
      </c>
      <c r="M106" s="1518">
        <v>0.1</v>
      </c>
      <c r="N106" s="1518">
        <v>0.1</v>
      </c>
      <c r="O106" s="1518">
        <v>0.1</v>
      </c>
      <c r="P106" s="1518">
        <v>0.1</v>
      </c>
      <c r="Q106" s="1518">
        <v>0.1</v>
      </c>
      <c r="R106" s="1518">
        <v>0.1</v>
      </c>
      <c r="S106" s="1518">
        <v>0.1</v>
      </c>
      <c r="T106" s="1526">
        <v>0.1</v>
      </c>
      <c r="U106" s="1518">
        <v>0.1</v>
      </c>
      <c r="V106" s="1523">
        <v>0.1</v>
      </c>
      <c r="W106" s="1525"/>
      <c r="X106" s="1523"/>
      <c r="Y106" s="1523"/>
      <c r="Z106" s="1520"/>
    </row>
    <row r="107" spans="1:26">
      <c r="B107" s="1497" t="str">
        <f t="shared" si="23"/>
        <v>3.3.5</v>
      </c>
      <c r="C107" s="1514" t="str">
        <f t="shared" si="24"/>
        <v>設備機器の更新性</v>
      </c>
      <c r="D107" s="1515">
        <f t="shared" si="22"/>
        <v>2.4751958224543087E-2</v>
      </c>
      <c r="E107" s="1515">
        <f t="shared" si="22"/>
        <v>0</v>
      </c>
      <c r="F107" s="1459"/>
      <c r="G107" s="1516">
        <f t="shared" si="17"/>
        <v>0.20000000000000004</v>
      </c>
      <c r="H107" s="1516">
        <f t="shared" si="18"/>
        <v>0</v>
      </c>
      <c r="I107" s="1544"/>
      <c r="J107" s="1547" t="s">
        <v>1392</v>
      </c>
      <c r="K107" s="1593" t="s">
        <v>313</v>
      </c>
      <c r="L107" s="1964" t="s">
        <v>318</v>
      </c>
      <c r="M107" s="1518">
        <v>0.2</v>
      </c>
      <c r="N107" s="1518">
        <v>0.2</v>
      </c>
      <c r="O107" s="1518">
        <v>0.2</v>
      </c>
      <c r="P107" s="1518">
        <v>0.2</v>
      </c>
      <c r="Q107" s="1518">
        <v>0.2</v>
      </c>
      <c r="R107" s="1518">
        <v>0.2</v>
      </c>
      <c r="S107" s="1518">
        <v>0.2</v>
      </c>
      <c r="T107" s="1526">
        <v>0.2</v>
      </c>
      <c r="U107" s="1518">
        <v>0.2</v>
      </c>
      <c r="V107" s="1523">
        <v>0.2</v>
      </c>
      <c r="W107" s="1525"/>
      <c r="X107" s="1523"/>
      <c r="Y107" s="1523"/>
      <c r="Z107" s="1520"/>
    </row>
    <row r="108" spans="1:26">
      <c r="B108" s="1497" t="str">
        <f t="shared" si="23"/>
        <v>3.3.6</v>
      </c>
      <c r="C108" s="1514" t="str">
        <f t="shared" si="24"/>
        <v>バックアップスペースの確保</v>
      </c>
      <c r="D108" s="1515">
        <f t="shared" si="22"/>
        <v>2.4751958224543087E-2</v>
      </c>
      <c r="E108" s="1515">
        <f t="shared" si="22"/>
        <v>0</v>
      </c>
      <c r="F108" s="1459"/>
      <c r="G108" s="1516">
        <f t="shared" si="17"/>
        <v>0.20000000000000004</v>
      </c>
      <c r="H108" s="1516">
        <f t="shared" si="18"/>
        <v>0</v>
      </c>
      <c r="I108" s="1544"/>
      <c r="J108" s="1547" t="s">
        <v>1393</v>
      </c>
      <c r="K108" s="1593" t="s">
        <v>313</v>
      </c>
      <c r="L108" s="1964" t="s">
        <v>675</v>
      </c>
      <c r="M108" s="1518">
        <v>0.2</v>
      </c>
      <c r="N108" s="1518">
        <v>0.2</v>
      </c>
      <c r="O108" s="1518">
        <v>0.2</v>
      </c>
      <c r="P108" s="1518">
        <v>0.2</v>
      </c>
      <c r="Q108" s="1518">
        <v>0.2</v>
      </c>
      <c r="R108" s="1518">
        <v>0.2</v>
      </c>
      <c r="S108" s="1518">
        <v>0.2</v>
      </c>
      <c r="T108" s="1526">
        <v>0.2</v>
      </c>
      <c r="U108" s="1518">
        <v>0.2</v>
      </c>
      <c r="V108" s="1523">
        <v>0.2</v>
      </c>
      <c r="W108" s="1525"/>
      <c r="X108" s="1523"/>
      <c r="Y108" s="1523"/>
      <c r="Z108" s="1520"/>
    </row>
    <row r="109" spans="1:26" s="1505" customFormat="1">
      <c r="A109"/>
      <c r="B109" s="1497" t="str">
        <f t="shared" si="23"/>
        <v>Q3</v>
      </c>
      <c r="C109" s="1497" t="str">
        <f t="shared" si="24"/>
        <v>室外環境（敷地内）</v>
      </c>
      <c r="D109" s="1499">
        <f t="shared" ref="D109:E111" si="25">G109</f>
        <v>0.32610966057441254</v>
      </c>
      <c r="E109" s="1499">
        <f t="shared" si="25"/>
        <v>0</v>
      </c>
      <c r="F109" s="1459"/>
      <c r="G109" s="1500">
        <f t="shared" si="17"/>
        <v>0.32610966057441254</v>
      </c>
      <c r="H109" s="1500">
        <f t="shared" si="18"/>
        <v>0</v>
      </c>
      <c r="I109" s="1540"/>
      <c r="J109" s="1497" t="s">
        <v>1395</v>
      </c>
      <c r="K109" s="1959" t="s">
        <v>229</v>
      </c>
      <c r="L109" s="1958" t="s">
        <v>1397</v>
      </c>
      <c r="M109" s="1503">
        <v>0.3</v>
      </c>
      <c r="N109" s="1503">
        <v>0.3</v>
      </c>
      <c r="O109" s="1503">
        <v>0.3</v>
      </c>
      <c r="P109" s="1503">
        <v>0.3</v>
      </c>
      <c r="Q109" s="1503">
        <v>0.3</v>
      </c>
      <c r="R109" s="1503">
        <v>0.3</v>
      </c>
      <c r="S109" s="1503">
        <v>0.3</v>
      </c>
      <c r="T109" s="1503">
        <v>0.3</v>
      </c>
      <c r="U109" s="1503">
        <v>0.4</v>
      </c>
      <c r="V109" s="1960">
        <v>0.3</v>
      </c>
      <c r="W109" s="1961">
        <v>0</v>
      </c>
      <c r="X109" s="1960">
        <v>0</v>
      </c>
      <c r="Y109" s="1960">
        <v>0</v>
      </c>
      <c r="Z109" s="1504"/>
    </row>
    <row r="110" spans="1:26" s="1505" customFormat="1">
      <c r="A110"/>
      <c r="B110" s="1497">
        <f t="shared" si="23"/>
        <v>1</v>
      </c>
      <c r="C110" s="1528" t="str">
        <f t="shared" si="24"/>
        <v>生物資源の保全と創出</v>
      </c>
      <c r="D110" s="1508">
        <f t="shared" si="25"/>
        <v>0.3</v>
      </c>
      <c r="E110" s="1508">
        <f t="shared" si="25"/>
        <v>0</v>
      </c>
      <c r="F110" s="1459"/>
      <c r="G110" s="1509">
        <f t="shared" si="17"/>
        <v>0.3</v>
      </c>
      <c r="H110" s="1509">
        <f t="shared" si="18"/>
        <v>0</v>
      </c>
      <c r="I110" s="1542"/>
      <c r="J110" s="1541">
        <v>1</v>
      </c>
      <c r="K110" s="1644" t="s">
        <v>319</v>
      </c>
      <c r="L110" s="1687" t="s">
        <v>846</v>
      </c>
      <c r="M110" s="1510">
        <v>0.3</v>
      </c>
      <c r="N110" s="1510">
        <v>0.3</v>
      </c>
      <c r="O110" s="1510">
        <v>0.3</v>
      </c>
      <c r="P110" s="1510">
        <v>0.3</v>
      </c>
      <c r="Q110" s="1510">
        <v>0.3</v>
      </c>
      <c r="R110" s="1510">
        <v>0.3</v>
      </c>
      <c r="S110" s="1510">
        <v>0.3</v>
      </c>
      <c r="T110" s="1546">
        <v>0.3</v>
      </c>
      <c r="U110" s="1510">
        <v>0.3</v>
      </c>
      <c r="V110" s="1611">
        <v>0.3</v>
      </c>
      <c r="W110" s="1963">
        <v>0</v>
      </c>
      <c r="X110" s="1611">
        <v>0</v>
      </c>
      <c r="Y110" s="1611">
        <v>0</v>
      </c>
      <c r="Z110" s="1512"/>
    </row>
    <row r="111" spans="1:26" s="1505" customFormat="1">
      <c r="A111"/>
      <c r="B111" s="1497">
        <f t="shared" si="23"/>
        <v>2</v>
      </c>
      <c r="C111" s="1528" t="str">
        <f t="shared" si="24"/>
        <v>まちなみ・景観への配慮</v>
      </c>
      <c r="D111" s="1508">
        <f t="shared" si="25"/>
        <v>0.40000000000000008</v>
      </c>
      <c r="E111" s="1508">
        <f t="shared" si="25"/>
        <v>0</v>
      </c>
      <c r="F111" s="1459"/>
      <c r="G111" s="1509">
        <f t="shared" si="17"/>
        <v>0.40000000000000008</v>
      </c>
      <c r="H111" s="1509">
        <f t="shared" si="18"/>
        <v>0</v>
      </c>
      <c r="I111" s="1542"/>
      <c r="J111" s="1541">
        <v>2</v>
      </c>
      <c r="K111" s="1644" t="s">
        <v>319</v>
      </c>
      <c r="L111" s="1687" t="s">
        <v>1399</v>
      </c>
      <c r="M111" s="1510">
        <v>0.4</v>
      </c>
      <c r="N111" s="1510">
        <v>0.4</v>
      </c>
      <c r="O111" s="1510">
        <v>0.4</v>
      </c>
      <c r="P111" s="1510">
        <v>0.4</v>
      </c>
      <c r="Q111" s="1510">
        <v>0.4</v>
      </c>
      <c r="R111" s="1510">
        <v>0.4</v>
      </c>
      <c r="S111" s="1510">
        <v>0.4</v>
      </c>
      <c r="T111" s="1546">
        <v>0.4</v>
      </c>
      <c r="U111" s="1510">
        <v>0.4</v>
      </c>
      <c r="V111" s="1611">
        <v>0.4</v>
      </c>
      <c r="W111" s="1963">
        <v>0</v>
      </c>
      <c r="X111" s="1611">
        <v>0</v>
      </c>
      <c r="Y111" s="1611">
        <v>0</v>
      </c>
      <c r="Z111" s="1512"/>
    </row>
    <row r="112" spans="1:26" s="1505" customFormat="1">
      <c r="A112"/>
      <c r="B112" s="1497">
        <f t="shared" si="23"/>
        <v>3</v>
      </c>
      <c r="C112" s="1528" t="str">
        <f t="shared" si="24"/>
        <v>地域性・アメニティへの配慮</v>
      </c>
      <c r="D112" s="1508">
        <f>SUM(D113:D114)</f>
        <v>0.3</v>
      </c>
      <c r="E112" s="1508">
        <f>SUM(E113:E114)</f>
        <v>0</v>
      </c>
      <c r="F112" s="1459"/>
      <c r="G112" s="1509">
        <f t="shared" si="17"/>
        <v>0.3</v>
      </c>
      <c r="H112" s="1509">
        <f t="shared" si="18"/>
        <v>0</v>
      </c>
      <c r="I112" s="1542"/>
      <c r="J112" s="1541">
        <v>3</v>
      </c>
      <c r="K112" s="1644" t="s">
        <v>319</v>
      </c>
      <c r="L112" s="1687" t="s">
        <v>1400</v>
      </c>
      <c r="M112" s="1510">
        <v>0.3</v>
      </c>
      <c r="N112" s="1510">
        <v>0.3</v>
      </c>
      <c r="O112" s="1510">
        <v>0.3</v>
      </c>
      <c r="P112" s="1510">
        <v>0.3</v>
      </c>
      <c r="Q112" s="1510">
        <v>0.3</v>
      </c>
      <c r="R112" s="1510">
        <v>0.3</v>
      </c>
      <c r="S112" s="1510">
        <v>0.3</v>
      </c>
      <c r="T112" s="1546">
        <v>0.3</v>
      </c>
      <c r="U112" s="1510">
        <v>0.3</v>
      </c>
      <c r="V112" s="1611">
        <v>0.3</v>
      </c>
      <c r="W112" s="1963">
        <v>0</v>
      </c>
      <c r="X112" s="1611">
        <v>0</v>
      </c>
      <c r="Y112" s="1611">
        <v>0</v>
      </c>
      <c r="Z112" s="1512"/>
    </row>
    <row r="113" spans="1:26" s="1505" customFormat="1">
      <c r="A113"/>
      <c r="B113" s="1497" t="str">
        <f t="shared" si="23"/>
        <v>3.1</v>
      </c>
      <c r="C113" s="1560" t="str">
        <f t="shared" si="24"/>
        <v>地域性への配慮、快適性の向上</v>
      </c>
      <c r="D113" s="1515">
        <f>G$112*G113</f>
        <v>0.15</v>
      </c>
      <c r="E113" s="1515">
        <f>H$112*H113</f>
        <v>0</v>
      </c>
      <c r="F113" s="1459"/>
      <c r="G113" s="1516">
        <f t="shared" si="17"/>
        <v>0.5</v>
      </c>
      <c r="H113" s="1516">
        <f t="shared" si="18"/>
        <v>0</v>
      </c>
      <c r="I113" s="1542"/>
      <c r="J113" s="1547" t="s">
        <v>1402</v>
      </c>
      <c r="K113" s="1593" t="s">
        <v>320</v>
      </c>
      <c r="L113" s="1986" t="s">
        <v>1404</v>
      </c>
      <c r="M113" s="1561">
        <v>0.5</v>
      </c>
      <c r="N113" s="1561">
        <v>0.5</v>
      </c>
      <c r="O113" s="1561">
        <v>0.5</v>
      </c>
      <c r="P113" s="1561">
        <v>0.5</v>
      </c>
      <c r="Q113" s="1561">
        <v>0.5</v>
      </c>
      <c r="R113" s="1561">
        <v>0.5</v>
      </c>
      <c r="S113" s="1561">
        <v>0.5</v>
      </c>
      <c r="T113" s="1561">
        <v>0.5</v>
      </c>
      <c r="U113" s="1561">
        <v>0.5</v>
      </c>
      <c r="V113" s="1987">
        <v>0.5</v>
      </c>
      <c r="W113" s="1988">
        <v>0</v>
      </c>
      <c r="X113" s="1987">
        <v>0</v>
      </c>
      <c r="Y113" s="1987">
        <v>0</v>
      </c>
      <c r="Z113" s="1512"/>
    </row>
    <row r="114" spans="1:26" s="1505" customFormat="1">
      <c r="A114"/>
      <c r="B114" s="1497" t="str">
        <f t="shared" si="23"/>
        <v>3.2</v>
      </c>
      <c r="C114" s="1560" t="str">
        <f t="shared" si="24"/>
        <v>敷地内温熱環境の向上</v>
      </c>
      <c r="D114" s="1515">
        <f>G$112*G114</f>
        <v>0.15</v>
      </c>
      <c r="E114" s="1515">
        <f>H$112*H114</f>
        <v>0</v>
      </c>
      <c r="F114" s="1459"/>
      <c r="G114" s="1516">
        <f t="shared" si="17"/>
        <v>0.5</v>
      </c>
      <c r="H114" s="1516">
        <f t="shared" si="18"/>
        <v>0</v>
      </c>
      <c r="I114" s="1542"/>
      <c r="J114" s="1547" t="s">
        <v>1406</v>
      </c>
      <c r="K114" s="1593" t="s">
        <v>320</v>
      </c>
      <c r="L114" s="1986" t="s">
        <v>1408</v>
      </c>
      <c r="M114" s="1561">
        <v>0.5</v>
      </c>
      <c r="N114" s="1561">
        <v>0.5</v>
      </c>
      <c r="O114" s="1561">
        <v>0.5</v>
      </c>
      <c r="P114" s="1561">
        <v>0.5</v>
      </c>
      <c r="Q114" s="1561">
        <v>0.5</v>
      </c>
      <c r="R114" s="1561">
        <v>0.5</v>
      </c>
      <c r="S114" s="1561">
        <v>0.5</v>
      </c>
      <c r="T114" s="1561">
        <v>0.5</v>
      </c>
      <c r="U114" s="1561">
        <v>0.5</v>
      </c>
      <c r="V114" s="1987">
        <v>0.5</v>
      </c>
      <c r="W114" s="1988">
        <v>0</v>
      </c>
      <c r="X114" s="1987">
        <v>0</v>
      </c>
      <c r="Y114" s="1987">
        <v>0</v>
      </c>
      <c r="Z114" s="1512"/>
    </row>
    <row r="115" spans="1:26" s="1505" customFormat="1" hidden="1">
      <c r="A115"/>
      <c r="B115" s="1497">
        <f t="shared" si="23"/>
        <v>0</v>
      </c>
      <c r="C115" s="1564">
        <f t="shared" si="24"/>
        <v>0</v>
      </c>
      <c r="D115" s="1564"/>
      <c r="E115" s="1564"/>
      <c r="F115" s="1459"/>
      <c r="G115" s="1565">
        <f t="shared" si="17"/>
        <v>0</v>
      </c>
      <c r="H115" s="1565">
        <f t="shared" si="18"/>
        <v>0</v>
      </c>
      <c r="I115" s="1542"/>
      <c r="J115" s="1541"/>
      <c r="K115" s="1644" t="s">
        <v>229</v>
      </c>
      <c r="L115" s="1687"/>
      <c r="M115" s="1611">
        <v>0</v>
      </c>
      <c r="N115" s="1611">
        <v>0</v>
      </c>
      <c r="O115" s="1611">
        <v>0</v>
      </c>
      <c r="P115" s="1611">
        <v>0</v>
      </c>
      <c r="Q115" s="1611">
        <v>0</v>
      </c>
      <c r="R115" s="1611">
        <v>0</v>
      </c>
      <c r="S115" s="1611">
        <v>0</v>
      </c>
      <c r="T115" s="1983">
        <v>0</v>
      </c>
      <c r="U115" s="1611">
        <v>0</v>
      </c>
      <c r="V115" s="1611">
        <v>0</v>
      </c>
      <c r="W115" s="1963">
        <v>0</v>
      </c>
      <c r="X115" s="1611">
        <v>0</v>
      </c>
      <c r="Y115" s="1611">
        <v>0</v>
      </c>
      <c r="Z115" s="1512"/>
    </row>
    <row r="116" spans="1:26" s="1496" customFormat="1" ht="14.25">
      <c r="A116"/>
      <c r="B116" s="1989" t="str">
        <f t="shared" si="23"/>
        <v>LR</v>
      </c>
      <c r="C116" s="1487" t="str">
        <f t="shared" si="24"/>
        <v>建築物の環境負荷低減性</v>
      </c>
      <c r="D116" s="1567"/>
      <c r="E116" s="1567"/>
      <c r="F116" s="1459"/>
      <c r="G116" s="1489">
        <f t="shared" si="17"/>
        <v>0</v>
      </c>
      <c r="H116" s="1489">
        <f t="shared" si="18"/>
        <v>0</v>
      </c>
      <c r="I116" s="1490"/>
      <c r="J116" s="1949" t="s">
        <v>1409</v>
      </c>
      <c r="K116" s="1945" t="s">
        <v>378</v>
      </c>
      <c r="L116" s="1946" t="s">
        <v>379</v>
      </c>
      <c r="M116" s="1951">
        <v>0</v>
      </c>
      <c r="N116" s="1951">
        <v>0</v>
      </c>
      <c r="O116" s="1951">
        <v>0</v>
      </c>
      <c r="P116" s="1951">
        <v>0</v>
      </c>
      <c r="Q116" s="1951">
        <v>0</v>
      </c>
      <c r="R116" s="1951">
        <v>0</v>
      </c>
      <c r="S116" s="1951">
        <v>0</v>
      </c>
      <c r="T116" s="1952">
        <v>0</v>
      </c>
      <c r="U116" s="1951">
        <v>0</v>
      </c>
      <c r="V116" s="1951">
        <v>0</v>
      </c>
      <c r="W116" s="1953">
        <v>0</v>
      </c>
      <c r="X116" s="1954">
        <v>0</v>
      </c>
      <c r="Y116" s="1954">
        <v>0</v>
      </c>
      <c r="Z116" s="1495"/>
    </row>
    <row r="117" spans="1:26" s="1505" customFormat="1">
      <c r="A117"/>
      <c r="B117" s="1497" t="str">
        <f t="shared" si="23"/>
        <v>LR1</v>
      </c>
      <c r="C117" s="1497" t="str">
        <f t="shared" si="24"/>
        <v>エネルギー</v>
      </c>
      <c r="D117" s="1499">
        <f>G117</f>
        <v>0.40000000000000008</v>
      </c>
      <c r="E117" s="1499">
        <f>H117</f>
        <v>0</v>
      </c>
      <c r="F117" s="1459"/>
      <c r="G117" s="1500">
        <f t="shared" si="17"/>
        <v>0.40000000000000008</v>
      </c>
      <c r="H117" s="1500">
        <f t="shared" si="18"/>
        <v>0</v>
      </c>
      <c r="I117" s="1540"/>
      <c r="J117" s="1497" t="s">
        <v>1410</v>
      </c>
      <c r="K117" s="1959" t="s">
        <v>1412</v>
      </c>
      <c r="L117" s="1958" t="s">
        <v>1414</v>
      </c>
      <c r="M117" s="1960">
        <v>0.4</v>
      </c>
      <c r="N117" s="1960">
        <v>0.4</v>
      </c>
      <c r="O117" s="1960">
        <v>0.4</v>
      </c>
      <c r="P117" s="1960">
        <v>0.4</v>
      </c>
      <c r="Q117" s="1960">
        <v>0.4</v>
      </c>
      <c r="R117" s="1960">
        <v>0.4</v>
      </c>
      <c r="S117" s="1960">
        <v>0.4</v>
      </c>
      <c r="T117" s="1960">
        <v>0.4</v>
      </c>
      <c r="U117" s="1960">
        <v>0.4</v>
      </c>
      <c r="V117" s="1960">
        <v>0.4</v>
      </c>
      <c r="W117" s="1961"/>
      <c r="X117" s="1960"/>
      <c r="Y117" s="1960"/>
      <c r="Z117" s="1504"/>
    </row>
    <row r="118" spans="1:26" s="1505" customFormat="1">
      <c r="A118"/>
      <c r="B118" s="1497">
        <f t="shared" si="23"/>
        <v>1</v>
      </c>
      <c r="C118" s="1541" t="str">
        <f t="shared" si="24"/>
        <v>建物外皮の熱負荷抑制</v>
      </c>
      <c r="D118" s="1508">
        <f>G118</f>
        <v>0.14778067885117496</v>
      </c>
      <c r="E118" s="1508">
        <f>H118</f>
        <v>0</v>
      </c>
      <c r="F118" s="1459"/>
      <c r="G118" s="1509">
        <f t="shared" si="17"/>
        <v>0.14778067885117496</v>
      </c>
      <c r="H118" s="1509">
        <f t="shared" si="18"/>
        <v>0</v>
      </c>
      <c r="I118" s="1542"/>
      <c r="J118" s="1573">
        <v>1</v>
      </c>
      <c r="K118" s="1644" t="s">
        <v>322</v>
      </c>
      <c r="L118" s="1680" t="s">
        <v>1415</v>
      </c>
      <c r="M118" s="1979">
        <v>0.2</v>
      </c>
      <c r="N118" s="1979">
        <v>0.2</v>
      </c>
      <c r="O118" s="1979">
        <v>0.2</v>
      </c>
      <c r="P118" s="1979">
        <v>0.2</v>
      </c>
      <c r="Q118" s="1979">
        <v>0.2</v>
      </c>
      <c r="R118" s="1979">
        <v>0.2</v>
      </c>
      <c r="S118" s="1979">
        <v>0.2</v>
      </c>
      <c r="T118" s="1979">
        <v>0.2</v>
      </c>
      <c r="U118" s="1979"/>
      <c r="V118" s="1979">
        <v>0.2</v>
      </c>
      <c r="W118" s="1963"/>
      <c r="X118" s="1611"/>
      <c r="Y118" s="1611"/>
      <c r="Z118" s="1512"/>
    </row>
    <row r="119" spans="1:26" s="1505" customFormat="1">
      <c r="A119"/>
      <c r="B119" s="1497">
        <f t="shared" si="23"/>
        <v>2</v>
      </c>
      <c r="C119" s="1541" t="str">
        <f t="shared" si="24"/>
        <v>自然エネルギー利用</v>
      </c>
      <c r="D119" s="1508">
        <f>SUM(D120:D121)</f>
        <v>0.10652741514360316</v>
      </c>
      <c r="E119" s="1508">
        <f>SUM(E120:E121)</f>
        <v>0</v>
      </c>
      <c r="F119" s="1459"/>
      <c r="G119" s="1509">
        <f t="shared" ref="G119:G121" si="26">SUMPRODUCT($M$7:$Y$7,M119:Y119)</f>
        <v>0.10652741514360314</v>
      </c>
      <c r="H119" s="1509">
        <f>(W$7*W119)+(X$7*X119)+(Y$7*Y119)</f>
        <v>0</v>
      </c>
      <c r="I119" s="1542"/>
      <c r="J119" s="1541">
        <v>2</v>
      </c>
      <c r="K119" s="1644" t="s">
        <v>322</v>
      </c>
      <c r="L119" s="1680" t="s">
        <v>688</v>
      </c>
      <c r="M119" s="1979">
        <v>0.1</v>
      </c>
      <c r="N119" s="1979">
        <v>0.1</v>
      </c>
      <c r="O119" s="1979">
        <v>0.1</v>
      </c>
      <c r="P119" s="1979">
        <v>0.1</v>
      </c>
      <c r="Q119" s="1979">
        <v>0.1</v>
      </c>
      <c r="R119" s="1979">
        <v>0.1</v>
      </c>
      <c r="S119" s="1979">
        <v>0.1</v>
      </c>
      <c r="T119" s="1979">
        <v>0.1</v>
      </c>
      <c r="U119" s="2250">
        <v>0.125</v>
      </c>
      <c r="V119" s="1979">
        <v>0.1</v>
      </c>
      <c r="W119" s="1963"/>
      <c r="X119" s="1611"/>
      <c r="Y119" s="1611"/>
      <c r="Z119" s="1512"/>
    </row>
    <row r="120" spans="1:26" s="1505" customFormat="1">
      <c r="A120"/>
      <c r="B120" s="1497" t="str">
        <f t="shared" si="23"/>
        <v>2a</v>
      </c>
      <c r="C120" s="1541" t="str">
        <f t="shared" si="24"/>
        <v>小中学校・集合住宅</v>
      </c>
      <c r="D120" s="1515">
        <f>G$119*G120</f>
        <v>2.2251157210152095E-3</v>
      </c>
      <c r="E120" s="1515">
        <f>H$119*H120</f>
        <v>0</v>
      </c>
      <c r="F120" s="1459"/>
      <c r="G120" s="1516">
        <f>SUMPRODUCT($M$7:$Y$7,M120:Y120)</f>
        <v>2.0887728459530026E-2</v>
      </c>
      <c r="H120" s="1516">
        <f t="shared" ref="H120:H121" si="27">(W$7*W120)+(X$7*X120)+(Y$7*Y120)</f>
        <v>0</v>
      </c>
      <c r="I120" s="1542"/>
      <c r="J120" s="1547" t="s">
        <v>1707</v>
      </c>
      <c r="K120" s="1644" t="s">
        <v>1712</v>
      </c>
      <c r="L120" s="1680" t="s">
        <v>1293</v>
      </c>
      <c r="M120" s="1636"/>
      <c r="N120" s="1636"/>
      <c r="O120" s="1636"/>
      <c r="P120" s="1636"/>
      <c r="Q120" s="1636"/>
      <c r="R120" s="1636"/>
      <c r="S120" s="1636">
        <v>1</v>
      </c>
      <c r="T120" s="1636"/>
      <c r="U120" s="1636"/>
      <c r="V120" s="1636">
        <v>1</v>
      </c>
      <c r="W120" s="1963"/>
      <c r="X120" s="1611"/>
      <c r="Y120" s="1611"/>
      <c r="Z120" s="1512"/>
    </row>
    <row r="121" spans="1:26" s="1505" customFormat="1">
      <c r="A121"/>
      <c r="B121" s="1497" t="str">
        <f t="shared" si="23"/>
        <v>2b</v>
      </c>
      <c r="C121" s="1541" t="str">
        <f t="shared" si="24"/>
        <v>上記以外</v>
      </c>
      <c r="D121" s="1515">
        <f>G$119*G121</f>
        <v>0.10430229942258795</v>
      </c>
      <c r="E121" s="1515">
        <f>H$119*H121</f>
        <v>0</v>
      </c>
      <c r="F121" s="1459"/>
      <c r="G121" s="1516">
        <f t="shared" si="26"/>
        <v>0.97911227154047009</v>
      </c>
      <c r="H121" s="1516">
        <f t="shared" si="27"/>
        <v>0</v>
      </c>
      <c r="I121" s="1542"/>
      <c r="J121" s="1547" t="s">
        <v>1709</v>
      </c>
      <c r="K121" s="1644" t="s">
        <v>1712</v>
      </c>
      <c r="L121" s="1680" t="s">
        <v>1294</v>
      </c>
      <c r="M121" s="1636">
        <v>1</v>
      </c>
      <c r="N121" s="1636">
        <v>1</v>
      </c>
      <c r="O121" s="1636">
        <v>1</v>
      </c>
      <c r="P121" s="1636">
        <v>1</v>
      </c>
      <c r="Q121" s="1636">
        <v>1</v>
      </c>
      <c r="R121" s="1636">
        <v>1</v>
      </c>
      <c r="S121" s="1636"/>
      <c r="T121" s="1636">
        <v>1</v>
      </c>
      <c r="U121" s="1636">
        <v>1</v>
      </c>
      <c r="V121" s="1636"/>
      <c r="W121" s="1963"/>
      <c r="X121" s="1611"/>
      <c r="Y121" s="1611"/>
      <c r="Z121" s="1512"/>
    </row>
    <row r="122" spans="1:26" s="1505" customFormat="1" hidden="1">
      <c r="A122"/>
      <c r="B122" s="1497" t="str">
        <f t="shared" si="23"/>
        <v>2.1</v>
      </c>
      <c r="C122" s="1547" t="str">
        <f t="shared" si="24"/>
        <v>自然エネルギーの直接利用</v>
      </c>
      <c r="D122" s="1515">
        <f>G$119*G121*G122</f>
        <v>0</v>
      </c>
      <c r="E122" s="1515">
        <f>H$119*H121*H122</f>
        <v>0</v>
      </c>
      <c r="F122" s="1459"/>
      <c r="G122" s="1516">
        <f t="shared" si="17"/>
        <v>0</v>
      </c>
      <c r="H122" s="1516">
        <f t="shared" si="18"/>
        <v>0</v>
      </c>
      <c r="I122" s="1544"/>
      <c r="J122" s="1547" t="s">
        <v>1417</v>
      </c>
      <c r="K122" s="1593" t="s">
        <v>323</v>
      </c>
      <c r="L122" s="1637" t="s">
        <v>689</v>
      </c>
      <c r="M122" s="1523"/>
      <c r="N122" s="1523"/>
      <c r="O122" s="1523"/>
      <c r="P122" s="1523"/>
      <c r="Q122" s="1523"/>
      <c r="R122" s="1523"/>
      <c r="S122" s="1523"/>
      <c r="T122" s="1523"/>
      <c r="U122" s="1523"/>
      <c r="V122" s="1523"/>
      <c r="W122" s="1988"/>
      <c r="X122" s="1987"/>
      <c r="Y122" s="1987"/>
      <c r="Z122" s="1512"/>
    </row>
    <row r="123" spans="1:26" s="1505" customFormat="1" hidden="1">
      <c r="A123"/>
      <c r="B123" s="1497" t="str">
        <f t="shared" si="23"/>
        <v>2.2</v>
      </c>
      <c r="C123" s="1547" t="str">
        <f t="shared" si="24"/>
        <v>自然エネルギーの変換利用</v>
      </c>
      <c r="D123" s="1515">
        <f>G$119*G121*G123</f>
        <v>0</v>
      </c>
      <c r="E123" s="1515">
        <f>H$119*H121*H123</f>
        <v>0</v>
      </c>
      <c r="F123" s="1459"/>
      <c r="G123" s="1516">
        <f t="shared" si="17"/>
        <v>0</v>
      </c>
      <c r="H123" s="1516">
        <f t="shared" si="18"/>
        <v>0</v>
      </c>
      <c r="I123" s="1545"/>
      <c r="J123" s="1547" t="s">
        <v>1419</v>
      </c>
      <c r="K123" s="1593" t="s">
        <v>323</v>
      </c>
      <c r="L123" s="1637" t="s">
        <v>690</v>
      </c>
      <c r="M123" s="1523"/>
      <c r="N123" s="1523"/>
      <c r="O123" s="1523"/>
      <c r="P123" s="1523"/>
      <c r="Q123" s="1523"/>
      <c r="R123" s="1523"/>
      <c r="S123" s="1523"/>
      <c r="T123" s="1523"/>
      <c r="U123" s="1523"/>
      <c r="V123" s="1523"/>
      <c r="W123" s="1988"/>
      <c r="X123" s="1987"/>
      <c r="Y123" s="1987"/>
      <c r="Z123" s="1512"/>
    </row>
    <row r="124" spans="1:26" s="1505" customFormat="1">
      <c r="A124"/>
      <c r="B124" s="1497">
        <f t="shared" si="23"/>
        <v>3</v>
      </c>
      <c r="C124" s="1541" t="str">
        <f t="shared" si="24"/>
        <v>設備システムの高効率化</v>
      </c>
      <c r="D124" s="1508">
        <f>SUM(D125:D131)</f>
        <v>0.53263707571801566</v>
      </c>
      <c r="E124" s="1508">
        <f>SUM(E125:E131)</f>
        <v>0</v>
      </c>
      <c r="F124" s="1459"/>
      <c r="G124" s="1509">
        <f t="shared" si="17"/>
        <v>0.53263707571801566</v>
      </c>
      <c r="H124" s="1509">
        <f t="shared" si="18"/>
        <v>0</v>
      </c>
      <c r="I124" s="1542"/>
      <c r="J124" s="1541">
        <v>3</v>
      </c>
      <c r="K124" s="1644" t="s">
        <v>322</v>
      </c>
      <c r="L124" s="1680" t="s">
        <v>691</v>
      </c>
      <c r="M124" s="1979">
        <v>0.5</v>
      </c>
      <c r="N124" s="1979">
        <v>0.5</v>
      </c>
      <c r="O124" s="1979">
        <v>0.5</v>
      </c>
      <c r="P124" s="1979">
        <v>0.5</v>
      </c>
      <c r="Q124" s="1979">
        <v>0.5</v>
      </c>
      <c r="R124" s="1979">
        <v>0.5</v>
      </c>
      <c r="S124" s="1979">
        <v>0.5</v>
      </c>
      <c r="T124" s="1979">
        <v>0.5</v>
      </c>
      <c r="U124" s="2250">
        <v>0.625</v>
      </c>
      <c r="V124" s="1979">
        <v>0.5</v>
      </c>
      <c r="W124" s="1963"/>
      <c r="X124" s="1611"/>
      <c r="Y124" s="1611"/>
      <c r="Z124" s="1512"/>
    </row>
    <row r="125" spans="1:26" s="1505" customFormat="1">
      <c r="A125"/>
      <c r="B125" s="1497" t="str">
        <f t="shared" si="23"/>
        <v>3a.3b</v>
      </c>
      <c r="C125" s="1541" t="str">
        <f t="shared" si="24"/>
        <v>非住宅部分</v>
      </c>
      <c r="D125" s="1515">
        <f>G124*G125</f>
        <v>0.52151149711293965</v>
      </c>
      <c r="E125" s="1515">
        <f>H124*H125</f>
        <v>0</v>
      </c>
      <c r="F125" s="1459"/>
      <c r="G125" s="1516">
        <f t="shared" si="17"/>
        <v>0.97911227154047009</v>
      </c>
      <c r="H125" s="1516">
        <f t="shared" si="18"/>
        <v>0</v>
      </c>
      <c r="I125" s="1542"/>
      <c r="J125" s="1541" t="s">
        <v>1420</v>
      </c>
      <c r="K125" s="1644" t="s">
        <v>1579</v>
      </c>
      <c r="L125" s="1680" t="s">
        <v>1422</v>
      </c>
      <c r="M125" s="1636">
        <v>1</v>
      </c>
      <c r="N125" s="1636">
        <v>1</v>
      </c>
      <c r="O125" s="1636">
        <v>1</v>
      </c>
      <c r="P125" s="1636">
        <v>1</v>
      </c>
      <c r="Q125" s="1636">
        <v>1</v>
      </c>
      <c r="R125" s="1636">
        <v>1</v>
      </c>
      <c r="S125" s="1636"/>
      <c r="T125" s="1636">
        <v>1</v>
      </c>
      <c r="U125" s="1636">
        <v>1</v>
      </c>
      <c r="V125" s="1636">
        <v>1</v>
      </c>
      <c r="W125" s="1963"/>
      <c r="X125" s="1611"/>
      <c r="Y125" s="1611"/>
      <c r="Z125" s="1512"/>
    </row>
    <row r="126" spans="1:26" s="1505" customFormat="1">
      <c r="A126"/>
      <c r="B126" s="1497" t="str">
        <f t="shared" si="23"/>
        <v>3b.c</v>
      </c>
      <c r="C126" s="1541" t="str">
        <f t="shared" si="24"/>
        <v>集合住宅の評価</v>
      </c>
      <c r="D126" s="1515">
        <f>G124*G126</f>
        <v>1.1125578605076045E-2</v>
      </c>
      <c r="E126" s="1515">
        <f>H124*H126</f>
        <v>0</v>
      </c>
      <c r="F126" s="1459"/>
      <c r="G126" s="1516">
        <f>SUMPRODUCT($M$7:$Y$7,M126:Y126)</f>
        <v>2.0887728459530026E-2</v>
      </c>
      <c r="H126" s="1516">
        <f t="shared" si="18"/>
        <v>0</v>
      </c>
      <c r="I126" s="1542"/>
      <c r="J126" s="1541" t="s">
        <v>1423</v>
      </c>
      <c r="K126" s="1644" t="s">
        <v>1579</v>
      </c>
      <c r="L126" s="1680" t="s">
        <v>91</v>
      </c>
      <c r="M126" s="1575"/>
      <c r="N126" s="1575"/>
      <c r="O126" s="1575"/>
      <c r="P126" s="1575"/>
      <c r="Q126" s="1575"/>
      <c r="R126" s="1575"/>
      <c r="S126" s="1636">
        <v>1</v>
      </c>
      <c r="T126" s="1575"/>
      <c r="U126" s="1575"/>
      <c r="V126" s="1636"/>
      <c r="W126" s="1963"/>
      <c r="X126" s="1611"/>
      <c r="Y126" s="1611"/>
      <c r="Z126" s="1512"/>
    </row>
    <row r="127" spans="1:26" hidden="1">
      <c r="B127" s="1497">
        <f t="shared" si="23"/>
        <v>3.1</v>
      </c>
      <c r="C127" s="1547" t="str">
        <f t="shared" si="24"/>
        <v>空調設備</v>
      </c>
      <c r="D127" s="1515"/>
      <c r="E127" s="1515"/>
      <c r="F127" s="1459"/>
      <c r="G127" s="1516">
        <f t="shared" si="17"/>
        <v>0</v>
      </c>
      <c r="H127" s="1516">
        <f t="shared" si="18"/>
        <v>0</v>
      </c>
      <c r="I127" s="1544"/>
      <c r="J127" s="1547">
        <v>3.1</v>
      </c>
      <c r="K127" s="1593" t="s">
        <v>1425</v>
      </c>
      <c r="L127" s="1637" t="s">
        <v>692</v>
      </c>
      <c r="M127" s="1523"/>
      <c r="N127" s="1523"/>
      <c r="O127" s="1523"/>
      <c r="P127" s="1523"/>
      <c r="Q127" s="1523"/>
      <c r="R127" s="1523"/>
      <c r="S127" s="1523"/>
      <c r="T127" s="1524"/>
      <c r="U127" s="1523"/>
      <c r="V127" s="2255">
        <v>0.65</v>
      </c>
      <c r="W127" s="1525"/>
      <c r="X127" s="1523"/>
      <c r="Y127" s="1523"/>
      <c r="Z127" s="1520"/>
    </row>
    <row r="128" spans="1:26" hidden="1">
      <c r="B128" s="1497">
        <f t="shared" si="23"/>
        <v>3.2</v>
      </c>
      <c r="C128" s="1547" t="str">
        <f t="shared" si="24"/>
        <v>換気設備</v>
      </c>
      <c r="D128" s="1515"/>
      <c r="E128" s="1515"/>
      <c r="F128" s="1459"/>
      <c r="G128" s="1516">
        <f t="shared" si="17"/>
        <v>0</v>
      </c>
      <c r="H128" s="1516">
        <f t="shared" si="18"/>
        <v>0</v>
      </c>
      <c r="I128" s="1545"/>
      <c r="J128" s="1547">
        <v>3.2</v>
      </c>
      <c r="K128" s="1593" t="s">
        <v>1425</v>
      </c>
      <c r="L128" s="1637" t="s">
        <v>693</v>
      </c>
      <c r="M128" s="1523"/>
      <c r="N128" s="1523"/>
      <c r="O128" s="1523"/>
      <c r="P128" s="1523"/>
      <c r="Q128" s="1523"/>
      <c r="R128" s="1523"/>
      <c r="S128" s="1523"/>
      <c r="T128" s="1524"/>
      <c r="U128" s="1523"/>
      <c r="V128" s="2255">
        <v>0.1</v>
      </c>
      <c r="W128" s="1525"/>
      <c r="X128" s="1523"/>
      <c r="Y128" s="1523"/>
      <c r="Z128" s="1532"/>
    </row>
    <row r="129" spans="1:26" hidden="1">
      <c r="B129" s="1497">
        <f t="shared" si="23"/>
        <v>3.3</v>
      </c>
      <c r="C129" s="1547" t="str">
        <f t="shared" si="24"/>
        <v>照明設備</v>
      </c>
      <c r="D129" s="1515"/>
      <c r="E129" s="1515"/>
      <c r="F129" s="1459"/>
      <c r="G129" s="1516">
        <f t="shared" si="17"/>
        <v>0</v>
      </c>
      <c r="H129" s="1516">
        <f t="shared" si="18"/>
        <v>0</v>
      </c>
      <c r="I129" s="1544"/>
      <c r="J129" s="1547">
        <v>3.3</v>
      </c>
      <c r="K129" s="1593" t="s">
        <v>1425</v>
      </c>
      <c r="L129" s="1637" t="s">
        <v>694</v>
      </c>
      <c r="M129" s="1523"/>
      <c r="N129" s="1523"/>
      <c r="O129" s="1523"/>
      <c r="P129" s="1523"/>
      <c r="Q129" s="1523"/>
      <c r="R129" s="1523"/>
      <c r="S129" s="1523"/>
      <c r="T129" s="1524"/>
      <c r="U129" s="1523"/>
      <c r="V129" s="2255">
        <v>0.2</v>
      </c>
      <c r="W129" s="1525"/>
      <c r="X129" s="1523"/>
      <c r="Y129" s="1523"/>
      <c r="Z129" s="1520"/>
    </row>
    <row r="130" spans="1:26" hidden="1">
      <c r="B130" s="1497">
        <f t="shared" si="23"/>
        <v>3.4</v>
      </c>
      <c r="C130" s="1547" t="str">
        <f t="shared" si="24"/>
        <v>給湯設備</v>
      </c>
      <c r="D130" s="1515"/>
      <c r="E130" s="1515"/>
      <c r="F130" s="1459"/>
      <c r="G130" s="1516">
        <f t="shared" si="17"/>
        <v>0</v>
      </c>
      <c r="H130" s="1516">
        <f t="shared" si="18"/>
        <v>0</v>
      </c>
      <c r="I130" s="1545"/>
      <c r="J130" s="1992">
        <v>3.4</v>
      </c>
      <c r="K130" s="1593" t="s">
        <v>1425</v>
      </c>
      <c r="L130" s="1637" t="s">
        <v>324</v>
      </c>
      <c r="M130" s="1523"/>
      <c r="N130" s="1523"/>
      <c r="O130" s="1523"/>
      <c r="P130" s="1523"/>
      <c r="Q130" s="1523"/>
      <c r="R130" s="1523"/>
      <c r="S130" s="1523"/>
      <c r="T130" s="1524"/>
      <c r="U130" s="1523"/>
      <c r="V130" s="2255">
        <v>0.05</v>
      </c>
      <c r="W130" s="1525"/>
      <c r="X130" s="1523"/>
      <c r="Y130" s="1523"/>
      <c r="Z130" s="1532"/>
    </row>
    <row r="131" spans="1:26" hidden="1">
      <c r="B131" s="1497">
        <f t="shared" si="23"/>
        <v>3.5</v>
      </c>
      <c r="C131" s="1547" t="str">
        <f t="shared" si="24"/>
        <v>昇降機設備</v>
      </c>
      <c r="D131" s="1515"/>
      <c r="E131" s="1515"/>
      <c r="F131" s="1459"/>
      <c r="G131" s="1516">
        <f t="shared" si="17"/>
        <v>0</v>
      </c>
      <c r="H131" s="1516">
        <f t="shared" si="18"/>
        <v>0</v>
      </c>
      <c r="I131" s="1545"/>
      <c r="J131" s="1992">
        <v>3.5</v>
      </c>
      <c r="K131" s="1593" t="s">
        <v>1425</v>
      </c>
      <c r="L131" s="1637" t="s">
        <v>695</v>
      </c>
      <c r="M131" s="1523"/>
      <c r="N131" s="1523"/>
      <c r="O131" s="1523"/>
      <c r="P131" s="1523"/>
      <c r="Q131" s="1523"/>
      <c r="R131" s="1523"/>
      <c r="S131" s="1523"/>
      <c r="T131" s="1524"/>
      <c r="U131" s="1523"/>
      <c r="V131" s="1523"/>
      <c r="W131" s="1525"/>
      <c r="X131" s="1523"/>
      <c r="Y131" s="1523"/>
      <c r="Z131" s="1532"/>
    </row>
    <row r="132" spans="1:26">
      <c r="B132" s="1497">
        <f t="shared" si="23"/>
        <v>3</v>
      </c>
      <c r="C132" s="1547" t="str">
        <f t="shared" si="24"/>
        <v>実績値を用いた総合評価</v>
      </c>
      <c r="D132" s="1515">
        <f>D125</f>
        <v>0.52151149711293965</v>
      </c>
      <c r="E132" s="1515"/>
      <c r="F132" s="1459"/>
      <c r="G132" s="1516">
        <f t="shared" si="17"/>
        <v>0.71801566579634468</v>
      </c>
      <c r="H132" s="1516">
        <f t="shared" si="18"/>
        <v>0</v>
      </c>
      <c r="I132" s="1545"/>
      <c r="J132" s="1992">
        <v>3</v>
      </c>
      <c r="K132" s="2256" t="s">
        <v>1580</v>
      </c>
      <c r="L132" s="1680" t="s">
        <v>1565</v>
      </c>
      <c r="M132" s="1523">
        <v>1</v>
      </c>
      <c r="N132" s="1523">
        <v>1</v>
      </c>
      <c r="O132" s="1523">
        <v>1</v>
      </c>
      <c r="P132" s="1523">
        <v>1</v>
      </c>
      <c r="Q132" s="1523">
        <v>1</v>
      </c>
      <c r="R132" s="1523">
        <v>1</v>
      </c>
      <c r="S132" s="1523"/>
      <c r="T132" s="1523">
        <v>1</v>
      </c>
      <c r="U132" s="1523"/>
      <c r="V132" s="1523">
        <v>1</v>
      </c>
      <c r="W132" s="1525"/>
      <c r="X132" s="1523"/>
      <c r="Y132" s="1523"/>
      <c r="Z132" s="1532"/>
    </row>
    <row r="133" spans="1:26" s="1505" customFormat="1">
      <c r="A133"/>
      <c r="B133" s="1497">
        <f t="shared" si="23"/>
        <v>4</v>
      </c>
      <c r="C133" s="1541" t="str">
        <f t="shared" si="24"/>
        <v>効率的運用</v>
      </c>
      <c r="D133" s="1508">
        <f>SUM(D134:D139)</f>
        <v>0.20434027785503192</v>
      </c>
      <c r="E133" s="1508">
        <f>SUM(E134:E139)</f>
        <v>0</v>
      </c>
      <c r="F133" s="1459"/>
      <c r="G133" s="1509">
        <f t="shared" si="17"/>
        <v>0.21305483028720629</v>
      </c>
      <c r="H133" s="1509">
        <f t="shared" si="18"/>
        <v>0</v>
      </c>
      <c r="I133" s="1542"/>
      <c r="J133" s="1573">
        <v>4</v>
      </c>
      <c r="K133" s="1644" t="s">
        <v>322</v>
      </c>
      <c r="L133" s="1680" t="s">
        <v>696</v>
      </c>
      <c r="M133" s="1979">
        <v>0.2</v>
      </c>
      <c r="N133" s="1979">
        <v>0.2</v>
      </c>
      <c r="O133" s="1979">
        <v>0.2</v>
      </c>
      <c r="P133" s="1979">
        <v>0.2</v>
      </c>
      <c r="Q133" s="1979">
        <v>0.2</v>
      </c>
      <c r="R133" s="1979">
        <v>0.2</v>
      </c>
      <c r="S133" s="1979">
        <v>0.2</v>
      </c>
      <c r="T133" s="1979">
        <v>0.2</v>
      </c>
      <c r="U133" s="1979">
        <v>0.25</v>
      </c>
      <c r="V133" s="1979">
        <v>0.2</v>
      </c>
      <c r="W133" s="1963"/>
      <c r="X133" s="1611"/>
      <c r="Y133" s="1611"/>
      <c r="Z133" s="1512"/>
    </row>
    <row r="134" spans="1:26">
      <c r="B134" s="1497">
        <f t="shared" si="23"/>
        <v>4.0999999999999996</v>
      </c>
      <c r="C134" s="1547" t="str">
        <f t="shared" si="24"/>
        <v>住宅以外の評価</v>
      </c>
      <c r="D134" s="1515"/>
      <c r="E134" s="1515"/>
      <c r="F134" s="1459"/>
      <c r="G134" s="1516">
        <f>SUMPRODUCT($M$7:$Y$7,M134:Y134)</f>
        <v>0.97911227154047009</v>
      </c>
      <c r="H134" s="1516">
        <f t="shared" si="18"/>
        <v>0</v>
      </c>
      <c r="I134" s="1577"/>
      <c r="J134" s="1547">
        <v>4.0999999999999996</v>
      </c>
      <c r="K134" s="1593" t="s">
        <v>325</v>
      </c>
      <c r="L134" s="1637" t="s">
        <v>1426</v>
      </c>
      <c r="M134" s="1523">
        <v>1</v>
      </c>
      <c r="N134" s="1523">
        <v>1</v>
      </c>
      <c r="O134" s="1523">
        <v>1</v>
      </c>
      <c r="P134" s="1523">
        <v>1</v>
      </c>
      <c r="Q134" s="1523">
        <v>1</v>
      </c>
      <c r="R134" s="1523">
        <v>1</v>
      </c>
      <c r="S134" s="1523"/>
      <c r="T134" s="1523">
        <v>1</v>
      </c>
      <c r="U134" s="1523">
        <v>1</v>
      </c>
      <c r="V134" s="1523">
        <v>1</v>
      </c>
      <c r="W134" s="1525"/>
      <c r="X134" s="1987"/>
      <c r="Y134" s="1987"/>
      <c r="Z134" s="1578"/>
    </row>
    <row r="135" spans="1:26">
      <c r="B135" s="1497" t="str">
        <f t="shared" ref="B135:B139" si="28">J135</f>
        <v>4.1.1</v>
      </c>
      <c r="C135" s="1547" t="str">
        <f t="shared" ref="C135:C139" si="29">L135</f>
        <v>モニタリング</v>
      </c>
      <c r="D135" s="1515">
        <f>G$133*G$134*G135</f>
        <v>0.10212366131454435</v>
      </c>
      <c r="E135" s="1515">
        <f>H$133*H$134*H135</f>
        <v>0</v>
      </c>
      <c r="F135" s="1459"/>
      <c r="G135" s="1516">
        <f>SUMPRODUCT($M$7:$Y$7,M135:Y135)</f>
        <v>0.48955613577023505</v>
      </c>
      <c r="H135" s="1516">
        <f t="shared" si="18"/>
        <v>0</v>
      </c>
      <c r="I135" s="1577"/>
      <c r="J135" s="1547" t="s">
        <v>1427</v>
      </c>
      <c r="K135" s="1593" t="s">
        <v>1429</v>
      </c>
      <c r="L135" s="1637" t="s">
        <v>1430</v>
      </c>
      <c r="M135" s="1523">
        <v>0.5</v>
      </c>
      <c r="N135" s="1523">
        <v>0.5</v>
      </c>
      <c r="O135" s="1523">
        <v>0.5</v>
      </c>
      <c r="P135" s="1523">
        <v>0.5</v>
      </c>
      <c r="Q135" s="1523">
        <v>0.5</v>
      </c>
      <c r="R135" s="1523">
        <v>0.5</v>
      </c>
      <c r="S135" s="1523"/>
      <c r="T135" s="1523">
        <v>0.5</v>
      </c>
      <c r="U135" s="1523">
        <v>0.5</v>
      </c>
      <c r="V135" s="1523">
        <v>0.5</v>
      </c>
      <c r="W135" s="1525"/>
      <c r="X135" s="1987"/>
      <c r="Y135" s="1987"/>
      <c r="Z135" s="1578"/>
    </row>
    <row r="136" spans="1:26">
      <c r="B136" s="1497" t="str">
        <f t="shared" si="28"/>
        <v>4.1.2</v>
      </c>
      <c r="C136" s="1547" t="str">
        <f t="shared" si="29"/>
        <v>運用管理体制</v>
      </c>
      <c r="D136" s="1515">
        <f>G$133*G$134*G136</f>
        <v>0.10212366131454435</v>
      </c>
      <c r="E136" s="1515">
        <f>H$133*H$134*H136</f>
        <v>0</v>
      </c>
      <c r="F136" s="1459"/>
      <c r="G136" s="1516">
        <f t="shared" si="17"/>
        <v>0.48955613577023505</v>
      </c>
      <c r="H136" s="1516">
        <f t="shared" si="18"/>
        <v>0</v>
      </c>
      <c r="I136" s="1577"/>
      <c r="J136" s="1547" t="s">
        <v>1431</v>
      </c>
      <c r="K136" s="1593" t="s">
        <v>1429</v>
      </c>
      <c r="L136" s="1964" t="s">
        <v>697</v>
      </c>
      <c r="M136" s="1523">
        <v>0.5</v>
      </c>
      <c r="N136" s="1523">
        <v>0.5</v>
      </c>
      <c r="O136" s="1523">
        <v>0.5</v>
      </c>
      <c r="P136" s="1523">
        <v>0.5</v>
      </c>
      <c r="Q136" s="1523">
        <v>0.5</v>
      </c>
      <c r="R136" s="1523">
        <v>0.5</v>
      </c>
      <c r="S136" s="1523"/>
      <c r="T136" s="1523">
        <v>0.5</v>
      </c>
      <c r="U136" s="1523">
        <v>0.5</v>
      </c>
      <c r="V136" s="1523">
        <v>0.5</v>
      </c>
      <c r="W136" s="1525"/>
      <c r="X136" s="1987"/>
      <c r="Y136" s="1987"/>
      <c r="Z136" s="1578"/>
    </row>
    <row r="137" spans="1:26" s="1580" customFormat="1">
      <c r="A137"/>
      <c r="B137" s="1497">
        <f t="shared" si="28"/>
        <v>4.2</v>
      </c>
      <c r="C137" s="1547" t="str">
        <f t="shared" si="29"/>
        <v>住宅の評価</v>
      </c>
      <c r="D137" s="1515"/>
      <c r="E137" s="1515"/>
      <c r="F137" s="1459"/>
      <c r="G137" s="1516">
        <f>SUMPRODUCT($M$7:$Y$7,M137:Y137)</f>
        <v>2.0887728459530026E-2</v>
      </c>
      <c r="H137" s="1516">
        <f t="shared" si="18"/>
        <v>0</v>
      </c>
      <c r="I137" s="1577"/>
      <c r="J137" s="1547">
        <v>4.2</v>
      </c>
      <c r="K137" s="1593" t="s">
        <v>325</v>
      </c>
      <c r="L137" s="1964" t="s">
        <v>1432</v>
      </c>
      <c r="M137" s="1523"/>
      <c r="N137" s="1523"/>
      <c r="O137" s="1523"/>
      <c r="P137" s="1523"/>
      <c r="Q137" s="1523"/>
      <c r="R137" s="1523"/>
      <c r="S137" s="1523">
        <v>1</v>
      </c>
      <c r="T137" s="1524"/>
      <c r="U137" s="1523"/>
      <c r="V137" s="1523"/>
      <c r="W137" s="1525"/>
      <c r="X137" s="1987"/>
      <c r="Y137" s="1987"/>
      <c r="Z137" s="1578"/>
    </row>
    <row r="138" spans="1:26" s="1580" customFormat="1">
      <c r="A138"/>
      <c r="B138" s="1497" t="str">
        <f t="shared" si="28"/>
        <v>4.2.1</v>
      </c>
      <c r="C138" s="1547" t="str">
        <f t="shared" si="29"/>
        <v>住まい方の提示</v>
      </c>
      <c r="D138" s="1515">
        <f>G$133*G$137*G138</f>
        <v>4.6477612971597067E-5</v>
      </c>
      <c r="E138" s="1515">
        <f>H$133*H$137*H138</f>
        <v>0</v>
      </c>
      <c r="F138" s="1459"/>
      <c r="G138" s="1516">
        <f>SUMPRODUCT($M$7:$Y$7,M138:Y138)</f>
        <v>1.0443864229765013E-2</v>
      </c>
      <c r="H138" s="1516">
        <f t="shared" si="18"/>
        <v>0</v>
      </c>
      <c r="I138" s="1577"/>
      <c r="J138" s="1547" t="s">
        <v>1351</v>
      </c>
      <c r="K138" s="1593" t="s">
        <v>1435</v>
      </c>
      <c r="L138" s="1964" t="s">
        <v>1567</v>
      </c>
      <c r="M138" s="1523"/>
      <c r="N138" s="1523"/>
      <c r="O138" s="1523"/>
      <c r="P138" s="1523"/>
      <c r="Q138" s="1523"/>
      <c r="R138" s="1523"/>
      <c r="S138" s="1523">
        <v>0.5</v>
      </c>
      <c r="T138" s="1524"/>
      <c r="U138" s="1523"/>
      <c r="V138" s="1523"/>
      <c r="W138" s="1525"/>
      <c r="X138" s="1987"/>
      <c r="Y138" s="1987"/>
      <c r="Z138" s="1578"/>
    </row>
    <row r="139" spans="1:26" s="1580" customFormat="1">
      <c r="A139"/>
      <c r="B139" s="1497" t="str">
        <f t="shared" si="28"/>
        <v>4.2.2</v>
      </c>
      <c r="C139" s="1547" t="str">
        <f t="shared" si="29"/>
        <v>エネルギーの管理と制御</v>
      </c>
      <c r="D139" s="1515">
        <f>G$133*G$137*G139</f>
        <v>4.6477612971597067E-5</v>
      </c>
      <c r="E139" s="1515">
        <f>H$133*H$137*H139</f>
        <v>0</v>
      </c>
      <c r="F139" s="1459"/>
      <c r="G139" s="1516">
        <f t="shared" si="17"/>
        <v>1.0443864229765013E-2</v>
      </c>
      <c r="H139" s="1516">
        <f t="shared" si="18"/>
        <v>0</v>
      </c>
      <c r="I139" s="1577"/>
      <c r="J139" s="1547" t="s">
        <v>1353</v>
      </c>
      <c r="K139" s="1593" t="s">
        <v>1435</v>
      </c>
      <c r="L139" s="1964" t="s">
        <v>1568</v>
      </c>
      <c r="M139" s="1523"/>
      <c r="N139" s="1523"/>
      <c r="O139" s="1523"/>
      <c r="P139" s="1523"/>
      <c r="Q139" s="1523"/>
      <c r="R139" s="1523"/>
      <c r="S139" s="1523">
        <v>0.5</v>
      </c>
      <c r="T139" s="1524"/>
      <c r="U139" s="1523"/>
      <c r="V139" s="1523"/>
      <c r="W139" s="1525"/>
      <c r="X139" s="1987"/>
      <c r="Y139" s="1987"/>
      <c r="Z139" s="1578"/>
    </row>
    <row r="140" spans="1:26" s="1505" customFormat="1">
      <c r="A140"/>
      <c r="B140" s="1497" t="str">
        <f t="shared" si="23"/>
        <v>LR2</v>
      </c>
      <c r="C140" s="1497" t="str">
        <f t="shared" si="24"/>
        <v>資源・マテリアル</v>
      </c>
      <c r="D140" s="1499">
        <f>G140</f>
        <v>0.3</v>
      </c>
      <c r="E140" s="1499">
        <f>H140</f>
        <v>0</v>
      </c>
      <c r="F140" s="1459"/>
      <c r="G140" s="1500">
        <f t="shared" si="17"/>
        <v>0.3</v>
      </c>
      <c r="H140" s="1500">
        <f t="shared" si="18"/>
        <v>0</v>
      </c>
      <c r="I140" s="1501"/>
      <c r="J140" s="1498" t="s">
        <v>1438</v>
      </c>
      <c r="K140" s="1994" t="s">
        <v>1412</v>
      </c>
      <c r="L140" s="1958" t="s">
        <v>1439</v>
      </c>
      <c r="M140" s="1960">
        <v>0.3</v>
      </c>
      <c r="N140" s="1960">
        <v>0.3</v>
      </c>
      <c r="O140" s="1960">
        <v>0.3</v>
      </c>
      <c r="P140" s="1960">
        <v>0.3</v>
      </c>
      <c r="Q140" s="1960">
        <v>0.3</v>
      </c>
      <c r="R140" s="1960">
        <v>0.3</v>
      </c>
      <c r="S140" s="1960">
        <v>0.3</v>
      </c>
      <c r="T140" s="1995">
        <v>0.3</v>
      </c>
      <c r="U140" s="1960">
        <v>0.3</v>
      </c>
      <c r="V140" s="1960">
        <v>0.3</v>
      </c>
      <c r="W140" s="1996"/>
      <c r="X140" s="1997"/>
      <c r="Y140" s="1997"/>
      <c r="Z140" s="1585"/>
    </row>
    <row r="141" spans="1:26" s="1505" customFormat="1">
      <c r="A141"/>
      <c r="B141" s="1497">
        <f t="shared" si="23"/>
        <v>1</v>
      </c>
      <c r="C141" s="1541" t="str">
        <f t="shared" si="24"/>
        <v>水資源保護</v>
      </c>
      <c r="D141" s="1508">
        <f>SUM(D142:D145)</f>
        <v>0.20000000000000004</v>
      </c>
      <c r="E141" s="1508">
        <f>SUM(E142:E145)</f>
        <v>0</v>
      </c>
      <c r="F141" s="1459"/>
      <c r="G141" s="1509">
        <f t="shared" si="17"/>
        <v>0.20000000000000004</v>
      </c>
      <c r="H141" s="1509">
        <f t="shared" si="18"/>
        <v>0</v>
      </c>
      <c r="I141" s="1501"/>
      <c r="J141" s="1573">
        <v>1</v>
      </c>
      <c r="K141" s="1644" t="s">
        <v>326</v>
      </c>
      <c r="L141" s="1680" t="s">
        <v>700</v>
      </c>
      <c r="M141" s="1611">
        <v>0.2</v>
      </c>
      <c r="N141" s="1611">
        <v>0.2</v>
      </c>
      <c r="O141" s="1611">
        <v>0.2</v>
      </c>
      <c r="P141" s="1611">
        <v>0.2</v>
      </c>
      <c r="Q141" s="1611">
        <v>0.2</v>
      </c>
      <c r="R141" s="1611">
        <v>0.2</v>
      </c>
      <c r="S141" s="1611">
        <v>0.2</v>
      </c>
      <c r="T141" s="1983">
        <v>0.2</v>
      </c>
      <c r="U141" s="1611">
        <v>0.2</v>
      </c>
      <c r="V141" s="1611">
        <v>0.2</v>
      </c>
      <c r="W141" s="1998"/>
      <c r="X141" s="1999"/>
      <c r="Y141" s="1999"/>
      <c r="Z141" s="1585"/>
    </row>
    <row r="142" spans="1:26">
      <c r="B142" s="1497">
        <f t="shared" ref="B142:B173" si="30">J142</f>
        <v>1.1000000000000001</v>
      </c>
      <c r="C142" s="1514" t="str">
        <f t="shared" ref="C142:C173" si="31">L142</f>
        <v>節水</v>
      </c>
      <c r="D142" s="1515">
        <f>G$141*G142</f>
        <v>8.0000000000000029E-2</v>
      </c>
      <c r="E142" s="1515">
        <f>H$141*H142</f>
        <v>0</v>
      </c>
      <c r="F142" s="1459"/>
      <c r="G142" s="1516">
        <f t="shared" ref="G142:G180" si="32">SUMPRODUCT($M$7:$Y$7,M142:Y142)</f>
        <v>0.40000000000000008</v>
      </c>
      <c r="H142" s="1516">
        <f t="shared" ref="H142:H180" si="33">(W$7*W142)+(X$7*X142)+(Y$7*Y142)</f>
        <v>0</v>
      </c>
      <c r="I142" s="1471"/>
      <c r="J142" s="1547">
        <v>1.1000000000000001</v>
      </c>
      <c r="K142" s="1593" t="s">
        <v>327</v>
      </c>
      <c r="L142" s="1964" t="s">
        <v>701</v>
      </c>
      <c r="M142" s="1523">
        <v>0.4</v>
      </c>
      <c r="N142" s="1523">
        <v>0.4</v>
      </c>
      <c r="O142" s="1523">
        <v>0.4</v>
      </c>
      <c r="P142" s="1523">
        <v>0.4</v>
      </c>
      <c r="Q142" s="1523">
        <v>0.4</v>
      </c>
      <c r="R142" s="1523">
        <v>0.4</v>
      </c>
      <c r="S142" s="1523">
        <v>0.4</v>
      </c>
      <c r="T142" s="1524">
        <v>0.4</v>
      </c>
      <c r="U142" s="1523">
        <v>0.4</v>
      </c>
      <c r="V142" s="1523">
        <v>0.4</v>
      </c>
      <c r="W142" s="1770"/>
      <c r="X142" s="1615"/>
      <c r="Y142" s="1615"/>
    </row>
    <row r="143" spans="1:26">
      <c r="B143" s="1497">
        <f t="shared" si="30"/>
        <v>1.2</v>
      </c>
      <c r="C143" s="1547" t="str">
        <f t="shared" si="31"/>
        <v>雨水利用・雑排水再利用</v>
      </c>
      <c r="D143" s="1515"/>
      <c r="E143" s="1515"/>
      <c r="F143" s="1459"/>
      <c r="G143" s="1516">
        <f t="shared" si="32"/>
        <v>0.6</v>
      </c>
      <c r="H143" s="1516">
        <f t="shared" si="33"/>
        <v>0</v>
      </c>
      <c r="I143" s="1471"/>
      <c r="J143" s="1992">
        <v>1.2</v>
      </c>
      <c r="K143" s="1593" t="s">
        <v>327</v>
      </c>
      <c r="L143" s="1637" t="s">
        <v>702</v>
      </c>
      <c r="M143" s="1523">
        <v>0.6</v>
      </c>
      <c r="N143" s="1523">
        <v>0.6</v>
      </c>
      <c r="O143" s="1523">
        <v>0.6</v>
      </c>
      <c r="P143" s="1523">
        <v>0.6</v>
      </c>
      <c r="Q143" s="1523">
        <v>0.6</v>
      </c>
      <c r="R143" s="1523">
        <v>0.6</v>
      </c>
      <c r="S143" s="1523">
        <v>0.6</v>
      </c>
      <c r="T143" s="1524">
        <v>0.6</v>
      </c>
      <c r="U143" s="1523">
        <v>0.6</v>
      </c>
      <c r="V143" s="1523">
        <v>0.6</v>
      </c>
      <c r="W143" s="1770"/>
      <c r="X143" s="1615"/>
      <c r="Y143" s="1615"/>
    </row>
    <row r="144" spans="1:26">
      <c r="B144" s="1497" t="str">
        <f t="shared" si="30"/>
        <v>1.2.1</v>
      </c>
      <c r="C144" s="1514" t="str">
        <f t="shared" si="31"/>
        <v>雨水利用システム導入の有無</v>
      </c>
      <c r="D144" s="1515">
        <f>G$141*G$143*G144</f>
        <v>8.4000000000000019E-2</v>
      </c>
      <c r="E144" s="1515">
        <f>H$141*H$143*H144</f>
        <v>0</v>
      </c>
      <c r="F144" s="1459"/>
      <c r="G144" s="1516">
        <f t="shared" si="32"/>
        <v>0.70000000000000007</v>
      </c>
      <c r="H144" s="1516">
        <f t="shared" si="33"/>
        <v>0</v>
      </c>
      <c r="I144" s="1471"/>
      <c r="J144" s="1547" t="s">
        <v>1367</v>
      </c>
      <c r="K144" s="1593" t="s">
        <v>328</v>
      </c>
      <c r="L144" s="1964" t="s">
        <v>1440</v>
      </c>
      <c r="M144" s="1523">
        <v>0.7</v>
      </c>
      <c r="N144" s="1523">
        <v>0.7</v>
      </c>
      <c r="O144" s="1523">
        <v>0.7</v>
      </c>
      <c r="P144" s="1523">
        <v>0.7</v>
      </c>
      <c r="Q144" s="1523">
        <v>0.7</v>
      </c>
      <c r="R144" s="1523">
        <v>0.7</v>
      </c>
      <c r="S144" s="1523">
        <v>0.7</v>
      </c>
      <c r="T144" s="1524">
        <v>0.7</v>
      </c>
      <c r="U144" s="1523">
        <v>0.7</v>
      </c>
      <c r="V144" s="1523">
        <v>0.7</v>
      </c>
      <c r="W144" s="1770"/>
      <c r="X144" s="1615"/>
      <c r="Y144" s="1615"/>
    </row>
    <row r="145" spans="1:26">
      <c r="B145" s="1497" t="str">
        <f t="shared" si="30"/>
        <v>1.2.2</v>
      </c>
      <c r="C145" s="1514" t="str">
        <f t="shared" si="31"/>
        <v>雑排水等再利用システム導入の有無</v>
      </c>
      <c r="D145" s="1515">
        <f>G$141*G$143*G145</f>
        <v>3.6000000000000004E-2</v>
      </c>
      <c r="E145" s="1515">
        <f>H$141*H$143*H145</f>
        <v>0</v>
      </c>
      <c r="F145" s="1459"/>
      <c r="G145" s="1516">
        <f t="shared" si="32"/>
        <v>0.3</v>
      </c>
      <c r="H145" s="1516">
        <f t="shared" si="33"/>
        <v>0</v>
      </c>
      <c r="I145" s="1471"/>
      <c r="J145" s="1547" t="s">
        <v>1368</v>
      </c>
      <c r="K145" s="1593" t="s">
        <v>328</v>
      </c>
      <c r="L145" s="1964" t="s">
        <v>847</v>
      </c>
      <c r="M145" s="1523">
        <v>0.3</v>
      </c>
      <c r="N145" s="1523">
        <v>0.3</v>
      </c>
      <c r="O145" s="1523">
        <v>0.3</v>
      </c>
      <c r="P145" s="1523">
        <v>0.3</v>
      </c>
      <c r="Q145" s="1523">
        <v>0.3</v>
      </c>
      <c r="R145" s="1523">
        <v>0.3</v>
      </c>
      <c r="S145" s="1523">
        <v>0.3</v>
      </c>
      <c r="T145" s="1524">
        <v>0.3</v>
      </c>
      <c r="U145" s="1523">
        <v>0.3</v>
      </c>
      <c r="V145" s="1523">
        <v>0.3</v>
      </c>
      <c r="W145" s="1770"/>
      <c r="X145" s="1615"/>
      <c r="Y145" s="1615"/>
    </row>
    <row r="146" spans="1:26" s="1505" customFormat="1">
      <c r="A146"/>
      <c r="B146" s="1497">
        <f t="shared" si="30"/>
        <v>2</v>
      </c>
      <c r="C146" s="1589" t="str">
        <f t="shared" si="31"/>
        <v>非再生性資源の使用量削減</v>
      </c>
      <c r="D146" s="1508">
        <f>SUM(D147:D152)</f>
        <v>0.60000000000000009</v>
      </c>
      <c r="E146" s="1508">
        <f>SUM(E147:E152)</f>
        <v>0</v>
      </c>
      <c r="F146" s="1459"/>
      <c r="G146" s="1509">
        <f t="shared" si="32"/>
        <v>0.6</v>
      </c>
      <c r="H146" s="1509">
        <f t="shared" si="33"/>
        <v>0</v>
      </c>
      <c r="I146" s="1501"/>
      <c r="J146" s="1541">
        <v>2</v>
      </c>
      <c r="K146" s="1644" t="s">
        <v>326</v>
      </c>
      <c r="L146" s="1687" t="s">
        <v>706</v>
      </c>
      <c r="M146" s="1611">
        <v>0.6</v>
      </c>
      <c r="N146" s="1611">
        <v>0.6</v>
      </c>
      <c r="O146" s="1611">
        <v>0.6</v>
      </c>
      <c r="P146" s="1611">
        <v>0.6</v>
      </c>
      <c r="Q146" s="1611">
        <v>0.6</v>
      </c>
      <c r="R146" s="1611">
        <v>0.6</v>
      </c>
      <c r="S146" s="1611">
        <v>0.6</v>
      </c>
      <c r="T146" s="1611">
        <v>0.6</v>
      </c>
      <c r="U146" s="1611">
        <v>0.6</v>
      </c>
      <c r="V146" s="1611">
        <v>0.6</v>
      </c>
      <c r="W146" s="1998"/>
      <c r="X146" s="1999"/>
      <c r="Y146" s="1999"/>
      <c r="Z146" s="1585"/>
    </row>
    <row r="147" spans="1:26">
      <c r="B147" s="1497" t="str">
        <f t="shared" si="30"/>
        <v>2.1</v>
      </c>
      <c r="C147" s="1547" t="str">
        <f t="shared" si="31"/>
        <v>材料使用量の削減</v>
      </c>
      <c r="D147" s="1515">
        <f>G$146*G147</f>
        <v>6.0000000000000012E-2</v>
      </c>
      <c r="E147" s="1515">
        <f>H$146*H147</f>
        <v>0</v>
      </c>
      <c r="F147" s="1459"/>
      <c r="G147" s="1516">
        <f t="shared" si="32"/>
        <v>0.10000000000000002</v>
      </c>
      <c r="H147" s="1516">
        <f t="shared" si="33"/>
        <v>0</v>
      </c>
      <c r="I147" s="1471"/>
      <c r="J147" s="1547" t="s">
        <v>1417</v>
      </c>
      <c r="K147" s="1644" t="s">
        <v>329</v>
      </c>
      <c r="L147" s="1964" t="s">
        <v>707</v>
      </c>
      <c r="M147" s="1987">
        <v>0.1</v>
      </c>
      <c r="N147" s="1987">
        <v>0.1</v>
      </c>
      <c r="O147" s="1987">
        <v>0.1</v>
      </c>
      <c r="P147" s="1987">
        <v>0.1</v>
      </c>
      <c r="Q147" s="1987">
        <v>0.1</v>
      </c>
      <c r="R147" s="1987">
        <v>0.1</v>
      </c>
      <c r="S147" s="1987">
        <v>0.1</v>
      </c>
      <c r="T147" s="1987">
        <v>0.1</v>
      </c>
      <c r="U147" s="1987">
        <v>0.1</v>
      </c>
      <c r="V147" s="1987">
        <v>0.1</v>
      </c>
      <c r="W147" s="2000"/>
      <c r="X147" s="1999"/>
      <c r="Y147" s="1999"/>
    </row>
    <row r="148" spans="1:26">
      <c r="B148" s="1497" t="str">
        <f t="shared" si="30"/>
        <v>2.2</v>
      </c>
      <c r="C148" s="1547" t="str">
        <f t="shared" si="31"/>
        <v>既存建築躯体等の継続使用</v>
      </c>
      <c r="D148" s="1515">
        <f>G$146*G148</f>
        <v>0.12000000000000002</v>
      </c>
      <c r="E148" s="1515">
        <f>H$146*H$147*H148</f>
        <v>0</v>
      </c>
      <c r="F148" s="1459"/>
      <c r="G148" s="1516">
        <f t="shared" si="32"/>
        <v>0.20000000000000004</v>
      </c>
      <c r="H148" s="1516">
        <f t="shared" si="33"/>
        <v>0</v>
      </c>
      <c r="I148" s="1471"/>
      <c r="J148" s="1547" t="s">
        <v>1419</v>
      </c>
      <c r="K148" s="1593" t="s">
        <v>329</v>
      </c>
      <c r="L148" s="1637" t="s">
        <v>708</v>
      </c>
      <c r="M148" s="1523">
        <v>0.2</v>
      </c>
      <c r="N148" s="1523">
        <v>0.2</v>
      </c>
      <c r="O148" s="1523">
        <v>0.2</v>
      </c>
      <c r="P148" s="1523">
        <v>0.2</v>
      </c>
      <c r="Q148" s="1523">
        <v>0.2</v>
      </c>
      <c r="R148" s="1523">
        <v>0.2</v>
      </c>
      <c r="S148" s="1523">
        <v>0.2</v>
      </c>
      <c r="T148" s="1523">
        <v>0.2</v>
      </c>
      <c r="U148" s="1523">
        <v>0.2</v>
      </c>
      <c r="V148" s="1523">
        <v>0.2</v>
      </c>
      <c r="W148" s="1770"/>
      <c r="X148" s="1615"/>
      <c r="Y148" s="1615"/>
    </row>
    <row r="149" spans="1:26">
      <c r="B149" s="1497" t="str">
        <f t="shared" si="30"/>
        <v>2.3</v>
      </c>
      <c r="C149" s="1547" t="str">
        <f t="shared" si="31"/>
        <v>躯体材料におけるリサイクル材の使用</v>
      </c>
      <c r="D149" s="1515">
        <f>G$146*G149</f>
        <v>0.12000000000000002</v>
      </c>
      <c r="E149" s="1515">
        <f>H$146*H$147*H149</f>
        <v>0</v>
      </c>
      <c r="F149" s="1459"/>
      <c r="G149" s="1516">
        <f t="shared" si="32"/>
        <v>0.20000000000000004</v>
      </c>
      <c r="H149" s="1516">
        <f t="shared" si="33"/>
        <v>0</v>
      </c>
      <c r="I149" s="1471"/>
      <c r="J149" s="1547" t="s">
        <v>1441</v>
      </c>
      <c r="K149" s="1593" t="s">
        <v>329</v>
      </c>
      <c r="L149" s="1637" t="s">
        <v>710</v>
      </c>
      <c r="M149" s="1523">
        <v>0.2</v>
      </c>
      <c r="N149" s="1523">
        <v>0.2</v>
      </c>
      <c r="O149" s="1523">
        <v>0.2</v>
      </c>
      <c r="P149" s="1523">
        <v>0.2</v>
      </c>
      <c r="Q149" s="1523">
        <v>0.2</v>
      </c>
      <c r="R149" s="1523">
        <v>0.2</v>
      </c>
      <c r="S149" s="1523">
        <v>0.2</v>
      </c>
      <c r="T149" s="1523">
        <v>0.2</v>
      </c>
      <c r="U149" s="1523">
        <v>0.2</v>
      </c>
      <c r="V149" s="1523">
        <v>0.2</v>
      </c>
      <c r="W149" s="1770"/>
      <c r="X149" s="1615"/>
      <c r="Y149" s="1615"/>
    </row>
    <row r="150" spans="1:26">
      <c r="B150" s="1497" t="str">
        <f t="shared" si="30"/>
        <v>2.4</v>
      </c>
      <c r="C150" s="1514" t="str">
        <f t="shared" si="31"/>
        <v>躯体材料以外におけるリサイクル材の使用</v>
      </c>
      <c r="D150" s="1515">
        <f>G$146*G150</f>
        <v>0.12000000000000002</v>
      </c>
      <c r="E150" s="1515">
        <f>H$146*H150</f>
        <v>0</v>
      </c>
      <c r="F150" s="1459"/>
      <c r="G150" s="1516">
        <f t="shared" si="32"/>
        <v>0.20000000000000004</v>
      </c>
      <c r="H150" s="1516">
        <f t="shared" si="33"/>
        <v>0</v>
      </c>
      <c r="I150" s="1471"/>
      <c r="J150" s="1547" t="s">
        <v>1442</v>
      </c>
      <c r="K150" s="1593" t="s">
        <v>329</v>
      </c>
      <c r="L150" s="1637" t="s">
        <v>1443</v>
      </c>
      <c r="M150" s="1523">
        <v>0.2</v>
      </c>
      <c r="N150" s="1523">
        <v>0.2</v>
      </c>
      <c r="O150" s="1523">
        <v>0.2</v>
      </c>
      <c r="P150" s="1523">
        <v>0.2</v>
      </c>
      <c r="Q150" s="1523">
        <v>0.2</v>
      </c>
      <c r="R150" s="1523">
        <v>0.2</v>
      </c>
      <c r="S150" s="1523">
        <v>0.2</v>
      </c>
      <c r="T150" s="1523">
        <v>0.2</v>
      </c>
      <c r="U150" s="1523">
        <v>0.2</v>
      </c>
      <c r="V150" s="1523">
        <v>0.2</v>
      </c>
      <c r="W150" s="1770"/>
      <c r="X150" s="1615"/>
      <c r="Y150" s="1615"/>
    </row>
    <row r="151" spans="1:26">
      <c r="B151" s="1497" t="str">
        <f t="shared" si="30"/>
        <v>2.5</v>
      </c>
      <c r="C151" s="1514" t="str">
        <f t="shared" si="31"/>
        <v>持続可能な森林から産出された木材</v>
      </c>
      <c r="D151" s="1515">
        <f>G$146*G151</f>
        <v>6.0000000000000012E-2</v>
      </c>
      <c r="E151" s="1515">
        <f>H$146*H151</f>
        <v>0</v>
      </c>
      <c r="F151" s="1459"/>
      <c r="G151" s="1516">
        <f t="shared" si="32"/>
        <v>0.10000000000000002</v>
      </c>
      <c r="H151" s="1516">
        <f t="shared" si="33"/>
        <v>0</v>
      </c>
      <c r="I151" s="1471"/>
      <c r="J151" s="1547" t="s">
        <v>1444</v>
      </c>
      <c r="K151" s="1593" t="s">
        <v>329</v>
      </c>
      <c r="L151" s="1964" t="s">
        <v>1445</v>
      </c>
      <c r="M151" s="1523">
        <v>0.1</v>
      </c>
      <c r="N151" s="1523">
        <v>0.1</v>
      </c>
      <c r="O151" s="1523">
        <v>0.1</v>
      </c>
      <c r="P151" s="1523">
        <v>0.1</v>
      </c>
      <c r="Q151" s="1523">
        <v>0.1</v>
      </c>
      <c r="R151" s="1523">
        <v>0.1</v>
      </c>
      <c r="S151" s="1523">
        <v>0.1</v>
      </c>
      <c r="T151" s="1523">
        <v>0.1</v>
      </c>
      <c r="U151" s="1523">
        <v>0.1</v>
      </c>
      <c r="V151" s="1523">
        <v>0.1</v>
      </c>
      <c r="W151" s="1770"/>
      <c r="X151" s="1615"/>
      <c r="Y151" s="1615"/>
    </row>
    <row r="152" spans="1:26">
      <c r="B152" s="1497" t="str">
        <f t="shared" si="30"/>
        <v>2.6</v>
      </c>
      <c r="C152" s="1547" t="str">
        <f t="shared" si="31"/>
        <v>部材の再利用可能性向上への取組み</v>
      </c>
      <c r="D152" s="1515">
        <f>G$146*G152</f>
        <v>0.12000000000000002</v>
      </c>
      <c r="E152" s="1515">
        <f>H$146*H152</f>
        <v>0</v>
      </c>
      <c r="F152" s="1459"/>
      <c r="G152" s="1516">
        <f t="shared" si="32"/>
        <v>0.20000000000000004</v>
      </c>
      <c r="H152" s="1516">
        <f t="shared" si="33"/>
        <v>0</v>
      </c>
      <c r="I152" s="1471"/>
      <c r="J152" s="1547" t="s">
        <v>1446</v>
      </c>
      <c r="K152" s="1593" t="s">
        <v>329</v>
      </c>
      <c r="L152" s="1637" t="s">
        <v>712</v>
      </c>
      <c r="M152" s="1523">
        <v>0.2</v>
      </c>
      <c r="N152" s="1523">
        <v>0.2</v>
      </c>
      <c r="O152" s="1523">
        <v>0.2</v>
      </c>
      <c r="P152" s="1523">
        <v>0.2</v>
      </c>
      <c r="Q152" s="1523">
        <v>0.2</v>
      </c>
      <c r="R152" s="1523">
        <v>0.2</v>
      </c>
      <c r="S152" s="1523">
        <v>0.2</v>
      </c>
      <c r="T152" s="1523">
        <v>0.2</v>
      </c>
      <c r="U152" s="1523">
        <v>0.2</v>
      </c>
      <c r="V152" s="1523">
        <v>0.2</v>
      </c>
      <c r="W152" s="1770"/>
      <c r="X152" s="1615"/>
      <c r="Y152" s="1615"/>
    </row>
    <row r="153" spans="1:26" s="1505" customFormat="1">
      <c r="A153"/>
      <c r="B153" s="1497">
        <f t="shared" si="30"/>
        <v>3</v>
      </c>
      <c r="C153" s="1589" t="str">
        <f t="shared" si="31"/>
        <v>汚染物質含有材料の使用回避</v>
      </c>
      <c r="D153" s="1508">
        <f>SUM(D154:D158)</f>
        <v>0.20000000000000007</v>
      </c>
      <c r="E153" s="1508">
        <f>SUM(E154:E158)</f>
        <v>0</v>
      </c>
      <c r="F153" s="1459"/>
      <c r="G153" s="1509">
        <f t="shared" si="32"/>
        <v>0.20000000000000004</v>
      </c>
      <c r="H153" s="1509">
        <f t="shared" si="33"/>
        <v>0</v>
      </c>
      <c r="I153" s="1501"/>
      <c r="J153" s="1541">
        <v>3</v>
      </c>
      <c r="K153" s="1644" t="s">
        <v>326</v>
      </c>
      <c r="L153" s="1687" t="s">
        <v>713</v>
      </c>
      <c r="M153" s="1611">
        <v>0.2</v>
      </c>
      <c r="N153" s="1611">
        <v>0.2</v>
      </c>
      <c r="O153" s="1611">
        <v>0.2</v>
      </c>
      <c r="P153" s="1611">
        <v>0.2</v>
      </c>
      <c r="Q153" s="1611">
        <v>0.2</v>
      </c>
      <c r="R153" s="1611">
        <v>0.2</v>
      </c>
      <c r="S153" s="1611">
        <v>0.2</v>
      </c>
      <c r="T153" s="1611">
        <v>0.2</v>
      </c>
      <c r="U153" s="1611">
        <v>0.2</v>
      </c>
      <c r="V153" s="1611">
        <v>0.2</v>
      </c>
      <c r="W153" s="1998">
        <v>0</v>
      </c>
      <c r="X153" s="1999">
        <v>0</v>
      </c>
      <c r="Y153" s="1999">
        <v>0</v>
      </c>
      <c r="Z153" s="1585"/>
    </row>
    <row r="154" spans="1:26">
      <c r="B154" s="1497" t="str">
        <f t="shared" si="30"/>
        <v>3.1</v>
      </c>
      <c r="C154" s="1547" t="str">
        <f t="shared" si="31"/>
        <v>有害物質を含まない材料の使用</v>
      </c>
      <c r="D154" s="1515">
        <f>G$153*G154</f>
        <v>6.0000000000000012E-2</v>
      </c>
      <c r="E154" s="1515">
        <f>H$153*H154</f>
        <v>0</v>
      </c>
      <c r="F154" s="1459"/>
      <c r="G154" s="1516">
        <f t="shared" si="32"/>
        <v>0.3</v>
      </c>
      <c r="H154" s="1516">
        <f t="shared" si="33"/>
        <v>0</v>
      </c>
      <c r="I154" s="1471"/>
      <c r="J154" s="1547" t="s">
        <v>1402</v>
      </c>
      <c r="K154" s="1593" t="s">
        <v>330</v>
      </c>
      <c r="L154" s="1637" t="s">
        <v>714</v>
      </c>
      <c r="M154" s="1523">
        <v>0.3</v>
      </c>
      <c r="N154" s="1523">
        <v>0.3</v>
      </c>
      <c r="O154" s="1523">
        <v>0.3</v>
      </c>
      <c r="P154" s="1523">
        <v>0.3</v>
      </c>
      <c r="Q154" s="1523">
        <v>0.3</v>
      </c>
      <c r="R154" s="1523">
        <v>0.3</v>
      </c>
      <c r="S154" s="1523">
        <v>0.3</v>
      </c>
      <c r="T154" s="1523">
        <v>0.3</v>
      </c>
      <c r="U154" s="1523">
        <v>0.3</v>
      </c>
      <c r="V154" s="1523">
        <v>0.3</v>
      </c>
      <c r="W154" s="1770">
        <v>0</v>
      </c>
      <c r="X154" s="1615">
        <v>0</v>
      </c>
      <c r="Y154" s="1615">
        <v>0</v>
      </c>
    </row>
    <row r="155" spans="1:26">
      <c r="B155" s="1497" t="str">
        <f t="shared" si="30"/>
        <v>3.2</v>
      </c>
      <c r="C155" s="1547" t="str">
        <f t="shared" si="31"/>
        <v>フロン・ハロンの回避</v>
      </c>
      <c r="D155" s="1515"/>
      <c r="E155" s="1515"/>
      <c r="F155" s="1459"/>
      <c r="G155" s="1516">
        <f t="shared" si="32"/>
        <v>0.70000000000000007</v>
      </c>
      <c r="H155" s="1516">
        <f t="shared" si="33"/>
        <v>0</v>
      </c>
      <c r="I155" s="1471"/>
      <c r="J155" s="1547" t="s">
        <v>1406</v>
      </c>
      <c r="K155" s="1593" t="s">
        <v>330</v>
      </c>
      <c r="L155" s="1637" t="s">
        <v>715</v>
      </c>
      <c r="M155" s="1523">
        <v>0.7</v>
      </c>
      <c r="N155" s="1523">
        <v>0.7</v>
      </c>
      <c r="O155" s="1523">
        <v>0.7</v>
      </c>
      <c r="P155" s="1523">
        <v>0.7</v>
      </c>
      <c r="Q155" s="1523">
        <v>0.7</v>
      </c>
      <c r="R155" s="1523">
        <v>0.7</v>
      </c>
      <c r="S155" s="1523">
        <v>0.7</v>
      </c>
      <c r="T155" s="1523">
        <v>0.7</v>
      </c>
      <c r="U155" s="1523">
        <v>0.7</v>
      </c>
      <c r="V155" s="1523">
        <v>0.7</v>
      </c>
      <c r="W155" s="1770">
        <v>0</v>
      </c>
      <c r="X155" s="1615">
        <v>0</v>
      </c>
      <c r="Y155" s="1615">
        <v>0</v>
      </c>
    </row>
    <row r="156" spans="1:26">
      <c r="B156" s="1497" t="str">
        <f t="shared" si="30"/>
        <v>3.2.1</v>
      </c>
      <c r="C156" s="1514" t="str">
        <f t="shared" si="31"/>
        <v>消火剤</v>
      </c>
      <c r="D156" s="1515">
        <f t="shared" ref="D156:E158" si="34">G$153*G$155*G156</f>
        <v>4.6666666666666683E-2</v>
      </c>
      <c r="E156" s="1515">
        <f t="shared" si="34"/>
        <v>0</v>
      </c>
      <c r="F156" s="1459"/>
      <c r="G156" s="1516">
        <f t="shared" si="32"/>
        <v>0.33333333333333337</v>
      </c>
      <c r="H156" s="1516">
        <f t="shared" si="33"/>
        <v>0</v>
      </c>
      <c r="I156" s="1471"/>
      <c r="J156" s="1547" t="s">
        <v>1447</v>
      </c>
      <c r="K156" s="1593" t="s">
        <v>331</v>
      </c>
      <c r="L156" s="1964" t="s">
        <v>1449</v>
      </c>
      <c r="M156" s="1523">
        <v>0.33333333333333331</v>
      </c>
      <c r="N156" s="1523">
        <v>0.33333333333333331</v>
      </c>
      <c r="O156" s="1523">
        <v>0.33333333333333331</v>
      </c>
      <c r="P156" s="1523">
        <v>0.33333333333333331</v>
      </c>
      <c r="Q156" s="1523">
        <v>0.33333333333333331</v>
      </c>
      <c r="R156" s="1523">
        <v>0.33333333333333331</v>
      </c>
      <c r="S156" s="1523">
        <v>0.33333333333333331</v>
      </c>
      <c r="T156" s="1523">
        <v>0.33333333333333331</v>
      </c>
      <c r="U156" s="1523">
        <v>0.33333333333333331</v>
      </c>
      <c r="V156" s="1523">
        <v>0.33333333333333331</v>
      </c>
      <c r="W156" s="1770">
        <v>0</v>
      </c>
      <c r="X156" s="1615">
        <v>0</v>
      </c>
      <c r="Y156" s="1615">
        <v>0</v>
      </c>
    </row>
    <row r="157" spans="1:26">
      <c r="B157" s="1497" t="str">
        <f t="shared" si="30"/>
        <v>3.2.2</v>
      </c>
      <c r="C157" s="1514" t="str">
        <f t="shared" si="31"/>
        <v>発泡剤（断熱材等）</v>
      </c>
      <c r="D157" s="1515">
        <f t="shared" si="34"/>
        <v>4.6666666666666683E-2</v>
      </c>
      <c r="E157" s="1515">
        <f t="shared" si="34"/>
        <v>0</v>
      </c>
      <c r="F157" s="1459"/>
      <c r="G157" s="1516">
        <f t="shared" si="32"/>
        <v>0.33333333333333337</v>
      </c>
      <c r="H157" s="1516">
        <f t="shared" si="33"/>
        <v>0</v>
      </c>
      <c r="I157" s="1471"/>
      <c r="J157" s="1547" t="s">
        <v>1450</v>
      </c>
      <c r="K157" s="1593" t="s">
        <v>331</v>
      </c>
      <c r="L157" s="1964" t="s">
        <v>848</v>
      </c>
      <c r="M157" s="1523">
        <v>0.33333333333333331</v>
      </c>
      <c r="N157" s="1523">
        <v>0.33333333333333331</v>
      </c>
      <c r="O157" s="1523">
        <v>0.33333333333333331</v>
      </c>
      <c r="P157" s="1523">
        <v>0.33333333333333331</v>
      </c>
      <c r="Q157" s="1523">
        <v>0.33333333333333331</v>
      </c>
      <c r="R157" s="1523">
        <v>0.33333333333333331</v>
      </c>
      <c r="S157" s="1523">
        <v>0.33333333333333331</v>
      </c>
      <c r="T157" s="1523">
        <v>0.33333333333333331</v>
      </c>
      <c r="U157" s="1523">
        <v>0.33333333333333331</v>
      </c>
      <c r="V157" s="1523">
        <v>0.33333333333333331</v>
      </c>
      <c r="W157" s="1770">
        <v>0</v>
      </c>
      <c r="X157" s="1615">
        <v>0</v>
      </c>
      <c r="Y157" s="1615">
        <v>0</v>
      </c>
    </row>
    <row r="158" spans="1:26">
      <c r="B158" s="1497" t="str">
        <f t="shared" si="30"/>
        <v>3.2.3</v>
      </c>
      <c r="C158" s="1514" t="str">
        <f t="shared" si="31"/>
        <v>冷媒</v>
      </c>
      <c r="D158" s="1515">
        <f t="shared" si="34"/>
        <v>4.6666666666666683E-2</v>
      </c>
      <c r="E158" s="1515">
        <f t="shared" si="34"/>
        <v>0</v>
      </c>
      <c r="F158" s="1459"/>
      <c r="G158" s="1516">
        <f t="shared" si="32"/>
        <v>0.33333333333333337</v>
      </c>
      <c r="H158" s="1516">
        <f t="shared" si="33"/>
        <v>0</v>
      </c>
      <c r="I158" s="1471"/>
      <c r="J158" s="1547" t="s">
        <v>1453</v>
      </c>
      <c r="K158" s="1593" t="s">
        <v>331</v>
      </c>
      <c r="L158" s="1964" t="s">
        <v>333</v>
      </c>
      <c r="M158" s="1523">
        <v>0.33333333333333331</v>
      </c>
      <c r="N158" s="1523">
        <v>0.33333333333333331</v>
      </c>
      <c r="O158" s="1523">
        <v>0.33333333333333331</v>
      </c>
      <c r="P158" s="1523">
        <v>0.33333333333333331</v>
      </c>
      <c r="Q158" s="1523">
        <v>0.33333333333333331</v>
      </c>
      <c r="R158" s="1523">
        <v>0.33333333333333331</v>
      </c>
      <c r="S158" s="1523">
        <v>0.33333333333333331</v>
      </c>
      <c r="T158" s="1523">
        <v>0.33333333333333331</v>
      </c>
      <c r="U158" s="1523">
        <v>0.33333333333333331</v>
      </c>
      <c r="V158" s="1523">
        <v>0.33333333333333331</v>
      </c>
      <c r="W158" s="1770">
        <v>0</v>
      </c>
      <c r="X158" s="1615">
        <v>0</v>
      </c>
      <c r="Y158" s="1615">
        <v>0</v>
      </c>
    </row>
    <row r="159" spans="1:26" s="1505" customFormat="1">
      <c r="A159"/>
      <c r="B159" s="1497" t="str">
        <f t="shared" si="30"/>
        <v>LR3</v>
      </c>
      <c r="C159" s="1498" t="str">
        <f t="shared" si="31"/>
        <v>敷地外環境</v>
      </c>
      <c r="D159" s="1499">
        <f>G159</f>
        <v>0.3</v>
      </c>
      <c r="E159" s="1499">
        <f>H159</f>
        <v>0</v>
      </c>
      <c r="F159" s="1459"/>
      <c r="G159" s="1500">
        <f t="shared" si="32"/>
        <v>0.3</v>
      </c>
      <c r="H159" s="1500">
        <f t="shared" si="33"/>
        <v>0</v>
      </c>
      <c r="I159" s="1501"/>
      <c r="J159" s="1498" t="s">
        <v>1454</v>
      </c>
      <c r="K159" s="1994" t="s">
        <v>1412</v>
      </c>
      <c r="L159" s="1958" t="s">
        <v>1455</v>
      </c>
      <c r="M159" s="1960">
        <v>0.3</v>
      </c>
      <c r="N159" s="1960">
        <v>0.3</v>
      </c>
      <c r="O159" s="1960">
        <v>0.3</v>
      </c>
      <c r="P159" s="1960">
        <v>0.3</v>
      </c>
      <c r="Q159" s="1960">
        <v>0.3</v>
      </c>
      <c r="R159" s="1960">
        <v>0.3</v>
      </c>
      <c r="S159" s="1960">
        <v>0.3</v>
      </c>
      <c r="T159" s="1960">
        <v>0.3</v>
      </c>
      <c r="U159" s="1960">
        <v>0.3</v>
      </c>
      <c r="V159" s="1960">
        <v>0.3</v>
      </c>
      <c r="W159" s="1996">
        <v>0</v>
      </c>
      <c r="X159" s="1997">
        <v>0</v>
      </c>
      <c r="Y159" s="1997">
        <v>0</v>
      </c>
      <c r="Z159" s="1585"/>
    </row>
    <row r="160" spans="1:26" s="1505" customFormat="1">
      <c r="A160"/>
      <c r="B160" s="1959">
        <f t="shared" si="30"/>
        <v>1</v>
      </c>
      <c r="C160" s="1541" t="str">
        <f t="shared" si="31"/>
        <v>地球温暖化への配慮</v>
      </c>
      <c r="D160" s="1508">
        <f>G160</f>
        <v>0.33333333333333337</v>
      </c>
      <c r="E160" s="1508">
        <f>H160</f>
        <v>0</v>
      </c>
      <c r="F160" s="1459"/>
      <c r="G160" s="1509">
        <f t="shared" si="32"/>
        <v>0.33333333333333337</v>
      </c>
      <c r="H160" s="1509">
        <f t="shared" si="33"/>
        <v>0</v>
      </c>
      <c r="I160" s="1501"/>
      <c r="J160" s="1541">
        <v>1</v>
      </c>
      <c r="K160" s="1644" t="s">
        <v>334</v>
      </c>
      <c r="L160" s="1680" t="s">
        <v>1007</v>
      </c>
      <c r="M160" s="1611">
        <v>0.33333333333333331</v>
      </c>
      <c r="N160" s="1611">
        <v>0.33333333333333331</v>
      </c>
      <c r="O160" s="1611">
        <v>0.33333333333333331</v>
      </c>
      <c r="P160" s="1611">
        <v>0.33333333333333331</v>
      </c>
      <c r="Q160" s="1611">
        <v>0.33333333333333331</v>
      </c>
      <c r="R160" s="1611">
        <v>0.33333333333333331</v>
      </c>
      <c r="S160" s="1611">
        <v>0.33333333333333331</v>
      </c>
      <c r="T160" s="1611">
        <v>0.33333333333333331</v>
      </c>
      <c r="U160" s="1611">
        <v>0.33333333333333331</v>
      </c>
      <c r="V160" s="1611">
        <v>0.33333333333333331</v>
      </c>
      <c r="W160" s="1963">
        <v>0</v>
      </c>
      <c r="X160" s="1611">
        <v>0</v>
      </c>
      <c r="Y160" s="1611">
        <v>0</v>
      </c>
      <c r="Z160" s="1585"/>
    </row>
    <row r="161" spans="1:26" s="1505" customFormat="1">
      <c r="A161"/>
      <c r="B161" s="1497">
        <f t="shared" si="30"/>
        <v>2</v>
      </c>
      <c r="C161" s="1541" t="str">
        <f t="shared" si="31"/>
        <v>地域環境への配慮</v>
      </c>
      <c r="D161" s="1508">
        <f>SUM(D162:D168)</f>
        <v>0.33333333333333326</v>
      </c>
      <c r="E161" s="1508">
        <f>SUM(E162:E168)</f>
        <v>0</v>
      </c>
      <c r="F161" s="1459"/>
      <c r="G161" s="1509">
        <f t="shared" si="32"/>
        <v>0.33333333333333337</v>
      </c>
      <c r="H161" s="1509">
        <f t="shared" si="33"/>
        <v>0</v>
      </c>
      <c r="I161" s="1501"/>
      <c r="J161" s="1541">
        <v>2</v>
      </c>
      <c r="K161" s="1644" t="s">
        <v>334</v>
      </c>
      <c r="L161" s="1680" t="s">
        <v>1008</v>
      </c>
      <c r="M161" s="1611">
        <v>0.33333333333333331</v>
      </c>
      <c r="N161" s="1611">
        <v>0.33333333333333331</v>
      </c>
      <c r="O161" s="1611">
        <v>0.33333333333333331</v>
      </c>
      <c r="P161" s="1611">
        <v>0.33333333333333331</v>
      </c>
      <c r="Q161" s="1611">
        <v>0.33333333333333331</v>
      </c>
      <c r="R161" s="1611">
        <v>0.33333333333333331</v>
      </c>
      <c r="S161" s="1611">
        <v>0.33333333333333331</v>
      </c>
      <c r="T161" s="1611">
        <v>0.33333333333333331</v>
      </c>
      <c r="U161" s="1611">
        <v>0.33333333333333331</v>
      </c>
      <c r="V161" s="1611">
        <v>0.33333333333333331</v>
      </c>
      <c r="W161" s="1963">
        <v>0</v>
      </c>
      <c r="X161" s="1611">
        <v>0</v>
      </c>
      <c r="Y161" s="1611">
        <v>0</v>
      </c>
      <c r="Z161" s="1585"/>
    </row>
    <row r="162" spans="1:26">
      <c r="B162" s="1497" t="str">
        <f t="shared" si="30"/>
        <v>2.1</v>
      </c>
      <c r="C162" s="1634" t="str">
        <f t="shared" si="31"/>
        <v>大気汚染防止</v>
      </c>
      <c r="D162" s="1515">
        <f>G$161*G162</f>
        <v>8.3333333333333343E-2</v>
      </c>
      <c r="E162" s="1515">
        <f>H$161*H162</f>
        <v>0</v>
      </c>
      <c r="F162" s="1459"/>
      <c r="G162" s="1591">
        <f t="shared" si="32"/>
        <v>0.25</v>
      </c>
      <c r="H162" s="1591">
        <f t="shared" si="33"/>
        <v>0</v>
      </c>
      <c r="I162" s="1592"/>
      <c r="J162" s="1530" t="s">
        <v>1417</v>
      </c>
      <c r="K162" s="1593" t="s">
        <v>335</v>
      </c>
      <c r="L162" s="1637" t="s">
        <v>1009</v>
      </c>
      <c r="M162" s="1523">
        <v>0.25</v>
      </c>
      <c r="N162" s="1523">
        <v>0.25</v>
      </c>
      <c r="O162" s="1523">
        <v>0.25</v>
      </c>
      <c r="P162" s="1523">
        <v>0.25</v>
      </c>
      <c r="Q162" s="1523">
        <v>0.25</v>
      </c>
      <c r="R162" s="1523">
        <v>0.25</v>
      </c>
      <c r="S162" s="1523">
        <v>0.25</v>
      </c>
      <c r="T162" s="1523">
        <v>0.25</v>
      </c>
      <c r="U162" s="1523">
        <v>0.25</v>
      </c>
      <c r="V162" s="1523">
        <v>0.25</v>
      </c>
      <c r="W162" s="1525"/>
      <c r="X162" s="1523"/>
      <c r="Y162" s="1523"/>
    </row>
    <row r="163" spans="1:26">
      <c r="B163" s="1497" t="str">
        <f t="shared" si="30"/>
        <v>2.2</v>
      </c>
      <c r="C163" s="1634" t="str">
        <f t="shared" si="31"/>
        <v>温熱環境悪化の改善</v>
      </c>
      <c r="D163" s="1515">
        <f>G$161*G163</f>
        <v>0.16666666666666669</v>
      </c>
      <c r="E163" s="1515">
        <f>H$161*H163</f>
        <v>0</v>
      </c>
      <c r="F163" s="1459"/>
      <c r="G163" s="1591">
        <f t="shared" si="32"/>
        <v>0.5</v>
      </c>
      <c r="H163" s="1591">
        <f t="shared" si="33"/>
        <v>0</v>
      </c>
      <c r="I163" s="1592"/>
      <c r="J163" s="1530" t="s">
        <v>1419</v>
      </c>
      <c r="K163" s="1593" t="s">
        <v>335</v>
      </c>
      <c r="L163" s="1637" t="s">
        <v>1581</v>
      </c>
      <c r="M163" s="1987">
        <v>0.5</v>
      </c>
      <c r="N163" s="1987">
        <v>0.5</v>
      </c>
      <c r="O163" s="1987">
        <v>0.5</v>
      </c>
      <c r="P163" s="1987">
        <v>0.5</v>
      </c>
      <c r="Q163" s="1987">
        <v>0.5</v>
      </c>
      <c r="R163" s="1987">
        <v>0.5</v>
      </c>
      <c r="S163" s="1987">
        <v>0.5</v>
      </c>
      <c r="T163" s="1987">
        <v>0.5</v>
      </c>
      <c r="U163" s="1987">
        <v>0.5</v>
      </c>
      <c r="V163" s="1987">
        <v>0.5</v>
      </c>
      <c r="W163" s="1988"/>
      <c r="X163" s="1987"/>
      <c r="Y163" s="1987"/>
    </row>
    <row r="164" spans="1:26">
      <c r="B164" s="1497" t="str">
        <f t="shared" si="30"/>
        <v>2.3</v>
      </c>
      <c r="C164" s="1634" t="str">
        <f t="shared" si="31"/>
        <v>地域インフラへの負荷抑制</v>
      </c>
      <c r="D164" s="1515"/>
      <c r="E164" s="1515"/>
      <c r="F164" s="1459"/>
      <c r="G164" s="1591">
        <f t="shared" si="32"/>
        <v>0.25</v>
      </c>
      <c r="H164" s="1591">
        <f t="shared" si="33"/>
        <v>0</v>
      </c>
      <c r="I164" s="1592"/>
      <c r="J164" s="1530" t="s">
        <v>1441</v>
      </c>
      <c r="K164" s="1593" t="s">
        <v>335</v>
      </c>
      <c r="L164" s="1637" t="s">
        <v>849</v>
      </c>
      <c r="M164" s="1987">
        <v>0.25</v>
      </c>
      <c r="N164" s="1987">
        <v>0.25</v>
      </c>
      <c r="O164" s="1987">
        <v>0.25</v>
      </c>
      <c r="P164" s="1987">
        <v>0.25</v>
      </c>
      <c r="Q164" s="1987">
        <v>0.25</v>
      </c>
      <c r="R164" s="1987">
        <v>0.25</v>
      </c>
      <c r="S164" s="1987">
        <v>0.25</v>
      </c>
      <c r="T164" s="1987">
        <v>0.25</v>
      </c>
      <c r="U164" s="1987">
        <v>0.25</v>
      </c>
      <c r="V164" s="1987">
        <v>0.25</v>
      </c>
      <c r="W164" s="1988"/>
      <c r="X164" s="1987"/>
      <c r="Y164" s="1987"/>
    </row>
    <row r="165" spans="1:26">
      <c r="B165" s="1497" t="str">
        <f t="shared" si="30"/>
        <v>2.3.1</v>
      </c>
      <c r="C165" s="1547" t="str">
        <f t="shared" si="31"/>
        <v>雨水排水負荷低減</v>
      </c>
      <c r="D165" s="1515">
        <f>G$161*G$164*G165</f>
        <v>2.0833333333333336E-2</v>
      </c>
      <c r="E165" s="1515">
        <f>H$163*H$164*H165</f>
        <v>0</v>
      </c>
      <c r="F165" s="1459"/>
      <c r="G165" s="1591">
        <f t="shared" si="32"/>
        <v>0.25</v>
      </c>
      <c r="H165" s="1591">
        <f t="shared" si="33"/>
        <v>0</v>
      </c>
      <c r="I165" s="520"/>
      <c r="J165" s="1530" t="s">
        <v>1379</v>
      </c>
      <c r="K165" s="1593" t="s">
        <v>336</v>
      </c>
      <c r="L165" s="1594" t="s">
        <v>1582</v>
      </c>
      <c r="M165" s="1523">
        <v>0.25</v>
      </c>
      <c r="N165" s="1523">
        <v>0.25</v>
      </c>
      <c r="O165" s="1523">
        <v>0.25</v>
      </c>
      <c r="P165" s="1523">
        <v>0.25</v>
      </c>
      <c r="Q165" s="1523">
        <v>0.25</v>
      </c>
      <c r="R165" s="1523">
        <v>0.25</v>
      </c>
      <c r="S165" s="1523">
        <v>0.25</v>
      </c>
      <c r="T165" s="1523">
        <v>0.25</v>
      </c>
      <c r="U165" s="1523">
        <v>0.25</v>
      </c>
      <c r="V165" s="1523">
        <v>0.25</v>
      </c>
      <c r="W165" s="1988"/>
      <c r="X165" s="1987"/>
      <c r="Y165" s="1987"/>
    </row>
    <row r="166" spans="1:26">
      <c r="B166" s="1497" t="str">
        <f t="shared" si="30"/>
        <v>2.3.2</v>
      </c>
      <c r="C166" s="1547" t="str">
        <f t="shared" si="31"/>
        <v>汚水処理負荷抑制</v>
      </c>
      <c r="D166" s="1515">
        <f>G$161*G$164*G166</f>
        <v>2.0833333333333336E-2</v>
      </c>
      <c r="E166" s="1515">
        <f>H$163*H$164*H166</f>
        <v>0</v>
      </c>
      <c r="F166" s="1459"/>
      <c r="G166" s="1591">
        <f t="shared" si="32"/>
        <v>0.25</v>
      </c>
      <c r="H166" s="1591">
        <f t="shared" si="33"/>
        <v>0</v>
      </c>
      <c r="I166" s="520"/>
      <c r="J166" s="1530" t="s">
        <v>1380</v>
      </c>
      <c r="K166" s="1593" t="s">
        <v>336</v>
      </c>
      <c r="L166" s="1594" t="s">
        <v>1583</v>
      </c>
      <c r="M166" s="1523">
        <v>0.25</v>
      </c>
      <c r="N166" s="1523">
        <v>0.25</v>
      </c>
      <c r="O166" s="1523">
        <v>0.25</v>
      </c>
      <c r="P166" s="1523">
        <v>0.25</v>
      </c>
      <c r="Q166" s="1523">
        <v>0.25</v>
      </c>
      <c r="R166" s="1523">
        <v>0.25</v>
      </c>
      <c r="S166" s="1523">
        <v>0.25</v>
      </c>
      <c r="T166" s="1523">
        <v>0.25</v>
      </c>
      <c r="U166" s="1523">
        <v>0.25</v>
      </c>
      <c r="V166" s="1523">
        <v>0.25</v>
      </c>
      <c r="W166" s="1988"/>
      <c r="X166" s="1987"/>
      <c r="Y166" s="1987"/>
    </row>
    <row r="167" spans="1:26">
      <c r="B167" s="1497" t="str">
        <f t="shared" si="30"/>
        <v>2.3.3</v>
      </c>
      <c r="C167" s="1547" t="str">
        <f t="shared" si="31"/>
        <v>交通負荷抑制</v>
      </c>
      <c r="D167" s="1515">
        <f>G$161*G$164*G167</f>
        <v>2.0833333333333336E-2</v>
      </c>
      <c r="E167" s="1515">
        <f>H$163*H$164*H167</f>
        <v>0</v>
      </c>
      <c r="F167" s="1459"/>
      <c r="G167" s="1591">
        <f t="shared" si="32"/>
        <v>0.25</v>
      </c>
      <c r="H167" s="1591">
        <f t="shared" si="33"/>
        <v>0</v>
      </c>
      <c r="I167" s="520"/>
      <c r="J167" s="1530" t="s">
        <v>1381</v>
      </c>
      <c r="K167" s="1593" t="s">
        <v>336</v>
      </c>
      <c r="L167" s="1594" t="s">
        <v>1010</v>
      </c>
      <c r="M167" s="1523">
        <v>0.25</v>
      </c>
      <c r="N167" s="1523">
        <v>0.25</v>
      </c>
      <c r="O167" s="1523">
        <v>0.25</v>
      </c>
      <c r="P167" s="1523">
        <v>0.25</v>
      </c>
      <c r="Q167" s="1523">
        <v>0.25</v>
      </c>
      <c r="R167" s="1523">
        <v>0.25</v>
      </c>
      <c r="S167" s="1523">
        <v>0.25</v>
      </c>
      <c r="T167" s="1523">
        <v>0.25</v>
      </c>
      <c r="U167" s="1523">
        <v>0.25</v>
      </c>
      <c r="V167" s="1523">
        <v>0.25</v>
      </c>
      <c r="W167" s="1988"/>
      <c r="X167" s="1987"/>
      <c r="Y167" s="1987"/>
    </row>
    <row r="168" spans="1:26">
      <c r="B168" s="1497" t="str">
        <f t="shared" si="30"/>
        <v>2.3.4</v>
      </c>
      <c r="C168" s="1634" t="str">
        <f t="shared" si="31"/>
        <v>廃棄物処理負荷抑制</v>
      </c>
      <c r="D168" s="1515">
        <f>G$161*G$164*G168</f>
        <v>2.0833333333333336E-2</v>
      </c>
      <c r="E168" s="1515">
        <f>H$163*H$164*H168</f>
        <v>0</v>
      </c>
      <c r="F168" s="1459"/>
      <c r="G168" s="1591">
        <f t="shared" si="32"/>
        <v>0.25</v>
      </c>
      <c r="H168" s="1591">
        <f t="shared" si="33"/>
        <v>0</v>
      </c>
      <c r="I168" s="1592"/>
      <c r="J168" s="1530" t="s">
        <v>1584</v>
      </c>
      <c r="K168" s="1593" t="s">
        <v>336</v>
      </c>
      <c r="L168" s="1595" t="s">
        <v>1011</v>
      </c>
      <c r="M168" s="1523">
        <v>0.25</v>
      </c>
      <c r="N168" s="1523">
        <v>0.25</v>
      </c>
      <c r="O168" s="1523">
        <v>0.25</v>
      </c>
      <c r="P168" s="1523">
        <v>0.25</v>
      </c>
      <c r="Q168" s="1523">
        <v>0.25</v>
      </c>
      <c r="R168" s="1523">
        <v>0.25</v>
      </c>
      <c r="S168" s="1523">
        <v>0.25</v>
      </c>
      <c r="T168" s="1523">
        <v>0.25</v>
      </c>
      <c r="U168" s="1523">
        <v>0.25</v>
      </c>
      <c r="V168" s="1523">
        <v>0.25</v>
      </c>
      <c r="W168" s="1988"/>
      <c r="X168" s="1987"/>
      <c r="Y168" s="1987"/>
    </row>
    <row r="169" spans="1:26" s="1505" customFormat="1">
      <c r="A169"/>
      <c r="B169" s="1497">
        <f t="shared" si="30"/>
        <v>3</v>
      </c>
      <c r="C169" s="1589" t="str">
        <f t="shared" si="31"/>
        <v>周辺環境への配慮</v>
      </c>
      <c r="D169" s="1508">
        <f>SUM(D170:D180)</f>
        <v>0.33333333333333354</v>
      </c>
      <c r="E169" s="1508">
        <f>SUM(E170:E180)</f>
        <v>0</v>
      </c>
      <c r="F169" s="1459"/>
      <c r="G169" s="1509">
        <f t="shared" si="32"/>
        <v>0.33333333333333337</v>
      </c>
      <c r="H169" s="1509">
        <f t="shared" si="33"/>
        <v>0</v>
      </c>
      <c r="I169" s="1501"/>
      <c r="J169" s="1541">
        <v>3</v>
      </c>
      <c r="K169" s="1644" t="s">
        <v>334</v>
      </c>
      <c r="L169" s="1680" t="s">
        <v>1012</v>
      </c>
      <c r="M169" s="1611">
        <v>0.33333333333333331</v>
      </c>
      <c r="N169" s="1611">
        <v>0.33333333333333331</v>
      </c>
      <c r="O169" s="1611">
        <v>0.33333333333333331</v>
      </c>
      <c r="P169" s="1611">
        <v>0.33333333333333331</v>
      </c>
      <c r="Q169" s="1611">
        <v>0.33333333333333331</v>
      </c>
      <c r="R169" s="1611">
        <v>0.33333333333333331</v>
      </c>
      <c r="S169" s="1611">
        <v>0.33333333333333331</v>
      </c>
      <c r="T169" s="1611">
        <v>0.33333333333333331</v>
      </c>
      <c r="U169" s="1611">
        <v>0.33333333333333331</v>
      </c>
      <c r="V169" s="1611">
        <v>0.33333333333333331</v>
      </c>
      <c r="W169" s="1963">
        <v>0</v>
      </c>
      <c r="X169" s="1611">
        <v>0</v>
      </c>
      <c r="Y169" s="1611">
        <v>0</v>
      </c>
      <c r="Z169" s="1585"/>
    </row>
    <row r="170" spans="1:26">
      <c r="B170" s="1497" t="str">
        <f t="shared" si="30"/>
        <v>3.1</v>
      </c>
      <c r="C170" s="1634" t="str">
        <f t="shared" si="31"/>
        <v>騒音・振動・悪臭の防止</v>
      </c>
      <c r="D170" s="1515"/>
      <c r="E170" s="1515"/>
      <c r="F170" s="1459"/>
      <c r="G170" s="1591">
        <f t="shared" si="32"/>
        <v>0.40000000000000008</v>
      </c>
      <c r="H170" s="1591">
        <f t="shared" si="33"/>
        <v>0</v>
      </c>
      <c r="I170" s="1592"/>
      <c r="J170" s="1530" t="s">
        <v>1402</v>
      </c>
      <c r="K170" s="1593" t="s">
        <v>337</v>
      </c>
      <c r="L170" s="1637" t="s">
        <v>1013</v>
      </c>
      <c r="M170" s="1987">
        <v>0.4</v>
      </c>
      <c r="N170" s="1987">
        <v>0.4</v>
      </c>
      <c r="O170" s="1987">
        <v>0.4</v>
      </c>
      <c r="P170" s="1987">
        <v>0.4</v>
      </c>
      <c r="Q170" s="1987">
        <v>0.4</v>
      </c>
      <c r="R170" s="1987">
        <v>0.4</v>
      </c>
      <c r="S170" s="1987">
        <v>0.4</v>
      </c>
      <c r="T170" s="1987">
        <v>0.4</v>
      </c>
      <c r="U170" s="1987">
        <v>0.4</v>
      </c>
      <c r="V170" s="1987">
        <v>0.4</v>
      </c>
      <c r="W170" s="1988"/>
      <c r="X170" s="1987"/>
      <c r="Y170" s="1987"/>
    </row>
    <row r="171" spans="1:26" s="1505" customFormat="1">
      <c r="A171"/>
      <c r="B171" s="1497" t="str">
        <f t="shared" si="30"/>
        <v>3.1.1</v>
      </c>
      <c r="C171" s="1541" t="str">
        <f t="shared" si="31"/>
        <v>騒音</v>
      </c>
      <c r="D171" s="1515">
        <f t="shared" ref="D171:E173" si="35">G$169*G$170*G171</f>
        <v>4.4444444444444467E-2</v>
      </c>
      <c r="E171" s="1515">
        <f t="shared" si="35"/>
        <v>0</v>
      </c>
      <c r="F171" s="1459"/>
      <c r="G171" s="1643">
        <f t="shared" si="32"/>
        <v>0.33333333333333337</v>
      </c>
      <c r="H171" s="1643">
        <f t="shared" si="33"/>
        <v>0</v>
      </c>
      <c r="I171" s="1592"/>
      <c r="J171" s="1530" t="s">
        <v>1383</v>
      </c>
      <c r="K171" s="1547" t="s">
        <v>338</v>
      </c>
      <c r="L171" s="1637" t="s">
        <v>1014</v>
      </c>
      <c r="M171" s="1523">
        <v>0.33333333333333331</v>
      </c>
      <c r="N171" s="1523">
        <v>0.33333333333333331</v>
      </c>
      <c r="O171" s="1523">
        <v>0.33333333333333331</v>
      </c>
      <c r="P171" s="1523">
        <v>0.33333333333333331</v>
      </c>
      <c r="Q171" s="1523">
        <v>0.33333333333333331</v>
      </c>
      <c r="R171" s="1523">
        <v>0.33333333333333331</v>
      </c>
      <c r="S171" s="1523">
        <v>0.33333333333333331</v>
      </c>
      <c r="T171" s="1523">
        <v>0.33333333333333331</v>
      </c>
      <c r="U171" s="1523">
        <v>0.33333333333333331</v>
      </c>
      <c r="V171" s="1523">
        <v>0.33333333333333331</v>
      </c>
      <c r="W171" s="1525"/>
      <c r="X171" s="1523"/>
      <c r="Y171" s="1523"/>
      <c r="Z171" s="1585"/>
    </row>
    <row r="172" spans="1:26">
      <c r="B172" s="1497" t="str">
        <f t="shared" si="30"/>
        <v>3.1.2</v>
      </c>
      <c r="C172" s="1634" t="str">
        <f t="shared" si="31"/>
        <v>振動</v>
      </c>
      <c r="D172" s="1515">
        <f t="shared" si="35"/>
        <v>4.4444444444444467E-2</v>
      </c>
      <c r="E172" s="1515">
        <f t="shared" si="35"/>
        <v>0</v>
      </c>
      <c r="F172" s="1459"/>
      <c r="G172" s="1591">
        <f t="shared" si="32"/>
        <v>0.33333333333333337</v>
      </c>
      <c r="H172" s="1591">
        <f t="shared" si="33"/>
        <v>0</v>
      </c>
      <c r="I172" s="1592"/>
      <c r="J172" s="1530" t="s">
        <v>1384</v>
      </c>
      <c r="K172" s="1547" t="s">
        <v>338</v>
      </c>
      <c r="L172" s="1637" t="s">
        <v>1015</v>
      </c>
      <c r="M172" s="1523">
        <v>0.33333333333333331</v>
      </c>
      <c r="N172" s="1523">
        <v>0.33333333333333331</v>
      </c>
      <c r="O172" s="1523">
        <v>0.33333333333333331</v>
      </c>
      <c r="P172" s="1523">
        <v>0.33333333333333331</v>
      </c>
      <c r="Q172" s="1523">
        <v>0.33333333333333331</v>
      </c>
      <c r="R172" s="1523">
        <v>0.33333333333333331</v>
      </c>
      <c r="S172" s="1523">
        <v>0.33333333333333331</v>
      </c>
      <c r="T172" s="1523">
        <v>0.33333333333333331</v>
      </c>
      <c r="U172" s="1523">
        <v>0.33333333333333331</v>
      </c>
      <c r="V172" s="1523">
        <v>0.33333333333333331</v>
      </c>
      <c r="W172" s="1525"/>
      <c r="X172" s="1523"/>
      <c r="Y172" s="1523"/>
    </row>
    <row r="173" spans="1:26">
      <c r="B173" s="1497" t="str">
        <f t="shared" si="30"/>
        <v>3.1.3</v>
      </c>
      <c r="C173" s="1634" t="str">
        <f t="shared" si="31"/>
        <v>悪臭</v>
      </c>
      <c r="D173" s="1515">
        <f t="shared" si="35"/>
        <v>4.4444444444444467E-2</v>
      </c>
      <c r="E173" s="1515">
        <f t="shared" si="35"/>
        <v>0</v>
      </c>
      <c r="F173" s="1459"/>
      <c r="G173" s="1591">
        <f t="shared" si="32"/>
        <v>0.33333333333333337</v>
      </c>
      <c r="H173" s="1591">
        <f t="shared" si="33"/>
        <v>0</v>
      </c>
      <c r="I173" s="1592"/>
      <c r="J173" s="1530" t="s">
        <v>1585</v>
      </c>
      <c r="K173" s="1547" t="s">
        <v>338</v>
      </c>
      <c r="L173" s="1637" t="s">
        <v>850</v>
      </c>
      <c r="M173" s="1523">
        <v>0.33333333333333331</v>
      </c>
      <c r="N173" s="1523">
        <v>0.33333333333333331</v>
      </c>
      <c r="O173" s="1523">
        <v>0.33333333333333331</v>
      </c>
      <c r="P173" s="1523">
        <v>0.33333333333333331</v>
      </c>
      <c r="Q173" s="1523">
        <v>0.33333333333333331</v>
      </c>
      <c r="R173" s="1523">
        <v>0.33333333333333331</v>
      </c>
      <c r="S173" s="1523">
        <v>0.33333333333333331</v>
      </c>
      <c r="T173" s="1523">
        <v>0.33333333333333331</v>
      </c>
      <c r="U173" s="1523">
        <v>0.33333333333333331</v>
      </c>
      <c r="V173" s="1523">
        <v>0.33333333333333331</v>
      </c>
      <c r="W173" s="1525"/>
      <c r="X173" s="1523"/>
      <c r="Y173" s="1523"/>
    </row>
    <row r="174" spans="1:26">
      <c r="B174" s="1497" t="str">
        <f t="shared" ref="B174:B180" si="36">J174</f>
        <v>3.2</v>
      </c>
      <c r="C174" s="1634" t="str">
        <f t="shared" ref="C174:C180" si="37">L174</f>
        <v>風害、日照阻害の抑制</v>
      </c>
      <c r="D174" s="1515"/>
      <c r="E174" s="1515"/>
      <c r="F174" s="1459"/>
      <c r="G174" s="1591">
        <f t="shared" si="32"/>
        <v>0.40000000000000008</v>
      </c>
      <c r="H174" s="1591">
        <f t="shared" si="33"/>
        <v>0</v>
      </c>
      <c r="I174" s="1592"/>
      <c r="J174" s="1530" t="s">
        <v>1406</v>
      </c>
      <c r="K174" s="1593" t="s">
        <v>337</v>
      </c>
      <c r="L174" s="1637" t="s">
        <v>1586</v>
      </c>
      <c r="M174" s="1987">
        <v>0.4</v>
      </c>
      <c r="N174" s="1987">
        <v>0.4</v>
      </c>
      <c r="O174" s="1987">
        <v>0.4</v>
      </c>
      <c r="P174" s="1987">
        <v>0.4</v>
      </c>
      <c r="Q174" s="1987">
        <v>0.4</v>
      </c>
      <c r="R174" s="1987">
        <v>0.4</v>
      </c>
      <c r="S174" s="1987">
        <v>0.4</v>
      </c>
      <c r="T174" s="1987">
        <v>0.4</v>
      </c>
      <c r="U174" s="1987">
        <v>0.4</v>
      </c>
      <c r="V174" s="1987">
        <v>0.4</v>
      </c>
      <c r="W174" s="1988"/>
      <c r="X174" s="1987"/>
      <c r="Y174" s="1987"/>
    </row>
    <row r="175" spans="1:26">
      <c r="B175" s="1497" t="str">
        <f t="shared" si="36"/>
        <v>3.2.1</v>
      </c>
      <c r="C175" s="1634" t="str">
        <f t="shared" si="37"/>
        <v>風害の抑制</v>
      </c>
      <c r="D175" s="1515">
        <f t="shared" ref="D175:E177" si="38">G$169*G$174*G175</f>
        <v>9.3333333333333379E-2</v>
      </c>
      <c r="E175" s="1515">
        <f t="shared" si="38"/>
        <v>0</v>
      </c>
      <c r="F175" s="1459"/>
      <c r="G175" s="1591">
        <f t="shared" si="32"/>
        <v>0.70000000000000007</v>
      </c>
      <c r="H175" s="1591">
        <f t="shared" si="33"/>
        <v>0</v>
      </c>
      <c r="I175" s="1592"/>
      <c r="J175" s="1530" t="s">
        <v>1447</v>
      </c>
      <c r="K175" s="1593" t="s">
        <v>339</v>
      </c>
      <c r="L175" s="1594" t="s">
        <v>1587</v>
      </c>
      <c r="M175" s="1523">
        <v>0.7</v>
      </c>
      <c r="N175" s="1523">
        <v>0.7</v>
      </c>
      <c r="O175" s="1523">
        <v>0.7</v>
      </c>
      <c r="P175" s="1523">
        <v>0.7</v>
      </c>
      <c r="Q175" s="1523">
        <v>0.7</v>
      </c>
      <c r="R175" s="1523">
        <v>0.7</v>
      </c>
      <c r="S175" s="1523">
        <v>0.7</v>
      </c>
      <c r="T175" s="1523">
        <v>0.7</v>
      </c>
      <c r="U175" s="1523">
        <v>0.7</v>
      </c>
      <c r="V175" s="2254">
        <v>0.6</v>
      </c>
      <c r="W175" s="1988"/>
      <c r="X175" s="1987"/>
      <c r="Y175" s="1987"/>
    </row>
    <row r="176" spans="1:26">
      <c r="B176" s="1497" t="str">
        <f>J176</f>
        <v>3.2.3</v>
      </c>
      <c r="C176" s="1634" t="str">
        <f>L176</f>
        <v>砂塵の抑制</v>
      </c>
      <c r="D176" s="1515">
        <f t="shared" si="38"/>
        <v>0</v>
      </c>
      <c r="E176" s="1515">
        <f t="shared" si="38"/>
        <v>0</v>
      </c>
      <c r="F176" s="1459"/>
      <c r="G176" s="1591">
        <f t="shared" si="32"/>
        <v>0</v>
      </c>
      <c r="H176" s="1591">
        <f t="shared" si="33"/>
        <v>0</v>
      </c>
      <c r="I176" s="1592"/>
      <c r="J176" s="1530" t="s">
        <v>332</v>
      </c>
      <c r="K176" s="1593" t="s">
        <v>340</v>
      </c>
      <c r="L176" s="1594" t="s">
        <v>1016</v>
      </c>
      <c r="M176" s="1523"/>
      <c r="N176" s="1523"/>
      <c r="O176" s="1523"/>
      <c r="P176" s="1523"/>
      <c r="Q176" s="1523"/>
      <c r="R176" s="1523"/>
      <c r="S176" s="1523"/>
      <c r="T176" s="1523"/>
      <c r="U176" s="1523"/>
      <c r="V176" s="2254">
        <v>0.2</v>
      </c>
      <c r="W176" s="1988"/>
      <c r="X176" s="1987"/>
      <c r="Y176" s="1987"/>
    </row>
    <row r="177" spans="2:25" s="1458" customFormat="1">
      <c r="B177" s="1497" t="str">
        <f>J177</f>
        <v>3.2.2</v>
      </c>
      <c r="C177" s="1634" t="str">
        <f>L177</f>
        <v>日照阻害の抑制</v>
      </c>
      <c r="D177" s="1515">
        <f t="shared" si="38"/>
        <v>4.0000000000000015E-2</v>
      </c>
      <c r="E177" s="1515">
        <f t="shared" si="38"/>
        <v>0</v>
      </c>
      <c r="F177" s="1459"/>
      <c r="G177" s="1591">
        <f t="shared" si="32"/>
        <v>0.3</v>
      </c>
      <c r="H177" s="1591">
        <f t="shared" si="33"/>
        <v>0</v>
      </c>
      <c r="I177" s="1592"/>
      <c r="J177" s="1530" t="s">
        <v>1450</v>
      </c>
      <c r="K177" s="1593" t="s">
        <v>339</v>
      </c>
      <c r="L177" s="1594" t="s">
        <v>1588</v>
      </c>
      <c r="M177" s="1523">
        <v>0.3</v>
      </c>
      <c r="N177" s="1523">
        <v>0.3</v>
      </c>
      <c r="O177" s="1523">
        <v>0.3</v>
      </c>
      <c r="P177" s="1523">
        <v>0.3</v>
      </c>
      <c r="Q177" s="1523">
        <v>0.3</v>
      </c>
      <c r="R177" s="1523">
        <v>0.3</v>
      </c>
      <c r="S177" s="1523">
        <v>0.3</v>
      </c>
      <c r="T177" s="1523">
        <v>0.3</v>
      </c>
      <c r="U177" s="1523">
        <v>0.3</v>
      </c>
      <c r="V177" s="2254">
        <v>0.2</v>
      </c>
      <c r="W177" s="1988"/>
      <c r="X177" s="1987"/>
      <c r="Y177" s="1987"/>
    </row>
    <row r="178" spans="2:25" s="1458" customFormat="1">
      <c r="B178" s="1497" t="str">
        <f t="shared" si="36"/>
        <v>3.3</v>
      </c>
      <c r="C178" s="1634" t="str">
        <f t="shared" si="37"/>
        <v>光害の抑制</v>
      </c>
      <c r="D178" s="1515"/>
      <c r="E178" s="1515"/>
      <c r="F178" s="1459"/>
      <c r="G178" s="1591">
        <f t="shared" si="32"/>
        <v>0.20000000000000004</v>
      </c>
      <c r="H178" s="1591">
        <f t="shared" si="33"/>
        <v>0</v>
      </c>
      <c r="I178" s="1592"/>
      <c r="J178" s="1530" t="s">
        <v>1589</v>
      </c>
      <c r="K178" s="1593" t="s">
        <v>337</v>
      </c>
      <c r="L178" s="1594" t="s">
        <v>1018</v>
      </c>
      <c r="M178" s="1523">
        <v>0.2</v>
      </c>
      <c r="N178" s="1523">
        <v>0.2</v>
      </c>
      <c r="O178" s="1523">
        <v>0.2</v>
      </c>
      <c r="P178" s="1523">
        <v>0.2</v>
      </c>
      <c r="Q178" s="1523">
        <v>0.2</v>
      </c>
      <c r="R178" s="1523">
        <v>0.2</v>
      </c>
      <c r="S178" s="1523">
        <v>0.2</v>
      </c>
      <c r="T178" s="1523">
        <v>0.2</v>
      </c>
      <c r="U178" s="1523">
        <v>0.2</v>
      </c>
      <c r="V178" s="1987">
        <v>0.2</v>
      </c>
      <c r="W178" s="1988"/>
      <c r="X178" s="1987"/>
      <c r="Y178" s="1987"/>
    </row>
    <row r="179" spans="2:25" s="1458" customFormat="1">
      <c r="B179" s="1497" t="str">
        <f t="shared" si="36"/>
        <v>3.3.1</v>
      </c>
      <c r="C179" s="1645" t="str">
        <f t="shared" si="37"/>
        <v>屋外照明及び屋内照明のうち外に漏れる光への対策</v>
      </c>
      <c r="D179" s="1515">
        <f>G$169*G$178*G179</f>
        <v>4.666666666666669E-2</v>
      </c>
      <c r="E179" s="1515">
        <f>H$169*H$178*H179</f>
        <v>0</v>
      </c>
      <c r="F179" s="1459"/>
      <c r="G179" s="1591">
        <f t="shared" si="32"/>
        <v>0.70000000000000007</v>
      </c>
      <c r="H179" s="1591">
        <f t="shared" si="33"/>
        <v>0</v>
      </c>
      <c r="I179" s="1592"/>
      <c r="J179" s="1530" t="s">
        <v>1385</v>
      </c>
      <c r="K179" s="1593" t="s">
        <v>340</v>
      </c>
      <c r="L179" s="1594" t="s">
        <v>1590</v>
      </c>
      <c r="M179" s="1987">
        <v>0.7</v>
      </c>
      <c r="N179" s="1987">
        <v>0.7</v>
      </c>
      <c r="O179" s="1987">
        <v>0.7</v>
      </c>
      <c r="P179" s="1987">
        <v>0.7</v>
      </c>
      <c r="Q179" s="1987">
        <v>0.7</v>
      </c>
      <c r="R179" s="1987">
        <v>0.7</v>
      </c>
      <c r="S179" s="1987">
        <v>0.7</v>
      </c>
      <c r="T179" s="1987">
        <v>0.7</v>
      </c>
      <c r="U179" s="1987">
        <v>0.7</v>
      </c>
      <c r="V179" s="1523">
        <v>0.7</v>
      </c>
      <c r="W179" s="1988"/>
      <c r="X179" s="1987"/>
      <c r="Y179" s="1987"/>
    </row>
    <row r="180" spans="2:25" s="1458" customFormat="1">
      <c r="B180" s="1497" t="str">
        <f t="shared" si="36"/>
        <v>3.3.2</v>
      </c>
      <c r="C180" s="1637" t="str">
        <f t="shared" si="37"/>
        <v>昼光の建物外壁による反射光（グレア）への対策</v>
      </c>
      <c r="D180" s="1515">
        <f>G$169*G$178*G180</f>
        <v>2.0000000000000007E-2</v>
      </c>
      <c r="E180" s="1515">
        <f>H$169*H$178*H180</f>
        <v>0</v>
      </c>
      <c r="F180" s="1459"/>
      <c r="G180" s="1591">
        <f t="shared" si="32"/>
        <v>0.3</v>
      </c>
      <c r="H180" s="1591">
        <f t="shared" si="33"/>
        <v>0</v>
      </c>
      <c r="I180" s="1592"/>
      <c r="J180" s="1530" t="s">
        <v>1387</v>
      </c>
      <c r="K180" s="1593" t="s">
        <v>340</v>
      </c>
      <c r="L180" s="1594" t="s">
        <v>1591</v>
      </c>
      <c r="M180" s="1523">
        <v>0.3</v>
      </c>
      <c r="N180" s="1523">
        <v>0.3</v>
      </c>
      <c r="O180" s="1523">
        <v>0.3</v>
      </c>
      <c r="P180" s="1523">
        <v>0.3</v>
      </c>
      <c r="Q180" s="1523">
        <v>0.3</v>
      </c>
      <c r="R180" s="1523">
        <v>0.3</v>
      </c>
      <c r="S180" s="1523">
        <v>0.3</v>
      </c>
      <c r="T180" s="1523">
        <v>0.3</v>
      </c>
      <c r="U180" s="1523">
        <v>0.3</v>
      </c>
      <c r="V180" s="1523">
        <v>0.3</v>
      </c>
      <c r="W180" s="1988"/>
      <c r="X180" s="1987"/>
      <c r="Y180" s="1987"/>
    </row>
    <row r="181" spans="2:25" customFormat="1">
      <c r="J181" s="1646"/>
    </row>
  </sheetData>
  <sheetProtection password="82B4" sheet="1" objects="1" scenarios="1"/>
  <mergeCells count="1">
    <mergeCell ref="B5:C6"/>
  </mergeCells>
  <phoneticPr fontId="20"/>
  <printOptions horizontalCentered="1"/>
  <pageMargins left="0.59055118110236227" right="0.59055118110236227" top="0.78740157480314965" bottom="0.59055118110236227" header="0.51181102362204722" footer="0.51181102362204722"/>
  <pageSetup paperSize="9" scale="37" orientation="portrait" verticalDpi="4294967293" r:id="rId1"/>
  <headerFooter alignWithMargins="0">
    <oddHeader>&amp;L&amp;F&amp;R&amp;A</oddHeader>
    <oddFooter>&amp;C&amp;P/&amp;N</oddFooter>
  </headerFooter>
  <rowBreaks count="1" manualBreakCount="1">
    <brk id="115" max="16383" man="1"/>
  </rowBreaks>
</worksheet>
</file>

<file path=xl/worksheets/sheet27.xml><?xml version="1.0" encoding="utf-8"?>
<worksheet xmlns="http://schemas.openxmlformats.org/spreadsheetml/2006/main" xmlns:r="http://schemas.openxmlformats.org/officeDocument/2006/relationships">
  <sheetPr codeName="Sheet23">
    <pageSetUpPr autoPageBreaks="0"/>
  </sheetPr>
  <dimension ref="A1:BY181"/>
  <sheetViews>
    <sheetView showGridLines="0" zoomScaleNormal="100" zoomScaleSheetLayoutView="100" workbookViewId="0">
      <selection activeCell="D53" sqref="D53"/>
    </sheetView>
  </sheetViews>
  <sheetFormatPr defaultColWidth="0" defaultRowHeight="13.5" zeroHeight="1"/>
  <cols>
    <col min="1" max="1" width="2.25" customWidth="1"/>
    <col min="2" max="2" width="5.625" style="1450" customWidth="1"/>
    <col min="3" max="3" width="24.875" style="1451" customWidth="1"/>
    <col min="4" max="4" width="9" style="1596" customWidth="1"/>
    <col min="5" max="5" width="9" style="1452" customWidth="1"/>
    <col min="6" max="6" width="1.625" customWidth="1"/>
    <col min="7" max="12" width="9" style="1452" customWidth="1"/>
    <col min="13" max="13" width="2" customWidth="1"/>
    <col min="14" max="15" width="9" style="1596" customWidth="1"/>
    <col min="16" max="19" width="9" style="1452" customWidth="1"/>
    <col min="20" max="20" width="1.875" style="1452" customWidth="1"/>
    <col min="21" max="22" width="9" style="1452" customWidth="1"/>
    <col min="23" max="23" width="1.5" style="1452" customWidth="1"/>
    <col min="24" max="25" width="9" style="1452" customWidth="1"/>
    <col min="26" max="26" width="1.5" style="1453" customWidth="1"/>
    <col min="27" max="27" width="6.625" style="1454" customWidth="1"/>
    <col min="28" max="28" width="7.125" style="1454" hidden="1" customWidth="1"/>
    <col min="29" max="29" width="24.875" style="1455" customWidth="1"/>
    <col min="30" max="42" width="6.625" style="1456" customWidth="1"/>
    <col min="43" max="43" width="1.625" style="1457" customWidth="1"/>
    <col min="44" max="45" width="6.625" style="1458" hidden="1" customWidth="1"/>
    <col min="46" max="46" width="24.875" style="1458" hidden="1" customWidth="1"/>
    <col min="47" max="59" width="6.625" style="1458" hidden="1" customWidth="1"/>
    <col min="60" max="60" width="1.375" hidden="1" customWidth="1"/>
    <col min="61" max="62" width="6.625" style="1458" hidden="1" customWidth="1"/>
    <col min="63" max="63" width="24.875" style="1458" hidden="1" customWidth="1"/>
    <col min="64" max="76" width="6.625" style="1458" hidden="1" customWidth="1"/>
    <col min="77" max="77" width="0" hidden="1" customWidth="1"/>
    <col min="78" max="16384" width="1.375" style="1458" hidden="1"/>
  </cols>
  <sheetData>
    <row r="1" spans="1:77">
      <c r="AR1" s="1647"/>
      <c r="AS1" s="1647"/>
      <c r="AT1" s="1647"/>
      <c r="AU1" s="1647"/>
      <c r="AV1" s="1647"/>
      <c r="AW1" s="1647"/>
      <c r="AX1" s="1647"/>
      <c r="AY1" s="1647"/>
      <c r="AZ1" s="1647"/>
      <c r="BA1" s="1647"/>
      <c r="BB1" s="1647"/>
      <c r="BC1" s="1647"/>
      <c r="BD1" s="1647"/>
      <c r="BE1" s="1647"/>
      <c r="BF1" s="1647"/>
      <c r="BG1" s="1647"/>
      <c r="BI1" s="1647"/>
      <c r="BJ1" s="1647"/>
      <c r="BK1" s="1647"/>
      <c r="BL1" s="1647"/>
      <c r="BM1" s="1647"/>
      <c r="BN1" s="1647"/>
      <c r="BO1" s="1647"/>
      <c r="BP1" s="1647"/>
      <c r="BQ1" s="1647"/>
      <c r="BR1" s="1647"/>
      <c r="BS1" s="1647"/>
      <c r="BT1" s="1647"/>
      <c r="BU1" s="1647"/>
      <c r="BV1" s="1647"/>
      <c r="BW1" s="1647"/>
      <c r="BX1" s="1647"/>
    </row>
    <row r="2" spans="1:77" s="1467" customFormat="1" ht="17.25">
      <c r="A2"/>
      <c r="B2" s="1597" t="s">
        <v>215</v>
      </c>
      <c r="C2" s="1459"/>
      <c r="D2" s="1598"/>
      <c r="E2" s="1460"/>
      <c r="F2"/>
      <c r="G2" s="1599"/>
      <c r="H2" s="1599"/>
      <c r="I2" s="1460"/>
      <c r="J2" s="1460"/>
      <c r="K2" s="1460"/>
      <c r="L2" s="1460"/>
      <c r="M2"/>
      <c r="N2" s="1598"/>
      <c r="O2" s="1598"/>
      <c r="P2" s="1599"/>
      <c r="Q2" s="1599"/>
      <c r="R2" s="1460"/>
      <c r="S2" s="1460"/>
      <c r="T2" s="1460"/>
      <c r="U2" s="1460"/>
      <c r="V2" s="1460"/>
      <c r="W2" s="1460"/>
      <c r="X2" s="1460"/>
      <c r="Y2" s="1460"/>
      <c r="Z2" s="1461"/>
      <c r="AA2" s="1462" t="s">
        <v>353</v>
      </c>
      <c r="AB2" s="1463"/>
      <c r="AC2" s="1464"/>
      <c r="AD2" s="1464"/>
      <c r="AE2" s="1465"/>
      <c r="AF2" s="1465"/>
      <c r="AG2" s="1465"/>
      <c r="AH2" s="1465"/>
      <c r="AI2" s="1465"/>
      <c r="AJ2" s="1465"/>
      <c r="AK2" s="1465"/>
      <c r="AL2" s="1465"/>
      <c r="AM2" s="1465"/>
      <c r="AN2" s="1465"/>
      <c r="AO2" s="1465"/>
      <c r="AP2" s="1465"/>
      <c r="AQ2" s="1466"/>
      <c r="AR2" s="1464"/>
      <c r="AS2" s="1464"/>
      <c r="AT2" s="1464"/>
      <c r="AU2" s="1464"/>
      <c r="AV2" s="1464"/>
      <c r="AW2" s="1464"/>
      <c r="AX2" s="1464"/>
      <c r="AY2" s="1464"/>
      <c r="AZ2" s="1464"/>
      <c r="BA2" s="1464"/>
      <c r="BB2" s="1464"/>
      <c r="BC2" s="1464"/>
      <c r="BD2" s="1464"/>
      <c r="BE2" s="1464"/>
      <c r="BF2" s="1464"/>
      <c r="BG2" s="1464"/>
      <c r="BH2"/>
      <c r="BI2" s="1464"/>
      <c r="BJ2" s="1464"/>
      <c r="BK2" s="1464"/>
      <c r="BL2" s="1464"/>
      <c r="BM2" s="1464"/>
      <c r="BN2" s="1464"/>
      <c r="BO2" s="1464"/>
      <c r="BP2" s="1464"/>
      <c r="BQ2" s="1464"/>
      <c r="BR2" s="1464"/>
      <c r="BS2" s="1464"/>
      <c r="BT2" s="1464"/>
      <c r="BU2" s="1464"/>
      <c r="BV2" s="1464"/>
      <c r="BW2" s="1464"/>
      <c r="BX2" s="1464"/>
      <c r="BY2"/>
    </row>
    <row r="3" spans="1:77" s="1467" customFormat="1" ht="17.25">
      <c r="A3"/>
      <c r="B3" s="1597"/>
      <c r="C3" s="1459"/>
      <c r="D3" s="1598"/>
      <c r="E3" s="1460"/>
      <c r="F3"/>
      <c r="G3" s="1599"/>
      <c r="H3" s="1599"/>
      <c r="I3" s="1460"/>
      <c r="J3" s="1460"/>
      <c r="K3" s="1460"/>
      <c r="L3" s="1460"/>
      <c r="M3"/>
      <c r="N3" s="1598"/>
      <c r="O3" s="1598"/>
      <c r="P3" s="1599"/>
      <c r="Q3" s="1599"/>
      <c r="R3" s="1460"/>
      <c r="S3" s="1460"/>
      <c r="T3" s="1460"/>
      <c r="U3" s="1460"/>
      <c r="V3" s="1460"/>
      <c r="X3" s="1460"/>
      <c r="Y3" s="1460"/>
      <c r="Z3" s="1461"/>
      <c r="AA3" s="1648">
        <v>2</v>
      </c>
      <c r="AB3" s="1464"/>
      <c r="AC3" s="1897" t="s">
        <v>752</v>
      </c>
      <c r="AD3" s="1898">
        <v>2</v>
      </c>
      <c r="AE3" s="1465"/>
      <c r="AF3" s="1465"/>
      <c r="AG3" s="1465"/>
      <c r="AH3" s="1465"/>
      <c r="AI3" s="1465"/>
      <c r="AJ3" s="1465"/>
      <c r="AK3" s="1465"/>
      <c r="AL3" s="1465"/>
      <c r="AM3" s="1465"/>
      <c r="AN3" s="1465"/>
      <c r="AO3" s="1465"/>
      <c r="AP3" s="1465"/>
      <c r="AQ3" s="1466"/>
      <c r="AR3" s="1463" t="s">
        <v>354</v>
      </c>
      <c r="AS3" s="1464"/>
      <c r="AT3" s="1468"/>
      <c r="AU3" s="1465"/>
      <c r="AV3" s="1465"/>
      <c r="AW3" s="1465"/>
      <c r="AX3" s="1465"/>
      <c r="AY3" s="1465"/>
      <c r="AZ3" s="1465"/>
      <c r="BA3" s="1465"/>
      <c r="BB3" s="1465"/>
      <c r="BC3" s="1465"/>
      <c r="BD3" s="1465"/>
      <c r="BE3" s="1465"/>
      <c r="BF3" s="1465"/>
      <c r="BG3" s="1465"/>
      <c r="BH3"/>
      <c r="BI3" s="1463" t="s">
        <v>355</v>
      </c>
      <c r="BJ3" s="1464"/>
      <c r="BK3" s="1468"/>
      <c r="BL3" s="1465"/>
      <c r="BM3" s="1465"/>
      <c r="BN3" s="1465"/>
      <c r="BO3" s="1465"/>
      <c r="BP3" s="1465"/>
      <c r="BQ3" s="1465"/>
      <c r="BR3" s="1465"/>
      <c r="BS3" s="1465"/>
      <c r="BT3" s="1465"/>
      <c r="BU3" s="1465"/>
      <c r="BV3" s="1465"/>
      <c r="BW3" s="1465"/>
      <c r="BX3" s="1465"/>
      <c r="BY3"/>
    </row>
    <row r="4" spans="1:77" s="1467" customFormat="1" ht="4.5" customHeight="1">
      <c r="A4"/>
      <c r="B4" s="1597"/>
      <c r="C4" s="1459"/>
      <c r="D4" s="1598"/>
      <c r="E4" s="1460"/>
      <c r="F4"/>
      <c r="G4" s="1599"/>
      <c r="H4" s="1599"/>
      <c r="I4" s="1460"/>
      <c r="J4" s="1460"/>
      <c r="K4" s="1460"/>
      <c r="L4" s="1460"/>
      <c r="M4"/>
      <c r="N4" s="1598"/>
      <c r="O4" s="1598"/>
      <c r="P4" s="1599"/>
      <c r="Q4" s="1599"/>
      <c r="R4" s="1460"/>
      <c r="S4" s="1460"/>
      <c r="T4" s="1460"/>
      <c r="U4" s="1460"/>
      <c r="V4" s="1460"/>
      <c r="W4" s="1460"/>
      <c r="X4" s="1460"/>
      <c r="Y4" s="1460"/>
      <c r="Z4" s="1461"/>
      <c r="AA4" s="1463"/>
      <c r="AB4" s="1463"/>
      <c r="AC4" s="1468"/>
      <c r="AD4" s="1465"/>
      <c r="AE4" s="1465"/>
      <c r="AF4" s="1465"/>
      <c r="AG4" s="1465"/>
      <c r="AH4" s="1465"/>
      <c r="AI4" s="1465"/>
      <c r="AJ4" s="1465"/>
      <c r="AK4" s="1465"/>
      <c r="AL4" s="1465"/>
      <c r="AM4" s="1465"/>
      <c r="AN4" s="1465"/>
      <c r="AO4" s="1465"/>
      <c r="AP4" s="1465"/>
      <c r="AQ4" s="1466"/>
      <c r="AR4" s="1463"/>
      <c r="AS4" s="1463"/>
      <c r="AT4" s="1468"/>
      <c r="AU4" s="1465"/>
      <c r="AV4" s="1465"/>
      <c r="AW4" s="1465"/>
      <c r="AX4" s="1465"/>
      <c r="AY4" s="1465"/>
      <c r="AZ4" s="1465"/>
      <c r="BA4" s="1465"/>
      <c r="BB4" s="1465"/>
      <c r="BC4" s="1465"/>
      <c r="BD4" s="1465"/>
      <c r="BE4" s="1465"/>
      <c r="BF4" s="1465"/>
      <c r="BG4" s="1465"/>
      <c r="BH4"/>
      <c r="BI4" s="1463"/>
      <c r="BJ4" s="1463"/>
      <c r="BK4" s="1468"/>
      <c r="BL4" s="1465"/>
      <c r="BM4" s="1465"/>
      <c r="BN4" s="1465"/>
      <c r="BO4" s="1465"/>
      <c r="BP4" s="1465"/>
      <c r="BQ4" s="1465"/>
      <c r="BR4" s="1465"/>
      <c r="BS4" s="1465"/>
      <c r="BT4" s="1465"/>
      <c r="BU4" s="1465"/>
      <c r="BV4" s="1465"/>
      <c r="BW4" s="1465"/>
      <c r="BX4" s="1465"/>
      <c r="BY4"/>
    </row>
    <row r="5" spans="1:77" ht="13.5" customHeight="1">
      <c r="B5" s="2986"/>
      <c r="C5" s="2987"/>
      <c r="D5" s="1600" t="s">
        <v>341</v>
      </c>
      <c r="E5" s="1923"/>
      <c r="G5" s="1924" t="s">
        <v>343</v>
      </c>
      <c r="H5" s="1925"/>
      <c r="I5" s="1926" t="s">
        <v>342</v>
      </c>
      <c r="J5" s="1927"/>
      <c r="K5" s="1469" t="s">
        <v>358</v>
      </c>
      <c r="L5" s="1470"/>
      <c r="N5" s="2352" t="s">
        <v>356</v>
      </c>
      <c r="O5" s="1600"/>
      <c r="P5" s="1601" t="s">
        <v>357</v>
      </c>
      <c r="Q5" s="1602"/>
      <c r="R5" s="1469" t="s">
        <v>359</v>
      </c>
      <c r="S5" s="1470"/>
      <c r="T5" s="1460"/>
      <c r="U5" s="1469" t="s">
        <v>345</v>
      </c>
      <c r="V5" s="1470"/>
      <c r="W5" s="1460"/>
      <c r="X5" s="1469" t="s">
        <v>349</v>
      </c>
      <c r="Y5" s="1470"/>
      <c r="Z5" s="1471"/>
      <c r="AA5" s="1472"/>
      <c r="AB5" s="1472"/>
      <c r="AC5" s="1472"/>
      <c r="AD5" s="1473" t="s">
        <v>360</v>
      </c>
      <c r="AE5" s="1474"/>
      <c r="AF5" s="1474"/>
      <c r="AG5" s="1474"/>
      <c r="AH5" s="1474"/>
      <c r="AI5" s="1474"/>
      <c r="AJ5" s="1474"/>
      <c r="AK5" s="1474"/>
      <c r="AL5" s="1474"/>
      <c r="AM5" s="1474" t="s">
        <v>842</v>
      </c>
      <c r="AN5" s="1473" t="s">
        <v>361</v>
      </c>
      <c r="AO5" s="1474"/>
      <c r="AP5" s="1475"/>
      <c r="AQ5" s="1476"/>
      <c r="AR5" s="1472"/>
      <c r="AS5" s="1472"/>
      <c r="AT5" s="1472"/>
      <c r="AU5" s="1473" t="s">
        <v>219</v>
      </c>
      <c r="AV5" s="1474"/>
      <c r="AW5" s="1474"/>
      <c r="AX5" s="1474"/>
      <c r="AY5" s="1474"/>
      <c r="AZ5" s="1474"/>
      <c r="BA5" s="1474"/>
      <c r="BB5" s="1474"/>
      <c r="BC5" s="1474"/>
      <c r="BD5" s="1474" t="s">
        <v>842</v>
      </c>
      <c r="BE5" s="1473" t="s">
        <v>220</v>
      </c>
      <c r="BF5" s="1474"/>
      <c r="BG5" s="1475"/>
      <c r="BI5" s="1472"/>
      <c r="BJ5" s="1472"/>
      <c r="BK5" s="1472"/>
      <c r="BL5" s="1473" t="s">
        <v>219</v>
      </c>
      <c r="BM5" s="1474"/>
      <c r="BN5" s="1474"/>
      <c r="BO5" s="1474"/>
      <c r="BP5" s="1474"/>
      <c r="BQ5" s="1474"/>
      <c r="BR5" s="1474"/>
      <c r="BS5" s="1474"/>
      <c r="BT5" s="1474"/>
      <c r="BU5" s="1474" t="s">
        <v>842</v>
      </c>
      <c r="BV5" s="1473" t="s">
        <v>220</v>
      </c>
      <c r="BW5" s="1474"/>
      <c r="BX5" s="1475"/>
    </row>
    <row r="6" spans="1:77" ht="13.5" customHeight="1">
      <c r="B6" s="2988"/>
      <c r="C6" s="2989"/>
      <c r="D6" s="1934" t="s">
        <v>221</v>
      </c>
      <c r="E6" s="1934" t="s">
        <v>222</v>
      </c>
      <c r="G6" s="1934" t="s">
        <v>221</v>
      </c>
      <c r="H6" s="1934" t="s">
        <v>222</v>
      </c>
      <c r="I6" s="1934" t="s">
        <v>221</v>
      </c>
      <c r="J6" s="1934" t="s">
        <v>222</v>
      </c>
      <c r="K6" s="1478" t="s">
        <v>346</v>
      </c>
      <c r="L6" s="1478" t="s">
        <v>347</v>
      </c>
      <c r="N6" s="1478" t="s">
        <v>346</v>
      </c>
      <c r="O6" s="1478" t="s">
        <v>347</v>
      </c>
      <c r="P6" s="1478" t="s">
        <v>346</v>
      </c>
      <c r="Q6" s="1478" t="s">
        <v>347</v>
      </c>
      <c r="R6" s="1478" t="s">
        <v>346</v>
      </c>
      <c r="S6" s="1478" t="s">
        <v>347</v>
      </c>
      <c r="T6" s="1460"/>
      <c r="U6" s="1478" t="s">
        <v>346</v>
      </c>
      <c r="V6" s="1478" t="s">
        <v>347</v>
      </c>
      <c r="W6" s="1460"/>
      <c r="X6" s="1478" t="s">
        <v>346</v>
      </c>
      <c r="Y6" s="1478" t="s">
        <v>347</v>
      </c>
      <c r="Z6" s="1479"/>
      <c r="AA6" s="1472"/>
      <c r="AB6" s="1472" t="s">
        <v>362</v>
      </c>
      <c r="AC6" s="1472" t="s">
        <v>363</v>
      </c>
      <c r="AD6" s="1480" t="s">
        <v>456</v>
      </c>
      <c r="AE6" s="1480" t="s">
        <v>458</v>
      </c>
      <c r="AF6" s="1480" t="s">
        <v>460</v>
      </c>
      <c r="AG6" s="1480" t="s">
        <v>462</v>
      </c>
      <c r="AH6" s="1480" t="s">
        <v>466</v>
      </c>
      <c r="AI6" s="1480" t="s">
        <v>767</v>
      </c>
      <c r="AJ6" s="1480" t="s">
        <v>470</v>
      </c>
      <c r="AK6" s="1481" t="s">
        <v>148</v>
      </c>
      <c r="AL6" s="1480" t="s">
        <v>149</v>
      </c>
      <c r="AM6" s="1482" t="s">
        <v>458</v>
      </c>
      <c r="AN6" s="1482" t="s">
        <v>223</v>
      </c>
      <c r="AO6" s="1480" t="s">
        <v>224</v>
      </c>
      <c r="AP6" s="1480" t="s">
        <v>225</v>
      </c>
      <c r="AQ6" s="1483"/>
      <c r="AR6" s="1472"/>
      <c r="AS6" s="1472" t="s">
        <v>63</v>
      </c>
      <c r="AT6" s="1472" t="s">
        <v>388</v>
      </c>
      <c r="AU6" s="1480" t="s">
        <v>456</v>
      </c>
      <c r="AV6" s="1480" t="s">
        <v>458</v>
      </c>
      <c r="AW6" s="1480" t="s">
        <v>460</v>
      </c>
      <c r="AX6" s="1480" t="s">
        <v>462</v>
      </c>
      <c r="AY6" s="1480" t="s">
        <v>466</v>
      </c>
      <c r="AZ6" s="1480" t="s">
        <v>767</v>
      </c>
      <c r="BA6" s="1480" t="s">
        <v>470</v>
      </c>
      <c r="BB6" s="1481" t="s">
        <v>766</v>
      </c>
      <c r="BC6" s="1480" t="s">
        <v>472</v>
      </c>
      <c r="BD6" s="1482" t="s">
        <v>458</v>
      </c>
      <c r="BE6" s="1482" t="s">
        <v>223</v>
      </c>
      <c r="BF6" s="1480" t="s">
        <v>224</v>
      </c>
      <c r="BG6" s="1480" t="s">
        <v>225</v>
      </c>
      <c r="BI6" s="1472"/>
      <c r="BJ6" s="1472" t="s">
        <v>63</v>
      </c>
      <c r="BK6" s="1472" t="s">
        <v>388</v>
      </c>
      <c r="BL6" s="1480" t="s">
        <v>456</v>
      </c>
      <c r="BM6" s="1480" t="s">
        <v>458</v>
      </c>
      <c r="BN6" s="1480" t="s">
        <v>460</v>
      </c>
      <c r="BO6" s="1480" t="s">
        <v>462</v>
      </c>
      <c r="BP6" s="1480" t="s">
        <v>466</v>
      </c>
      <c r="BQ6" s="1480" t="s">
        <v>767</v>
      </c>
      <c r="BR6" s="1480" t="s">
        <v>470</v>
      </c>
      <c r="BS6" s="1481" t="s">
        <v>766</v>
      </c>
      <c r="BT6" s="1480" t="s">
        <v>472</v>
      </c>
      <c r="BU6" s="1482" t="s">
        <v>458</v>
      </c>
      <c r="BV6" s="1482" t="s">
        <v>223</v>
      </c>
      <c r="BW6" s="1480" t="s">
        <v>224</v>
      </c>
      <c r="BX6" s="1480" t="s">
        <v>225</v>
      </c>
    </row>
    <row r="7" spans="1:77" ht="13.5" customHeight="1">
      <c r="B7" s="1603"/>
      <c r="C7" s="1484" t="s">
        <v>350</v>
      </c>
      <c r="D7" s="1941">
        <f>1-E7</f>
        <v>1</v>
      </c>
      <c r="E7" s="1942">
        <f>(AD8*X7)+(AE8*Y7)+(AF8*Z7)</f>
        <v>0</v>
      </c>
      <c r="G7" s="1942"/>
      <c r="H7" s="1942"/>
      <c r="I7" s="1942"/>
      <c r="J7" s="1942"/>
      <c r="K7" s="1478"/>
      <c r="L7" s="1478"/>
      <c r="N7" s="2353"/>
      <c r="O7" s="1604"/>
      <c r="P7" s="1478"/>
      <c r="Q7" s="1478"/>
      <c r="R7" s="1478"/>
      <c r="S7" s="1478"/>
      <c r="T7" s="1460"/>
      <c r="U7" s="2355"/>
      <c r="V7" s="1649"/>
      <c r="W7" s="1460"/>
      <c r="X7" s="1478"/>
      <c r="Y7" s="1478"/>
      <c r="Z7" s="1479"/>
      <c r="AA7" s="1472"/>
      <c r="AB7" s="1472" t="s">
        <v>364</v>
      </c>
      <c r="AC7" s="1472" t="s">
        <v>350</v>
      </c>
      <c r="AD7" s="1485">
        <f>メイン!$V$52/メイン!$V$72</f>
        <v>0.71801566579634468</v>
      </c>
      <c r="AE7" s="1485">
        <f>(メイン!J54+メイン!J57+メイン!J58)/メイン!$H$19</f>
        <v>0</v>
      </c>
      <c r="AF7" s="1485">
        <f>メイン!$V$59/メイン!$V$72</f>
        <v>0</v>
      </c>
      <c r="AG7" s="1485">
        <f>メイン!$V$61/メイン!$V$72</f>
        <v>0</v>
      </c>
      <c r="AH7" s="1485">
        <f>メイン!$V$65/メイン!$V$72</f>
        <v>0</v>
      </c>
      <c r="AI7" s="1485">
        <f>メイン!$V$66/メイン!$V$72</f>
        <v>0</v>
      </c>
      <c r="AJ7" s="1485">
        <f>メイン!$V$67/メイン!$V$72</f>
        <v>2.0887728459530026E-2</v>
      </c>
      <c r="AK7" s="1485">
        <f>メイン!$V$62/メイン!$V$72</f>
        <v>0</v>
      </c>
      <c r="AL7" s="1485">
        <f>メイン!$V$68/メイン!$V$72</f>
        <v>0.26109660574412535</v>
      </c>
      <c r="AM7" s="1485">
        <f>(メイン!J55+メイン!J56)/メイン!$H$19</f>
        <v>0</v>
      </c>
      <c r="AN7" s="1485">
        <f>$AH$7</f>
        <v>0</v>
      </c>
      <c r="AO7" s="1485">
        <f>$AI$7</f>
        <v>0</v>
      </c>
      <c r="AP7" s="1485">
        <f>$AJ$7</f>
        <v>2.0887728459530026E-2</v>
      </c>
      <c r="AQ7" s="1483"/>
      <c r="AR7" s="1472"/>
      <c r="AS7" s="1472"/>
      <c r="AT7" s="1472"/>
      <c r="AU7" s="1650"/>
      <c r="AV7" s="1650"/>
      <c r="AW7" s="1650"/>
      <c r="AX7" s="1650"/>
      <c r="AY7" s="1650"/>
      <c r="AZ7" s="1650"/>
      <c r="BA7" s="1650"/>
      <c r="BB7" s="1651"/>
      <c r="BC7" s="1650"/>
      <c r="BD7" s="1650"/>
      <c r="BE7" s="1650"/>
      <c r="BF7" s="1650"/>
      <c r="BG7" s="1650"/>
      <c r="BI7" s="1472"/>
      <c r="BJ7" s="1472"/>
      <c r="BK7" s="1472"/>
      <c r="BL7" s="1650"/>
      <c r="BM7" s="1650"/>
      <c r="BN7" s="1650"/>
      <c r="BO7" s="1650"/>
      <c r="BP7" s="1650"/>
      <c r="BQ7" s="1650"/>
      <c r="BR7" s="1650"/>
      <c r="BS7" s="1651"/>
      <c r="BT7" s="1650"/>
      <c r="BU7" s="1650"/>
      <c r="BV7" s="1650"/>
      <c r="BW7" s="1650"/>
      <c r="BX7" s="1650"/>
    </row>
    <row r="8" spans="1:77" s="1496" customFormat="1" ht="13.5" customHeight="1">
      <c r="A8"/>
      <c r="B8" s="1486">
        <f t="shared" ref="B8:B39" si="0">AA8</f>
        <v>0</v>
      </c>
      <c r="C8" s="1488" t="str">
        <f t="shared" ref="C8:C39" si="1">AC8</f>
        <v>住居宿泊・共用部面積比率</v>
      </c>
      <c r="D8" s="1947"/>
      <c r="E8" s="1948"/>
      <c r="F8"/>
      <c r="G8" s="1948"/>
      <c r="H8" s="1948"/>
      <c r="I8" s="1948">
        <f>G9+G61+G109</f>
        <v>1</v>
      </c>
      <c r="J8" s="1948">
        <f>H9+H61+H109</f>
        <v>0</v>
      </c>
      <c r="K8" s="1489"/>
      <c r="L8" s="1489"/>
      <c r="M8"/>
      <c r="N8" s="2354"/>
      <c r="O8" s="1605"/>
      <c r="P8" s="1489">
        <f>R9+R61+R109</f>
        <v>1</v>
      </c>
      <c r="Q8" s="1489">
        <f>S9+S61+S109</f>
        <v>0</v>
      </c>
      <c r="R8" s="1489"/>
      <c r="S8" s="1489"/>
      <c r="T8" s="1460"/>
      <c r="U8" s="2356"/>
      <c r="V8" s="1652"/>
      <c r="W8" s="1460"/>
      <c r="X8" s="1489"/>
      <c r="Y8" s="1489"/>
      <c r="Z8" s="1490"/>
      <c r="AA8" s="1491"/>
      <c r="AB8" s="1491" t="s">
        <v>229</v>
      </c>
      <c r="AC8" s="1491" t="s">
        <v>365</v>
      </c>
      <c r="AD8" s="1492"/>
      <c r="AE8" s="1492"/>
      <c r="AF8" s="1492"/>
      <c r="AG8" s="1492"/>
      <c r="AH8" s="1492">
        <f>1-$AN$8</f>
        <v>1</v>
      </c>
      <c r="AI8" s="1492">
        <f>1-$AO$8</f>
        <v>1</v>
      </c>
      <c r="AJ8" s="1492">
        <f>1-$AP$8</f>
        <v>6.25E-2</v>
      </c>
      <c r="AK8" s="1493"/>
      <c r="AL8" s="1492"/>
      <c r="AM8" s="1769"/>
      <c r="AN8" s="1494">
        <f>メイン!$J$73</f>
        <v>0</v>
      </c>
      <c r="AO8" s="1494">
        <f>メイン!$J$74</f>
        <v>0</v>
      </c>
      <c r="AP8" s="1494">
        <f>メイン!$J$75</f>
        <v>0.9375</v>
      </c>
      <c r="AQ8" s="1495"/>
      <c r="AR8" s="1491" t="s">
        <v>351</v>
      </c>
      <c r="AS8" s="1491"/>
      <c r="AT8" s="1488" t="s">
        <v>366</v>
      </c>
      <c r="AU8" s="1627"/>
      <c r="AV8" s="1627"/>
      <c r="AW8" s="1627"/>
      <c r="AX8" s="1627"/>
      <c r="AY8" s="1627"/>
      <c r="AZ8" s="1627"/>
      <c r="BA8" s="1627"/>
      <c r="BB8" s="1628"/>
      <c r="BC8" s="1627"/>
      <c r="BD8" s="1771"/>
      <c r="BE8" s="1629"/>
      <c r="BF8" s="1630"/>
      <c r="BG8" s="1630"/>
      <c r="BH8"/>
      <c r="BI8" s="1491" t="s">
        <v>351</v>
      </c>
      <c r="BJ8" s="1491"/>
      <c r="BK8" s="1488" t="s">
        <v>366</v>
      </c>
      <c r="BL8" s="1627"/>
      <c r="BM8" s="1627"/>
      <c r="BN8" s="1627"/>
      <c r="BO8" s="1627"/>
      <c r="BP8" s="1627"/>
      <c r="BQ8" s="1627"/>
      <c r="BR8" s="1627"/>
      <c r="BS8" s="1628"/>
      <c r="BT8" s="1627"/>
      <c r="BU8" s="1771"/>
      <c r="BV8" s="1629"/>
      <c r="BW8" s="1630"/>
      <c r="BX8" s="1630"/>
      <c r="BY8"/>
    </row>
    <row r="9" spans="1:77" s="1505" customFormat="1" ht="13.5" customHeight="1">
      <c r="A9"/>
      <c r="B9" s="1497" t="str">
        <f t="shared" si="0"/>
        <v>Q1</v>
      </c>
      <c r="C9" s="1498" t="str">
        <f t="shared" si="1"/>
        <v>室内環境</v>
      </c>
      <c r="D9" s="1956">
        <f>IF(I$8=0,0,G9/I$8)</f>
        <v>0.37389033942558753</v>
      </c>
      <c r="E9" s="1957">
        <f>IF(J$8=0,0,H9/J$8)</f>
        <v>0</v>
      </c>
      <c r="F9"/>
      <c r="G9" s="1957">
        <f t="shared" ref="G9:H40" si="2">K9*N9</f>
        <v>0.37389033942558753</v>
      </c>
      <c r="H9" s="1957">
        <f t="shared" si="2"/>
        <v>0</v>
      </c>
      <c r="I9" s="1957">
        <f>G10+G20+G34+G47</f>
        <v>1</v>
      </c>
      <c r="J9" s="1957">
        <f>H10+H20+H34+H47</f>
        <v>0.55779235467088895</v>
      </c>
      <c r="K9" s="1500">
        <f>IF(スコア表示!X9=0,0,1)</f>
        <v>1</v>
      </c>
      <c r="L9" s="1500">
        <f>IF(スコア表示!AB9=0,0,1)</f>
        <v>1</v>
      </c>
      <c r="M9"/>
      <c r="N9" s="1606">
        <f>IF(P$8=0,0,R9/P$8)</f>
        <v>0.37389033942558753</v>
      </c>
      <c r="O9" s="1606">
        <f>IF(Q$8=0,0,S9/Q$8)</f>
        <v>0</v>
      </c>
      <c r="P9" s="1500">
        <f>R10+R20+R34+R47</f>
        <v>0.99897742843703352</v>
      </c>
      <c r="Q9" s="1500">
        <f>S10+S20+S34+S47</f>
        <v>2.4110874026000588E-2</v>
      </c>
      <c r="R9" s="1500">
        <f>IF(スコア入力!R9="EB",重み_対象外!D9,U9)</f>
        <v>0.37389033942558753</v>
      </c>
      <c r="S9" s="1500">
        <f>IF(スコア入力!Y9="EB",重み_対象外!E9,V9)</f>
        <v>0</v>
      </c>
      <c r="T9" s="1460"/>
      <c r="U9" s="1653">
        <f>X9</f>
        <v>0.37389033942558753</v>
      </c>
      <c r="V9" s="1653">
        <f>Y9</f>
        <v>0</v>
      </c>
      <c r="W9" s="1460"/>
      <c r="X9" s="1500">
        <f>SUMPRODUCT($AD$7:$AM$7,AD9:AM9)</f>
        <v>0.37389033942558753</v>
      </c>
      <c r="Y9" s="1500">
        <f>(AN$7*AN9)+(AO$7*AO9)+(AP$7*AP9)</f>
        <v>0</v>
      </c>
      <c r="Z9" s="1501"/>
      <c r="AA9" s="1502" t="str">
        <f t="shared" ref="AA9:AA40" si="3">IF($AA$3=1,AR9,BI9)</f>
        <v>Q1</v>
      </c>
      <c r="AB9" s="1502" t="str">
        <f t="shared" ref="AB9:AB40" si="4">IF($AA$3=1,AS9,BJ9)</f>
        <v xml:space="preserve"> Q</v>
      </c>
      <c r="AC9" s="1502" t="str">
        <f t="shared" ref="AC9:AC40" si="5">IF($AA$3=1,AT9,BK9)</f>
        <v>室内環境</v>
      </c>
      <c r="AD9" s="1654">
        <f t="shared" ref="AD9:AD40" si="6">IF($AA$3=1,AU9,BL9)</f>
        <v>0.4</v>
      </c>
      <c r="AE9" s="1654">
        <f t="shared" ref="AE9:AE40" si="7">IF($AA$3=1,AV9,BM9)</f>
        <v>0.4</v>
      </c>
      <c r="AF9" s="1654">
        <f t="shared" ref="AF9:AF40" si="8">IF($AA$3=1,AW9,BN9)</f>
        <v>0.4</v>
      </c>
      <c r="AG9" s="1654">
        <f t="shared" ref="AG9:AG40" si="9">IF($AA$3=1,AX9,BO9)</f>
        <v>0.4</v>
      </c>
      <c r="AH9" s="1654">
        <f t="shared" ref="AH9:AH40" si="10">IF($AA$3=1,AY9,BP9)</f>
        <v>0.4</v>
      </c>
      <c r="AI9" s="1654">
        <f t="shared" ref="AI9:AI40" si="11">IF($AA$3=1,AZ9,BQ9)</f>
        <v>0.4</v>
      </c>
      <c r="AJ9" s="1654">
        <f t="shared" ref="AJ9:AJ40" si="12">IF($AA$3=1,BA9,BR9)</f>
        <v>0.4</v>
      </c>
      <c r="AK9" s="1654">
        <f t="shared" ref="AK9:AK40" si="13">IF($AA$3=1,BB9,BS9)</f>
        <v>0.4</v>
      </c>
      <c r="AL9" s="1654">
        <f t="shared" ref="AL9:AM40" si="14">IF($AA$3=1,BC9,BT9)</f>
        <v>0.3</v>
      </c>
      <c r="AM9" s="1654">
        <f t="shared" si="14"/>
        <v>0.4</v>
      </c>
      <c r="AN9" s="1655">
        <f t="shared" ref="AN9:AN40" si="15">IF($AA$3=1,BE9,BV9)</f>
        <v>0</v>
      </c>
      <c r="AO9" s="1654">
        <f t="shared" ref="AO9:AO40" si="16">IF($AA$3=1,BF9,BW9)</f>
        <v>0</v>
      </c>
      <c r="AP9" s="1654">
        <f t="shared" ref="AP9:AP40" si="17">IF($AA$3=1,BG9,BX9)</f>
        <v>0</v>
      </c>
      <c r="AQ9" s="1504"/>
      <c r="AR9" s="1497" t="s">
        <v>1314</v>
      </c>
      <c r="AS9" s="1959" t="s">
        <v>229</v>
      </c>
      <c r="AT9" s="1958" t="s">
        <v>1315</v>
      </c>
      <c r="AU9" s="1960">
        <v>0.4</v>
      </c>
      <c r="AV9" s="1960">
        <v>0.4</v>
      </c>
      <c r="AW9" s="1960">
        <v>0.4</v>
      </c>
      <c r="AX9" s="1960">
        <v>0.4</v>
      </c>
      <c r="AY9" s="1960">
        <v>0.4</v>
      </c>
      <c r="AZ9" s="1960">
        <v>0.4</v>
      </c>
      <c r="BA9" s="1960">
        <v>0.4</v>
      </c>
      <c r="BB9" s="1960">
        <v>0.4</v>
      </c>
      <c r="BC9" s="1960">
        <v>0.3</v>
      </c>
      <c r="BD9" s="1960">
        <v>0.4</v>
      </c>
      <c r="BE9" s="1961"/>
      <c r="BF9" s="1960"/>
      <c r="BG9" s="1960"/>
      <c r="BH9"/>
      <c r="BI9" s="1497" t="s">
        <v>1314</v>
      </c>
      <c r="BJ9" s="1959" t="s">
        <v>229</v>
      </c>
      <c r="BK9" s="1958" t="s">
        <v>1315</v>
      </c>
      <c r="BL9" s="1960">
        <v>0.4</v>
      </c>
      <c r="BM9" s="1960">
        <v>0.4</v>
      </c>
      <c r="BN9" s="1960">
        <v>0.4</v>
      </c>
      <c r="BO9" s="1960">
        <v>0.4</v>
      </c>
      <c r="BP9" s="1960">
        <v>0.4</v>
      </c>
      <c r="BQ9" s="1960">
        <v>0.4</v>
      </c>
      <c r="BR9" s="1960">
        <v>0.4</v>
      </c>
      <c r="BS9" s="1960">
        <v>0.4</v>
      </c>
      <c r="BT9" s="1960">
        <v>0.3</v>
      </c>
      <c r="BU9" s="1960">
        <v>0.4</v>
      </c>
      <c r="BV9" s="1961"/>
      <c r="BW9" s="1960"/>
      <c r="BX9" s="1960"/>
      <c r="BY9"/>
    </row>
    <row r="10" spans="1:77" s="1505" customFormat="1" ht="13.5" customHeight="1">
      <c r="A10"/>
      <c r="B10" s="1506">
        <f t="shared" si="0"/>
        <v>1</v>
      </c>
      <c r="C10" s="1507" t="str">
        <f t="shared" si="1"/>
        <v>音環境</v>
      </c>
      <c r="D10" s="1962">
        <f>IF(I$9=0,0,G10/I$9)</f>
        <v>0.15015354274288756</v>
      </c>
      <c r="E10" s="1643">
        <f>IF(J$9=0,0,H10/J$9)</f>
        <v>0</v>
      </c>
      <c r="F10"/>
      <c r="G10" s="1643">
        <f t="shared" si="2"/>
        <v>0.15015354274288756</v>
      </c>
      <c r="H10" s="1643">
        <f t="shared" si="2"/>
        <v>0</v>
      </c>
      <c r="I10" s="1621">
        <f>G11+G14+G19</f>
        <v>1</v>
      </c>
      <c r="J10" s="1621">
        <f>H11+H14+H19</f>
        <v>0</v>
      </c>
      <c r="K10" s="1608">
        <f>IF(スコア表示!X10=0,0,1)</f>
        <v>1</v>
      </c>
      <c r="L10" s="1608">
        <f>IF(スコア表示!AB10=0,0,1)</f>
        <v>0</v>
      </c>
      <c r="M10"/>
      <c r="N10" s="1607">
        <f>IF(P$9=0,0,R10/P$9)</f>
        <v>0.15015354274288756</v>
      </c>
      <c r="O10" s="1607">
        <f>IF(Q$9=0,0,S10/Q$9)</f>
        <v>0.44220764532911105</v>
      </c>
      <c r="P10" s="1609">
        <f>SUM(R11:R19)</f>
        <v>0.15000000000000002</v>
      </c>
      <c r="Q10" s="1610">
        <f>SUM(S11:S19)</f>
        <v>1.0662012829864544E-2</v>
      </c>
      <c r="R10" s="1516">
        <f>IF(スコア入力!R10="EB",重み_対象外!D10,U10)</f>
        <v>0.15000000000000002</v>
      </c>
      <c r="S10" s="1516">
        <f>IF(スコア入力!Y10="EB",重み_対象外!E10,V10)</f>
        <v>1.0662012829864544E-2</v>
      </c>
      <c r="T10" s="1460"/>
      <c r="U10" s="1507">
        <f>SUM(U11:U19)</f>
        <v>0.15000000000000002</v>
      </c>
      <c r="V10" s="1507">
        <f>SUM(V11:V19)</f>
        <v>1.0662012829864544E-2</v>
      </c>
      <c r="W10" s="1460"/>
      <c r="X10" s="1509">
        <f t="shared" ref="X10:X73" si="18">SUMPRODUCT($AD$7:$AM$7,AD10:AM10)</f>
        <v>0.15</v>
      </c>
      <c r="Y10" s="1509">
        <v>1</v>
      </c>
      <c r="Z10" s="1501"/>
      <c r="AA10" s="1506">
        <f t="shared" si="3"/>
        <v>1</v>
      </c>
      <c r="AB10" s="1506" t="str">
        <f t="shared" si="4"/>
        <v xml:space="preserve"> Q1</v>
      </c>
      <c r="AC10" s="1506" t="str">
        <f t="shared" si="5"/>
        <v>音環境</v>
      </c>
      <c r="AD10" s="1656">
        <f t="shared" si="6"/>
        <v>0.15</v>
      </c>
      <c r="AE10" s="1656">
        <f t="shared" si="7"/>
        <v>0.15</v>
      </c>
      <c r="AF10" s="1656">
        <f t="shared" si="8"/>
        <v>0.15</v>
      </c>
      <c r="AG10" s="1656">
        <f t="shared" si="9"/>
        <v>0.15</v>
      </c>
      <c r="AH10" s="1656">
        <f t="shared" si="10"/>
        <v>0.15</v>
      </c>
      <c r="AI10" s="1656">
        <f t="shared" si="11"/>
        <v>0.15</v>
      </c>
      <c r="AJ10" s="1656">
        <f t="shared" si="12"/>
        <v>0.15</v>
      </c>
      <c r="AK10" s="1657">
        <f t="shared" si="13"/>
        <v>0.23</v>
      </c>
      <c r="AL10" s="1656">
        <f t="shared" si="14"/>
        <v>0.15</v>
      </c>
      <c r="AM10" s="1656">
        <f t="shared" si="14"/>
        <v>0.15</v>
      </c>
      <c r="AN10" s="1658">
        <f t="shared" si="15"/>
        <v>0</v>
      </c>
      <c r="AO10" s="1656">
        <f t="shared" si="16"/>
        <v>0</v>
      </c>
      <c r="AP10" s="1656">
        <f t="shared" si="17"/>
        <v>0</v>
      </c>
      <c r="AQ10" s="1512"/>
      <c r="AR10" s="1541">
        <v>1</v>
      </c>
      <c r="AS10" s="1644" t="s">
        <v>230</v>
      </c>
      <c r="AT10" s="1680" t="s">
        <v>925</v>
      </c>
      <c r="AU10" s="1611">
        <v>0.15</v>
      </c>
      <c r="AV10" s="1611">
        <v>0.15</v>
      </c>
      <c r="AW10" s="1611">
        <v>0.15</v>
      </c>
      <c r="AX10" s="1611">
        <v>0.15</v>
      </c>
      <c r="AY10" s="1611">
        <v>0.15</v>
      </c>
      <c r="AZ10" s="1611">
        <v>0.15</v>
      </c>
      <c r="BA10" s="1611">
        <v>0.15</v>
      </c>
      <c r="BB10" s="1612">
        <v>0.23</v>
      </c>
      <c r="BC10" s="1611">
        <v>0.15</v>
      </c>
      <c r="BD10" s="1611">
        <v>0.15</v>
      </c>
      <c r="BE10" s="1963"/>
      <c r="BF10" s="1611"/>
      <c r="BG10" s="1611"/>
      <c r="BH10"/>
      <c r="BI10" s="1541">
        <v>1</v>
      </c>
      <c r="BJ10" s="1644" t="s">
        <v>230</v>
      </c>
      <c r="BK10" s="1680" t="s">
        <v>925</v>
      </c>
      <c r="BL10" s="1611">
        <v>0.15</v>
      </c>
      <c r="BM10" s="1611">
        <v>0.15</v>
      </c>
      <c r="BN10" s="1611">
        <v>0.15</v>
      </c>
      <c r="BO10" s="1611">
        <v>0.15</v>
      </c>
      <c r="BP10" s="1611">
        <v>0.15</v>
      </c>
      <c r="BQ10" s="1611">
        <v>0.15</v>
      </c>
      <c r="BR10" s="1611">
        <v>0.15</v>
      </c>
      <c r="BS10" s="1612">
        <v>0.23</v>
      </c>
      <c r="BT10" s="1611">
        <v>0.15</v>
      </c>
      <c r="BU10" s="1611">
        <v>0.15</v>
      </c>
      <c r="BV10" s="1963"/>
      <c r="BW10" s="1611"/>
      <c r="BX10" s="1611"/>
      <c r="BY10"/>
    </row>
    <row r="11" spans="1:77" ht="13.5" customHeight="1">
      <c r="B11" s="1513">
        <f t="shared" si="0"/>
        <v>1.1000000000000001</v>
      </c>
      <c r="C11" s="1514" t="str">
        <f t="shared" si="1"/>
        <v>騒音</v>
      </c>
      <c r="D11" s="1616">
        <f>IF(I$10=0,0,G11/I$10)</f>
        <v>0.40208877284595301</v>
      </c>
      <c r="E11" s="1616">
        <f>IF(J$10=0,0,H11/J$10)</f>
        <v>0</v>
      </c>
      <c r="G11" s="1591">
        <f t="shared" si="2"/>
        <v>0.40208877284595301</v>
      </c>
      <c r="H11" s="1591">
        <f t="shared" si="2"/>
        <v>0</v>
      </c>
      <c r="I11" s="1621">
        <f>SUM(G12:G13)</f>
        <v>0</v>
      </c>
      <c r="J11" s="1621">
        <f>SUM(H12:H13)</f>
        <v>0</v>
      </c>
      <c r="K11" s="1608">
        <f>IF(スコア表示!X11=0,0,1)</f>
        <v>1</v>
      </c>
      <c r="L11" s="1608">
        <f>IF(スコア表示!AB11=0,0,1)</f>
        <v>0</v>
      </c>
      <c r="N11" s="1613">
        <f>IF(P$10=0,0,R11/P$10)</f>
        <v>0.40208877284595301</v>
      </c>
      <c r="O11" s="1613">
        <f>IF(Q$10=0,0,S11/Q$10)</f>
        <v>0.979539641943734</v>
      </c>
      <c r="P11" s="1608"/>
      <c r="Q11" s="1608"/>
      <c r="R11" s="1516">
        <f>IF(スコア入力!R11="EB",重み_対象外!D11,U11)</f>
        <v>6.0313315926892958E-2</v>
      </c>
      <c r="S11" s="1516">
        <f>IF(スコア入力!Y11="EB",重み_対象外!E11,V11)</f>
        <v>1.0443864229765013E-2</v>
      </c>
      <c r="T11" s="1460"/>
      <c r="U11" s="1205">
        <f>X10*X11</f>
        <v>6.0313315926892958E-2</v>
      </c>
      <c r="V11" s="1205">
        <f>Y10*Y11</f>
        <v>1.0443864229765013E-2</v>
      </c>
      <c r="W11" s="1460"/>
      <c r="X11" s="1516">
        <f t="shared" ref="X11" si="19">SUMPRODUCT($AD$7:$AM$7,AD11:AM11)</f>
        <v>0.40208877284595307</v>
      </c>
      <c r="Y11" s="1516">
        <f t="shared" ref="Y11" si="20">(AN$7*AN11)+(AO$7*AO11)+(AP$7*AP11)</f>
        <v>1.0443864229765013E-2</v>
      </c>
      <c r="Z11" s="1471"/>
      <c r="AA11" s="1513">
        <f t="shared" si="3"/>
        <v>1.1000000000000001</v>
      </c>
      <c r="AB11" s="1513" t="str">
        <f t="shared" si="4"/>
        <v xml:space="preserve"> Q1 1</v>
      </c>
      <c r="AC11" s="1513" t="str">
        <f t="shared" si="5"/>
        <v>騒音</v>
      </c>
      <c r="AD11" s="1659">
        <f t="shared" si="6"/>
        <v>0.4</v>
      </c>
      <c r="AE11" s="1659">
        <f t="shared" si="7"/>
        <v>0.4</v>
      </c>
      <c r="AF11" s="1659">
        <f t="shared" si="8"/>
        <v>0.4</v>
      </c>
      <c r="AG11" s="1659">
        <f t="shared" si="9"/>
        <v>0.4</v>
      </c>
      <c r="AH11" s="1659">
        <f t="shared" si="10"/>
        <v>0.4</v>
      </c>
      <c r="AI11" s="1659">
        <f t="shared" si="11"/>
        <v>0.4</v>
      </c>
      <c r="AJ11" s="1659">
        <f t="shared" si="12"/>
        <v>0.5</v>
      </c>
      <c r="AK11" s="1659">
        <f t="shared" si="13"/>
        <v>0.4</v>
      </c>
      <c r="AL11" s="1659">
        <f t="shared" si="14"/>
        <v>0.4</v>
      </c>
      <c r="AM11" s="1659">
        <f t="shared" si="14"/>
        <v>0.4</v>
      </c>
      <c r="AN11" s="1660">
        <f t="shared" si="15"/>
        <v>0.4</v>
      </c>
      <c r="AO11" s="1659">
        <f t="shared" si="16"/>
        <v>0.4</v>
      </c>
      <c r="AP11" s="1659">
        <f t="shared" si="17"/>
        <v>0.5</v>
      </c>
      <c r="AQ11" s="1520"/>
      <c r="AR11" s="1547">
        <v>1.1000000000000001</v>
      </c>
      <c r="AS11" s="1593" t="s">
        <v>231</v>
      </c>
      <c r="AT11" s="1964" t="s">
        <v>1317</v>
      </c>
      <c r="AU11" s="1523">
        <v>0.4</v>
      </c>
      <c r="AV11" s="1523">
        <v>0.4</v>
      </c>
      <c r="AW11" s="1523">
        <v>0.4</v>
      </c>
      <c r="AX11" s="1523">
        <v>0.4</v>
      </c>
      <c r="AY11" s="1523">
        <v>0.4</v>
      </c>
      <c r="AZ11" s="1523">
        <v>0.4</v>
      </c>
      <c r="BA11" s="1523">
        <v>0.5</v>
      </c>
      <c r="BB11" s="1523">
        <v>0.4</v>
      </c>
      <c r="BC11" s="1523">
        <v>0.4</v>
      </c>
      <c r="BD11" s="1523">
        <v>0.4</v>
      </c>
      <c r="BE11" s="1523">
        <v>0.4</v>
      </c>
      <c r="BF11" s="1523">
        <v>0.4</v>
      </c>
      <c r="BG11" s="1523">
        <v>0.5</v>
      </c>
      <c r="BI11" s="1547">
        <v>1.1000000000000001</v>
      </c>
      <c r="BJ11" s="1593" t="s">
        <v>231</v>
      </c>
      <c r="BK11" s="1964" t="s">
        <v>1317</v>
      </c>
      <c r="BL11" s="1523">
        <v>0.4</v>
      </c>
      <c r="BM11" s="1523">
        <v>0.4</v>
      </c>
      <c r="BN11" s="1523">
        <v>0.4</v>
      </c>
      <c r="BO11" s="1523">
        <v>0.4</v>
      </c>
      <c r="BP11" s="1523">
        <v>0.4</v>
      </c>
      <c r="BQ11" s="1523">
        <v>0.4</v>
      </c>
      <c r="BR11" s="1523">
        <v>0.5</v>
      </c>
      <c r="BS11" s="1523">
        <v>0.4</v>
      </c>
      <c r="BT11" s="1523">
        <v>0.4</v>
      </c>
      <c r="BU11" s="1523">
        <v>0.4</v>
      </c>
      <c r="BV11" s="1523">
        <v>0.4</v>
      </c>
      <c r="BW11" s="1523">
        <v>0.4</v>
      </c>
      <c r="BX11" s="1523">
        <v>0.5</v>
      </c>
    </row>
    <row r="12" spans="1:77" ht="13.5" hidden="1" customHeight="1">
      <c r="B12" s="1553" t="str">
        <f t="shared" si="0"/>
        <v>1.1.1</v>
      </c>
      <c r="C12" s="1550" t="str">
        <f t="shared" si="1"/>
        <v>室内騒音レベル</v>
      </c>
      <c r="D12" s="1616">
        <f>IF(I$11=0,0,G12/I$11)</f>
        <v>0</v>
      </c>
      <c r="E12" s="1616">
        <f>IF(J$11=0,0,H12/J$11)</f>
        <v>0</v>
      </c>
      <c r="G12" s="1591">
        <f t="shared" si="2"/>
        <v>0</v>
      </c>
      <c r="H12" s="1591">
        <f t="shared" si="2"/>
        <v>0</v>
      </c>
      <c r="I12" s="1621"/>
      <c r="J12" s="1621"/>
      <c r="K12" s="1608">
        <f>IF(スコア表示!X12=0,0,1)</f>
        <v>0</v>
      </c>
      <c r="L12" s="1608">
        <f>IF(スコア表示!AB12=0,0,1)</f>
        <v>0</v>
      </c>
      <c r="N12" s="1613">
        <f>IF(P$11=0,0,R12/P$11)</f>
        <v>0</v>
      </c>
      <c r="O12" s="1613">
        <f>IF(Q$11=0,0,S12/Q$11)</f>
        <v>0</v>
      </c>
      <c r="P12" s="1608"/>
      <c r="Q12" s="1608"/>
      <c r="R12" s="1516">
        <f>IF(スコア入力!R12="EB",重み_対象外!D12,U12)</f>
        <v>0</v>
      </c>
      <c r="S12" s="1516">
        <f>IF(スコア入力!Y12="EB",重み_対象外!E12,V12)</f>
        <v>0</v>
      </c>
      <c r="T12" s="1460"/>
      <c r="U12" s="1514"/>
      <c r="V12" s="1514"/>
      <c r="W12" s="1460"/>
      <c r="X12" s="1516">
        <f t="shared" si="18"/>
        <v>0</v>
      </c>
      <c r="Y12" s="1516">
        <f t="shared" ref="Y12:Y73" si="21">(AN$7*AN12)+(AO$7*AO12)+(AP$7*AP12)</f>
        <v>0</v>
      </c>
      <c r="Z12" s="1471"/>
      <c r="AA12" s="1513" t="str">
        <f t="shared" si="3"/>
        <v>1.1.1</v>
      </c>
      <c r="AB12" s="1513" t="str">
        <f t="shared" si="4"/>
        <v xml:space="preserve"> Q1 1.1</v>
      </c>
      <c r="AC12" s="1513" t="str">
        <f t="shared" si="5"/>
        <v>室内騒音レベル</v>
      </c>
      <c r="AD12" s="1659">
        <f t="shared" si="6"/>
        <v>0</v>
      </c>
      <c r="AE12" s="1659">
        <f t="shared" si="7"/>
        <v>0</v>
      </c>
      <c r="AF12" s="1659">
        <f t="shared" si="8"/>
        <v>0</v>
      </c>
      <c r="AG12" s="1659">
        <f t="shared" si="9"/>
        <v>0</v>
      </c>
      <c r="AH12" s="1659">
        <f t="shared" si="10"/>
        <v>0</v>
      </c>
      <c r="AI12" s="1659">
        <f t="shared" si="11"/>
        <v>0</v>
      </c>
      <c r="AJ12" s="1659">
        <f t="shared" si="12"/>
        <v>0</v>
      </c>
      <c r="AK12" s="1659">
        <f t="shared" si="13"/>
        <v>0</v>
      </c>
      <c r="AL12" s="1659">
        <f t="shared" si="14"/>
        <v>0</v>
      </c>
      <c r="AM12" s="1659">
        <f t="shared" si="14"/>
        <v>0</v>
      </c>
      <c r="AN12" s="1660">
        <f t="shared" si="15"/>
        <v>0</v>
      </c>
      <c r="AO12" s="1659">
        <f t="shared" si="16"/>
        <v>0</v>
      </c>
      <c r="AP12" s="1659">
        <f t="shared" si="17"/>
        <v>0</v>
      </c>
      <c r="AQ12" s="1520"/>
      <c r="AR12" s="1547" t="s">
        <v>232</v>
      </c>
      <c r="AS12" s="1593" t="s">
        <v>233</v>
      </c>
      <c r="AT12" s="1964" t="s">
        <v>843</v>
      </c>
      <c r="AU12" s="1523"/>
      <c r="AV12" s="1523"/>
      <c r="AW12" s="1523"/>
      <c r="AX12" s="1523"/>
      <c r="AY12" s="1523"/>
      <c r="AZ12" s="1523"/>
      <c r="BA12" s="1523"/>
      <c r="BB12" s="1523"/>
      <c r="BC12" s="1523"/>
      <c r="BD12" s="1523"/>
      <c r="BE12" s="1525"/>
      <c r="BF12" s="1523"/>
      <c r="BG12" s="1523"/>
      <c r="BI12" s="1547" t="s">
        <v>232</v>
      </c>
      <c r="BJ12" s="1593" t="s">
        <v>233</v>
      </c>
      <c r="BK12" s="1964" t="s">
        <v>843</v>
      </c>
      <c r="BL12" s="1523"/>
      <c r="BM12" s="1523"/>
      <c r="BN12" s="1523"/>
      <c r="BO12" s="1523"/>
      <c r="BP12" s="1523"/>
      <c r="BQ12" s="1523"/>
      <c r="BR12" s="1523"/>
      <c r="BS12" s="1523"/>
      <c r="BT12" s="1523"/>
      <c r="BU12" s="1523"/>
      <c r="BV12" s="1525"/>
      <c r="BW12" s="1523"/>
      <c r="BX12" s="1523"/>
    </row>
    <row r="13" spans="1:77" ht="13.5" hidden="1" customHeight="1">
      <c r="B13" s="1553" t="str">
        <f t="shared" si="0"/>
        <v>1.1.2</v>
      </c>
      <c r="C13" s="1550" t="str">
        <f t="shared" si="1"/>
        <v>設備騒音対策</v>
      </c>
      <c r="D13" s="1616">
        <f>IF(I$11=0,0,G13/I$11)</f>
        <v>0</v>
      </c>
      <c r="E13" s="1616">
        <f>IF(J$11=0,0,H13/J$11)</f>
        <v>0</v>
      </c>
      <c r="G13" s="1591">
        <f t="shared" si="2"/>
        <v>0</v>
      </c>
      <c r="H13" s="1591">
        <f t="shared" si="2"/>
        <v>0</v>
      </c>
      <c r="I13" s="1621"/>
      <c r="J13" s="1621"/>
      <c r="K13" s="1608">
        <f>IF(スコア表示!X13=0,0,1)</f>
        <v>0</v>
      </c>
      <c r="L13" s="1608">
        <f>IF(スコア表示!AB13=0,0,1)</f>
        <v>0</v>
      </c>
      <c r="N13" s="1613">
        <f>IF(P$11=0,0,R13/P$11)</f>
        <v>0</v>
      </c>
      <c r="O13" s="1613">
        <f>IF(Q$11=0,0,S13/Q$11)</f>
        <v>0</v>
      </c>
      <c r="P13" s="1608"/>
      <c r="Q13" s="1608"/>
      <c r="R13" s="1516">
        <f>IF(スコア入力!R13="EB",重み_対象外!D13,U13)</f>
        <v>0</v>
      </c>
      <c r="S13" s="1516">
        <f>IF(スコア入力!Y13="EB",重み_対象外!E13,V13)</f>
        <v>0</v>
      </c>
      <c r="T13" s="1460"/>
      <c r="U13" s="1514"/>
      <c r="V13" s="1514"/>
      <c r="W13" s="1460"/>
      <c r="X13" s="1516">
        <f t="shared" si="18"/>
        <v>0</v>
      </c>
      <c r="Y13" s="1516">
        <f t="shared" si="21"/>
        <v>0</v>
      </c>
      <c r="Z13" s="1471"/>
      <c r="AA13" s="1513" t="str">
        <f t="shared" si="3"/>
        <v>1.1.2</v>
      </c>
      <c r="AB13" s="1513" t="str">
        <f t="shared" si="4"/>
        <v xml:space="preserve"> Q1 1.1</v>
      </c>
      <c r="AC13" s="1513" t="str">
        <f t="shared" si="5"/>
        <v>設備騒音対策</v>
      </c>
      <c r="AD13" s="1659">
        <f t="shared" si="6"/>
        <v>0</v>
      </c>
      <c r="AE13" s="1659">
        <f t="shared" si="7"/>
        <v>0</v>
      </c>
      <c r="AF13" s="1659">
        <f t="shared" si="8"/>
        <v>0</v>
      </c>
      <c r="AG13" s="1659">
        <f t="shared" si="9"/>
        <v>0</v>
      </c>
      <c r="AH13" s="1659">
        <f t="shared" si="10"/>
        <v>0</v>
      </c>
      <c r="AI13" s="1659">
        <f t="shared" si="11"/>
        <v>0</v>
      </c>
      <c r="AJ13" s="1659">
        <f t="shared" si="12"/>
        <v>0</v>
      </c>
      <c r="AK13" s="1659">
        <f t="shared" si="13"/>
        <v>0</v>
      </c>
      <c r="AL13" s="1659">
        <f t="shared" si="14"/>
        <v>0</v>
      </c>
      <c r="AM13" s="1659">
        <f t="shared" si="14"/>
        <v>0</v>
      </c>
      <c r="AN13" s="1660">
        <f t="shared" si="15"/>
        <v>0</v>
      </c>
      <c r="AO13" s="1659">
        <f t="shared" si="16"/>
        <v>0</v>
      </c>
      <c r="AP13" s="1659">
        <f t="shared" si="17"/>
        <v>0</v>
      </c>
      <c r="AQ13" s="1520"/>
      <c r="AR13" s="1547" t="s">
        <v>234</v>
      </c>
      <c r="AS13" s="1593" t="s">
        <v>233</v>
      </c>
      <c r="AT13" s="1964" t="s">
        <v>367</v>
      </c>
      <c r="AU13" s="1523"/>
      <c r="AV13" s="1523"/>
      <c r="AW13" s="1523"/>
      <c r="AX13" s="1523"/>
      <c r="AY13" s="1523"/>
      <c r="AZ13" s="1523"/>
      <c r="BA13" s="1523"/>
      <c r="BB13" s="1523"/>
      <c r="BC13" s="1523"/>
      <c r="BD13" s="1523"/>
      <c r="BE13" s="1525"/>
      <c r="BF13" s="1523"/>
      <c r="BG13" s="1523"/>
      <c r="BI13" s="1547" t="s">
        <v>234</v>
      </c>
      <c r="BJ13" s="1593" t="s">
        <v>233</v>
      </c>
      <c r="BK13" s="1964" t="s">
        <v>367</v>
      </c>
      <c r="BL13" s="1523"/>
      <c r="BM13" s="1523"/>
      <c r="BN13" s="1523"/>
      <c r="BO13" s="1523"/>
      <c r="BP13" s="1523"/>
      <c r="BQ13" s="1523"/>
      <c r="BR13" s="1523"/>
      <c r="BS13" s="1523"/>
      <c r="BT13" s="1523"/>
      <c r="BU13" s="1523"/>
      <c r="BV13" s="1525"/>
      <c r="BW13" s="1523"/>
      <c r="BX13" s="1523"/>
    </row>
    <row r="14" spans="1:77" ht="13.5" customHeight="1">
      <c r="B14" s="1521">
        <f t="shared" si="0"/>
        <v>1.2</v>
      </c>
      <c r="C14" s="522" t="str">
        <f t="shared" si="1"/>
        <v>遮音</v>
      </c>
      <c r="D14" s="1616">
        <f>IF(I$10=0,0,G14/I$10)</f>
        <v>0.40208877284595301</v>
      </c>
      <c r="E14" s="1616">
        <f>IF(J$10=0,0,H14/J$10)</f>
        <v>0</v>
      </c>
      <c r="G14" s="1591">
        <f t="shared" si="2"/>
        <v>0.40208877284595301</v>
      </c>
      <c r="H14" s="1591">
        <f t="shared" si="2"/>
        <v>0</v>
      </c>
      <c r="I14" s="1621">
        <f>SUM(G15:G18)</f>
        <v>1</v>
      </c>
      <c r="J14" s="1621">
        <f>SUM(H15:H18)</f>
        <v>0</v>
      </c>
      <c r="K14" s="1608">
        <f>IF(スコア表示!X14=0,0,1)</f>
        <v>1</v>
      </c>
      <c r="L14" s="1608">
        <f>IF(スコア表示!AB14=0,0,1)</f>
        <v>0</v>
      </c>
      <c r="N14" s="1613">
        <f>IF(P$10=0,0,P14/P$10)</f>
        <v>0.40208877284595301</v>
      </c>
      <c r="O14" s="1613">
        <f>IF(Q$10=0,0,Q14/Q$10)</f>
        <v>2.0460358056265983E-2</v>
      </c>
      <c r="P14" s="1608">
        <f>SUM(R15:R18)</f>
        <v>6.0313315926892958E-2</v>
      </c>
      <c r="Q14" s="1608">
        <f>SUM(S15:S18)</f>
        <v>2.181486000995303E-4</v>
      </c>
      <c r="R14" s="1516">
        <f>IF(スコア入力!R14="EB",重み_対象外!D14,U14)</f>
        <v>0</v>
      </c>
      <c r="S14" s="1516">
        <f>IF(スコア入力!Y14="EB",重み_対象外!E14,V14)</f>
        <v>0</v>
      </c>
      <c r="T14" s="1460"/>
      <c r="U14" s="1205"/>
      <c r="V14" s="1205"/>
      <c r="W14" s="1460"/>
      <c r="X14" s="1516">
        <f t="shared" si="18"/>
        <v>0.40208877284595307</v>
      </c>
      <c r="Y14" s="1516">
        <f t="shared" si="21"/>
        <v>1.0443864229765013E-2</v>
      </c>
      <c r="Z14" s="1471"/>
      <c r="AA14" s="1513">
        <f t="shared" si="3"/>
        <v>1.2</v>
      </c>
      <c r="AB14" s="1513" t="str">
        <f t="shared" si="4"/>
        <v xml:space="preserve"> Q1 1</v>
      </c>
      <c r="AC14" s="1513" t="str">
        <f t="shared" si="5"/>
        <v>遮音</v>
      </c>
      <c r="AD14" s="1659">
        <f t="shared" si="6"/>
        <v>0.4</v>
      </c>
      <c r="AE14" s="1659">
        <f>IF($AA$3=1,AV14,BM14)</f>
        <v>0.4</v>
      </c>
      <c r="AF14" s="1659">
        <f t="shared" si="8"/>
        <v>0.4</v>
      </c>
      <c r="AG14" s="1659">
        <f t="shared" si="9"/>
        <v>0.4</v>
      </c>
      <c r="AH14" s="1659">
        <f t="shared" si="10"/>
        <v>0.4</v>
      </c>
      <c r="AI14" s="1659">
        <f t="shared" si="11"/>
        <v>0.4</v>
      </c>
      <c r="AJ14" s="1659">
        <f t="shared" si="12"/>
        <v>0.5</v>
      </c>
      <c r="AK14" s="1659">
        <f t="shared" si="13"/>
        <v>0.4</v>
      </c>
      <c r="AL14" s="1659">
        <f t="shared" si="14"/>
        <v>0.4</v>
      </c>
      <c r="AM14" s="1659">
        <f t="shared" si="14"/>
        <v>0.4</v>
      </c>
      <c r="AN14" s="1660">
        <f t="shared" si="15"/>
        <v>0.4</v>
      </c>
      <c r="AO14" s="1659">
        <f t="shared" si="16"/>
        <v>0.4</v>
      </c>
      <c r="AP14" s="1659">
        <f t="shared" si="17"/>
        <v>0.5</v>
      </c>
      <c r="AQ14" s="1520"/>
      <c r="AR14" s="1547">
        <v>1.2</v>
      </c>
      <c r="AS14" s="1593" t="s">
        <v>231</v>
      </c>
      <c r="AT14" s="1885" t="s">
        <v>368</v>
      </c>
      <c r="AU14" s="1523">
        <v>0.4</v>
      </c>
      <c r="AV14" s="1523">
        <v>0.4</v>
      </c>
      <c r="AW14" s="1523">
        <v>0.4</v>
      </c>
      <c r="AX14" s="1523">
        <v>0.4</v>
      </c>
      <c r="AY14" s="1523">
        <v>0.4</v>
      </c>
      <c r="AZ14" s="1523">
        <v>0.4</v>
      </c>
      <c r="BA14" s="1523">
        <v>0.5</v>
      </c>
      <c r="BB14" s="1523">
        <v>0.4</v>
      </c>
      <c r="BC14" s="1523">
        <v>0.4</v>
      </c>
      <c r="BD14" s="1523">
        <v>0.4</v>
      </c>
      <c r="BE14" s="1523">
        <v>0.4</v>
      </c>
      <c r="BF14" s="1523">
        <v>0.4</v>
      </c>
      <c r="BG14" s="1523">
        <v>0.5</v>
      </c>
      <c r="BI14" s="1547">
        <v>1.2</v>
      </c>
      <c r="BJ14" s="1593" t="s">
        <v>231</v>
      </c>
      <c r="BK14" s="1885" t="s">
        <v>368</v>
      </c>
      <c r="BL14" s="1523">
        <v>0.4</v>
      </c>
      <c r="BM14" s="1523">
        <v>0.4</v>
      </c>
      <c r="BN14" s="1523">
        <v>0.4</v>
      </c>
      <c r="BO14" s="1523">
        <v>0.4</v>
      </c>
      <c r="BP14" s="1523">
        <v>0.4</v>
      </c>
      <c r="BQ14" s="1523">
        <v>0.4</v>
      </c>
      <c r="BR14" s="1523">
        <v>0.5</v>
      </c>
      <c r="BS14" s="1523">
        <v>0.4</v>
      </c>
      <c r="BT14" s="1523">
        <v>0.4</v>
      </c>
      <c r="BU14" s="1523">
        <v>0.4</v>
      </c>
      <c r="BV14" s="1523">
        <v>0.4</v>
      </c>
      <c r="BW14" s="1523">
        <v>0.4</v>
      </c>
      <c r="BX14" s="1523">
        <v>0.5</v>
      </c>
    </row>
    <row r="15" spans="1:77" ht="13.5" customHeight="1">
      <c r="B15" s="1521" t="str">
        <f t="shared" si="0"/>
        <v>1.2.1</v>
      </c>
      <c r="C15" s="522" t="str">
        <f t="shared" si="1"/>
        <v>開口部遮音性能</v>
      </c>
      <c r="D15" s="1616">
        <f t="shared" ref="D15:E18" si="22">IF(I$14=0,0,G15/I$14)</f>
        <v>0.60835509138381205</v>
      </c>
      <c r="E15" s="1616">
        <f>IF(J$14=0,0,H15/J$14)</f>
        <v>0</v>
      </c>
      <c r="G15" s="1591">
        <f t="shared" si="2"/>
        <v>0.60835509138381205</v>
      </c>
      <c r="H15" s="1591">
        <f t="shared" si="2"/>
        <v>0</v>
      </c>
      <c r="I15" s="1621"/>
      <c r="J15" s="1621"/>
      <c r="K15" s="1608">
        <f>IF(スコア表示!X15=0,0,1)</f>
        <v>1</v>
      </c>
      <c r="L15" s="1608">
        <f>IF(スコア表示!AB15=0,0,1)</f>
        <v>0</v>
      </c>
      <c r="N15" s="1613">
        <f t="shared" ref="N15:O18" si="23">IF(P$14=0,0,R15/P$14)</f>
        <v>0.60835509138381205</v>
      </c>
      <c r="O15" s="1613">
        <f t="shared" si="23"/>
        <v>0.30000000000000004</v>
      </c>
      <c r="P15" s="1516"/>
      <c r="Q15" s="1516"/>
      <c r="R15" s="1516">
        <f>IF(スコア入力!R15="EB",重み_対象外!D15,U15)</f>
        <v>3.669191282236569E-2</v>
      </c>
      <c r="S15" s="1516">
        <f>IF(スコア入力!Y15="EB",重み_対象外!E15,V15)</f>
        <v>6.5444580029859096E-5</v>
      </c>
      <c r="T15" s="1460"/>
      <c r="U15" s="1514">
        <f>X$10*X$14*X15</f>
        <v>3.669191282236569E-2</v>
      </c>
      <c r="V15" s="1514">
        <f t="shared" ref="U15:V18" si="24">Y$10*Y$14*Y15</f>
        <v>6.5444580029859096E-5</v>
      </c>
      <c r="W15" s="1460"/>
      <c r="X15" s="1516">
        <f t="shared" si="18"/>
        <v>0.60835509138381205</v>
      </c>
      <c r="Y15" s="1516">
        <f t="shared" si="21"/>
        <v>6.2663185378590081E-3</v>
      </c>
      <c r="Z15" s="1471"/>
      <c r="AA15" s="1513" t="str">
        <f t="shared" si="3"/>
        <v>1.2.1</v>
      </c>
      <c r="AB15" s="1513" t="str">
        <f t="shared" si="4"/>
        <v xml:space="preserve"> Q1 1.2</v>
      </c>
      <c r="AC15" s="1513" t="str">
        <f t="shared" si="5"/>
        <v>開口部遮音性能</v>
      </c>
      <c r="AD15" s="1659">
        <f t="shared" si="6"/>
        <v>0.6</v>
      </c>
      <c r="AE15" s="1659">
        <f t="shared" si="7"/>
        <v>0.3</v>
      </c>
      <c r="AF15" s="1659">
        <f t="shared" si="8"/>
        <v>1</v>
      </c>
      <c r="AG15" s="1659">
        <f t="shared" si="9"/>
        <v>0.6</v>
      </c>
      <c r="AH15" s="1659">
        <f t="shared" si="10"/>
        <v>0.4</v>
      </c>
      <c r="AI15" s="1659">
        <f t="shared" si="11"/>
        <v>1</v>
      </c>
      <c r="AJ15" s="1659">
        <f t="shared" si="12"/>
        <v>1</v>
      </c>
      <c r="AK15" s="1661">
        <f t="shared" si="13"/>
        <v>1</v>
      </c>
      <c r="AL15" s="1659">
        <f t="shared" si="14"/>
        <v>0.6</v>
      </c>
      <c r="AM15" s="1659">
        <f t="shared" si="14"/>
        <v>0.3</v>
      </c>
      <c r="AN15" s="1660">
        <f t="shared" si="15"/>
        <v>0.3</v>
      </c>
      <c r="AO15" s="1659">
        <f t="shared" si="16"/>
        <v>0.3</v>
      </c>
      <c r="AP15" s="1659">
        <f t="shared" si="17"/>
        <v>0.3</v>
      </c>
      <c r="AQ15" s="1520"/>
      <c r="AR15" s="1547" t="s">
        <v>1318</v>
      </c>
      <c r="AS15" s="1593" t="s">
        <v>235</v>
      </c>
      <c r="AT15" s="1885" t="s">
        <v>1319</v>
      </c>
      <c r="AU15" s="1523">
        <v>0.6</v>
      </c>
      <c r="AV15" s="1523">
        <v>0.3</v>
      </c>
      <c r="AW15" s="1523">
        <v>1</v>
      </c>
      <c r="AX15" s="1523">
        <v>0.6</v>
      </c>
      <c r="AY15" s="1523">
        <v>0.4</v>
      </c>
      <c r="AZ15" s="1523">
        <v>1</v>
      </c>
      <c r="BA15" s="1523">
        <v>1</v>
      </c>
      <c r="BB15" s="1523">
        <v>1</v>
      </c>
      <c r="BC15" s="1523">
        <v>0.6</v>
      </c>
      <c r="BD15" s="1523">
        <v>0.3</v>
      </c>
      <c r="BE15" s="1523">
        <v>0.3</v>
      </c>
      <c r="BF15" s="1523">
        <v>0.3</v>
      </c>
      <c r="BG15" s="1523">
        <v>0.3</v>
      </c>
      <c r="BI15" s="1547" t="s">
        <v>1318</v>
      </c>
      <c r="BJ15" s="1593" t="s">
        <v>235</v>
      </c>
      <c r="BK15" s="1885" t="s">
        <v>1319</v>
      </c>
      <c r="BL15" s="1523">
        <v>0.6</v>
      </c>
      <c r="BM15" s="1523">
        <v>0.3</v>
      </c>
      <c r="BN15" s="1523">
        <v>1</v>
      </c>
      <c r="BO15" s="1523">
        <v>0.6</v>
      </c>
      <c r="BP15" s="1523">
        <v>0.4</v>
      </c>
      <c r="BQ15" s="1523">
        <v>1</v>
      </c>
      <c r="BR15" s="1523">
        <v>1</v>
      </c>
      <c r="BS15" s="1523">
        <v>1</v>
      </c>
      <c r="BT15" s="1523">
        <v>0.6</v>
      </c>
      <c r="BU15" s="1523">
        <v>0.3</v>
      </c>
      <c r="BV15" s="1523">
        <v>0.3</v>
      </c>
      <c r="BW15" s="1523">
        <v>0.3</v>
      </c>
      <c r="BX15" s="1523">
        <v>0.3</v>
      </c>
    </row>
    <row r="16" spans="1:77" ht="13.5" customHeight="1">
      <c r="B16" s="1521" t="str">
        <f t="shared" si="0"/>
        <v>1.2.2</v>
      </c>
      <c r="C16" s="522" t="str">
        <f t="shared" si="1"/>
        <v>界壁遮音性能</v>
      </c>
      <c r="D16" s="1616">
        <f t="shared" si="22"/>
        <v>0.39164490861618806</v>
      </c>
      <c r="E16" s="1616">
        <f t="shared" si="22"/>
        <v>0</v>
      </c>
      <c r="G16" s="1591">
        <f t="shared" si="2"/>
        <v>0.39164490861618806</v>
      </c>
      <c r="H16" s="1591">
        <f t="shared" si="2"/>
        <v>0</v>
      </c>
      <c r="I16" s="1591"/>
      <c r="J16" s="1591"/>
      <c r="K16" s="1516">
        <f>IF(スコア表示!X16=0,0,1)</f>
        <v>1</v>
      </c>
      <c r="L16" s="1516">
        <f>IF(スコア表示!AB16=0,0,1)</f>
        <v>0</v>
      </c>
      <c r="N16" s="1613">
        <f t="shared" si="23"/>
        <v>0.39164490861618806</v>
      </c>
      <c r="O16" s="1613">
        <f t="shared" si="23"/>
        <v>0.30000000000000004</v>
      </c>
      <c r="P16" s="1516"/>
      <c r="Q16" s="1516"/>
      <c r="R16" s="1516">
        <f>IF(スコア入力!R16="EB",重み_対象外!D16,U16)</f>
        <v>2.3621403104527271E-2</v>
      </c>
      <c r="S16" s="1516">
        <f>IF(スコア入力!Y16="EB",重み_対象外!E16,V16)</f>
        <v>6.5444580029859096E-5</v>
      </c>
      <c r="T16" s="1460"/>
      <c r="U16" s="1514">
        <f t="shared" si="24"/>
        <v>2.3621403104527271E-2</v>
      </c>
      <c r="V16" s="1514">
        <f t="shared" si="24"/>
        <v>6.5444580029859096E-5</v>
      </c>
      <c r="W16" s="1460"/>
      <c r="X16" s="1516">
        <f t="shared" si="18"/>
        <v>0.39164490861618806</v>
      </c>
      <c r="Y16" s="1516">
        <f t="shared" si="21"/>
        <v>6.2663185378590081E-3</v>
      </c>
      <c r="Z16" s="1471"/>
      <c r="AA16" s="1513" t="str">
        <f t="shared" si="3"/>
        <v>1.2.2</v>
      </c>
      <c r="AB16" s="1513" t="str">
        <f t="shared" si="4"/>
        <v xml:space="preserve"> Q1 1.2</v>
      </c>
      <c r="AC16" s="1513" t="str">
        <f t="shared" si="5"/>
        <v>界壁遮音性能</v>
      </c>
      <c r="AD16" s="1659">
        <f t="shared" si="6"/>
        <v>0.4</v>
      </c>
      <c r="AE16" s="1659">
        <f t="shared" si="7"/>
        <v>0.3</v>
      </c>
      <c r="AF16" s="1659">
        <f t="shared" si="8"/>
        <v>0</v>
      </c>
      <c r="AG16" s="1659">
        <f t="shared" si="9"/>
        <v>0.4</v>
      </c>
      <c r="AH16" s="1659">
        <f t="shared" si="10"/>
        <v>0.6</v>
      </c>
      <c r="AI16" s="1659">
        <f t="shared" si="11"/>
        <v>0</v>
      </c>
      <c r="AJ16" s="1659">
        <f t="shared" si="12"/>
        <v>0</v>
      </c>
      <c r="AK16" s="1661">
        <f t="shared" si="13"/>
        <v>0</v>
      </c>
      <c r="AL16" s="1659">
        <f t="shared" si="14"/>
        <v>0.4</v>
      </c>
      <c r="AM16" s="1659">
        <f t="shared" si="14"/>
        <v>0.3</v>
      </c>
      <c r="AN16" s="1660">
        <f t="shared" si="15"/>
        <v>0.3</v>
      </c>
      <c r="AO16" s="1659">
        <f t="shared" si="16"/>
        <v>0.3</v>
      </c>
      <c r="AP16" s="1659">
        <f t="shared" si="17"/>
        <v>0.3</v>
      </c>
      <c r="AQ16" s="1520"/>
      <c r="AR16" s="1547" t="s">
        <v>1320</v>
      </c>
      <c r="AS16" s="1593" t="s">
        <v>235</v>
      </c>
      <c r="AT16" s="1885" t="s">
        <v>548</v>
      </c>
      <c r="AU16" s="1523">
        <v>0.4</v>
      </c>
      <c r="AV16" s="1523">
        <v>0.3</v>
      </c>
      <c r="AW16" s="1523"/>
      <c r="AX16" s="1523">
        <v>0.4</v>
      </c>
      <c r="AY16" s="1523">
        <v>0.6</v>
      </c>
      <c r="AZ16" s="1523"/>
      <c r="BA16" s="1523"/>
      <c r="BB16" s="1523"/>
      <c r="BC16" s="1523">
        <v>0.4</v>
      </c>
      <c r="BD16" s="1523">
        <v>0.3</v>
      </c>
      <c r="BE16" s="1523">
        <v>0.3</v>
      </c>
      <c r="BF16" s="1523">
        <v>0.3</v>
      </c>
      <c r="BG16" s="1523">
        <v>0.3</v>
      </c>
      <c r="BI16" s="1547" t="s">
        <v>1320</v>
      </c>
      <c r="BJ16" s="1593" t="s">
        <v>235</v>
      </c>
      <c r="BK16" s="1885" t="s">
        <v>548</v>
      </c>
      <c r="BL16" s="1523">
        <v>0.4</v>
      </c>
      <c r="BM16" s="1523">
        <v>0.3</v>
      </c>
      <c r="BN16" s="1523"/>
      <c r="BO16" s="1523">
        <v>0.4</v>
      </c>
      <c r="BP16" s="1523">
        <v>0.6</v>
      </c>
      <c r="BQ16" s="1523"/>
      <c r="BR16" s="1523"/>
      <c r="BS16" s="1523"/>
      <c r="BT16" s="1523">
        <v>0.4</v>
      </c>
      <c r="BU16" s="1523">
        <v>0.3</v>
      </c>
      <c r="BV16" s="1523">
        <v>0.3</v>
      </c>
      <c r="BW16" s="1523">
        <v>0.3</v>
      </c>
      <c r="BX16" s="1523">
        <v>0.3</v>
      </c>
    </row>
    <row r="17" spans="1:77" ht="13.5" customHeight="1">
      <c r="B17" s="1521" t="str">
        <f t="shared" si="0"/>
        <v>1.2.3</v>
      </c>
      <c r="C17" s="522" t="str">
        <f t="shared" si="1"/>
        <v>界床遮音性能（軽量衝撃源）</v>
      </c>
      <c r="D17" s="1616">
        <f t="shared" si="22"/>
        <v>0</v>
      </c>
      <c r="E17" s="1616">
        <f t="shared" si="22"/>
        <v>0</v>
      </c>
      <c r="G17" s="1591">
        <f t="shared" si="2"/>
        <v>0</v>
      </c>
      <c r="H17" s="1591">
        <f t="shared" si="2"/>
        <v>0</v>
      </c>
      <c r="I17" s="1591"/>
      <c r="J17" s="1591"/>
      <c r="K17" s="1516">
        <f>IF(スコア表示!X17=0,0,1)</f>
        <v>0</v>
      </c>
      <c r="L17" s="1516">
        <f>IF(スコア表示!AB17=0,0,1)</f>
        <v>0</v>
      </c>
      <c r="N17" s="1613">
        <f t="shared" si="23"/>
        <v>0</v>
      </c>
      <c r="O17" s="1613">
        <f t="shared" si="23"/>
        <v>0.2</v>
      </c>
      <c r="P17" s="1516"/>
      <c r="Q17" s="1516"/>
      <c r="R17" s="1516">
        <f>IF(スコア入力!R17="EB",重み_対象外!D17,U17)</f>
        <v>0</v>
      </c>
      <c r="S17" s="1516">
        <f>IF(スコア入力!Y17="EB",重み_対象外!E17,V17)</f>
        <v>4.3629720019906062E-5</v>
      </c>
      <c r="T17" s="1460"/>
      <c r="U17" s="1514">
        <f t="shared" si="24"/>
        <v>0</v>
      </c>
      <c r="V17" s="1514">
        <f t="shared" si="24"/>
        <v>4.3629720019906062E-5</v>
      </c>
      <c r="W17" s="1460"/>
      <c r="X17" s="1516">
        <f t="shared" si="18"/>
        <v>0</v>
      </c>
      <c r="Y17" s="1516">
        <f t="shared" si="21"/>
        <v>4.1775456919060051E-3</v>
      </c>
      <c r="Z17" s="1471"/>
      <c r="AA17" s="1513" t="str">
        <f t="shared" si="3"/>
        <v>1.2.3</v>
      </c>
      <c r="AB17" s="1513" t="str">
        <f t="shared" si="4"/>
        <v xml:space="preserve"> Q1 1.2</v>
      </c>
      <c r="AC17" s="1513" t="str">
        <f t="shared" si="5"/>
        <v>界床遮音性能（軽量衝撃源）</v>
      </c>
      <c r="AD17" s="1659">
        <f t="shared" si="6"/>
        <v>0</v>
      </c>
      <c r="AE17" s="1659">
        <f t="shared" si="7"/>
        <v>0.2</v>
      </c>
      <c r="AF17" s="1659">
        <f t="shared" si="8"/>
        <v>0</v>
      </c>
      <c r="AG17" s="1659">
        <f t="shared" si="9"/>
        <v>0</v>
      </c>
      <c r="AH17" s="1659">
        <f t="shared" si="10"/>
        <v>0</v>
      </c>
      <c r="AI17" s="1659">
        <f t="shared" si="11"/>
        <v>0</v>
      </c>
      <c r="AJ17" s="1659">
        <f t="shared" si="12"/>
        <v>0</v>
      </c>
      <c r="AK17" s="1661">
        <f t="shared" si="13"/>
        <v>0</v>
      </c>
      <c r="AL17" s="1659">
        <f t="shared" si="14"/>
        <v>0</v>
      </c>
      <c r="AM17" s="1659">
        <f t="shared" si="14"/>
        <v>0.2</v>
      </c>
      <c r="AN17" s="1660">
        <f t="shared" si="15"/>
        <v>0.2</v>
      </c>
      <c r="AO17" s="1659">
        <f t="shared" si="16"/>
        <v>0.2</v>
      </c>
      <c r="AP17" s="1659">
        <f t="shared" si="17"/>
        <v>0.2</v>
      </c>
      <c r="AQ17" s="1520"/>
      <c r="AR17" s="1547" t="s">
        <v>1322</v>
      </c>
      <c r="AS17" s="1593" t="s">
        <v>235</v>
      </c>
      <c r="AT17" s="1885" t="s">
        <v>549</v>
      </c>
      <c r="AU17" s="1523"/>
      <c r="AV17" s="1523">
        <v>0.2</v>
      </c>
      <c r="AW17" s="1523"/>
      <c r="AX17" s="1523"/>
      <c r="AY17" s="1523"/>
      <c r="AZ17" s="1523"/>
      <c r="BA17" s="1523"/>
      <c r="BB17" s="1524"/>
      <c r="BC17" s="1523"/>
      <c r="BD17" s="1523">
        <v>0.2</v>
      </c>
      <c r="BE17" s="1525">
        <v>0.2</v>
      </c>
      <c r="BF17" s="1523">
        <v>0.2</v>
      </c>
      <c r="BG17" s="1523">
        <v>0.2</v>
      </c>
      <c r="BI17" s="1547" t="s">
        <v>1322</v>
      </c>
      <c r="BJ17" s="1593" t="s">
        <v>235</v>
      </c>
      <c r="BK17" s="1885" t="s">
        <v>549</v>
      </c>
      <c r="BL17" s="1523"/>
      <c r="BM17" s="1523">
        <v>0.2</v>
      </c>
      <c r="BN17" s="1523"/>
      <c r="BO17" s="1523"/>
      <c r="BP17" s="1523"/>
      <c r="BQ17" s="1523"/>
      <c r="BR17" s="1523"/>
      <c r="BS17" s="1524"/>
      <c r="BT17" s="1523"/>
      <c r="BU17" s="1523">
        <v>0.2</v>
      </c>
      <c r="BV17" s="1525">
        <v>0.2</v>
      </c>
      <c r="BW17" s="1523">
        <v>0.2</v>
      </c>
      <c r="BX17" s="1523">
        <v>0.2</v>
      </c>
    </row>
    <row r="18" spans="1:77" ht="13.5" customHeight="1">
      <c r="B18" s="1521" t="str">
        <f t="shared" si="0"/>
        <v>1.2.4</v>
      </c>
      <c r="C18" s="522" t="str">
        <f t="shared" si="1"/>
        <v>界床遮音性能（重量衝撃源）</v>
      </c>
      <c r="D18" s="1616">
        <f t="shared" si="22"/>
        <v>0</v>
      </c>
      <c r="E18" s="1616">
        <f t="shared" si="22"/>
        <v>0</v>
      </c>
      <c r="G18" s="1591">
        <f t="shared" si="2"/>
        <v>0</v>
      </c>
      <c r="H18" s="1591">
        <f t="shared" si="2"/>
        <v>0</v>
      </c>
      <c r="I18" s="1591"/>
      <c r="J18" s="1591"/>
      <c r="K18" s="1516">
        <f>IF(スコア表示!X18=0,0,1)</f>
        <v>0</v>
      </c>
      <c r="L18" s="1516">
        <f>IF(スコア表示!AB18=0,0,1)</f>
        <v>0</v>
      </c>
      <c r="N18" s="1613">
        <f t="shared" si="23"/>
        <v>0</v>
      </c>
      <c r="O18" s="1613">
        <f t="shared" si="23"/>
        <v>0.2</v>
      </c>
      <c r="P18" s="1516"/>
      <c r="Q18" s="1516"/>
      <c r="R18" s="1516">
        <f>IF(スコア入力!R18="EB",重み_対象外!D18,U18)</f>
        <v>0</v>
      </c>
      <c r="S18" s="1516">
        <f>IF(スコア入力!Y18="EB",重み_対象外!E18,V18)</f>
        <v>4.3629720019906062E-5</v>
      </c>
      <c r="T18" s="1460"/>
      <c r="U18" s="1514">
        <f t="shared" si="24"/>
        <v>0</v>
      </c>
      <c r="V18" s="1514">
        <f t="shared" si="24"/>
        <v>4.3629720019906062E-5</v>
      </c>
      <c r="W18" s="1460"/>
      <c r="X18" s="1516">
        <f t="shared" si="18"/>
        <v>0</v>
      </c>
      <c r="Y18" s="1516">
        <f t="shared" si="21"/>
        <v>4.1775456919060051E-3</v>
      </c>
      <c r="Z18" s="1471"/>
      <c r="AA18" s="1513" t="str">
        <f t="shared" si="3"/>
        <v>1.2.4</v>
      </c>
      <c r="AB18" s="1513" t="str">
        <f t="shared" si="4"/>
        <v xml:space="preserve"> Q1 1.2</v>
      </c>
      <c r="AC18" s="1513" t="str">
        <f t="shared" si="5"/>
        <v>界床遮音性能（重量衝撃源）</v>
      </c>
      <c r="AD18" s="1659">
        <f t="shared" si="6"/>
        <v>0</v>
      </c>
      <c r="AE18" s="1659">
        <f t="shared" si="7"/>
        <v>0.2</v>
      </c>
      <c r="AF18" s="1659">
        <f t="shared" si="8"/>
        <v>0</v>
      </c>
      <c r="AG18" s="1659">
        <f t="shared" si="9"/>
        <v>0</v>
      </c>
      <c r="AH18" s="1659">
        <f t="shared" si="10"/>
        <v>0</v>
      </c>
      <c r="AI18" s="1659">
        <f t="shared" si="11"/>
        <v>0</v>
      </c>
      <c r="AJ18" s="1659">
        <f t="shared" si="12"/>
        <v>0</v>
      </c>
      <c r="AK18" s="1661">
        <f t="shared" si="13"/>
        <v>0</v>
      </c>
      <c r="AL18" s="1659">
        <f t="shared" si="14"/>
        <v>0</v>
      </c>
      <c r="AM18" s="1659">
        <f t="shared" si="14"/>
        <v>0.2</v>
      </c>
      <c r="AN18" s="1660">
        <f t="shared" si="15"/>
        <v>0.2</v>
      </c>
      <c r="AO18" s="1659">
        <f t="shared" si="16"/>
        <v>0.2</v>
      </c>
      <c r="AP18" s="1659">
        <f t="shared" si="17"/>
        <v>0.2</v>
      </c>
      <c r="AQ18" s="1520"/>
      <c r="AR18" s="1547" t="s">
        <v>1323</v>
      </c>
      <c r="AS18" s="1593" t="s">
        <v>235</v>
      </c>
      <c r="AT18" s="1885" t="s">
        <v>550</v>
      </c>
      <c r="AU18" s="1523"/>
      <c r="AV18" s="1523">
        <v>0.2</v>
      </c>
      <c r="AW18" s="1523"/>
      <c r="AX18" s="1523"/>
      <c r="AY18" s="1523"/>
      <c r="AZ18" s="1523"/>
      <c r="BA18" s="1523"/>
      <c r="BB18" s="1524"/>
      <c r="BC18" s="1523"/>
      <c r="BD18" s="1523">
        <v>0.2</v>
      </c>
      <c r="BE18" s="1525">
        <v>0.2</v>
      </c>
      <c r="BF18" s="1523">
        <v>0.2</v>
      </c>
      <c r="BG18" s="1523">
        <v>0.2</v>
      </c>
      <c r="BI18" s="1547" t="s">
        <v>1323</v>
      </c>
      <c r="BJ18" s="1593" t="s">
        <v>235</v>
      </c>
      <c r="BK18" s="1885" t="s">
        <v>550</v>
      </c>
      <c r="BL18" s="1523"/>
      <c r="BM18" s="1523">
        <v>0.2</v>
      </c>
      <c r="BN18" s="1523"/>
      <c r="BO18" s="1523"/>
      <c r="BP18" s="1523"/>
      <c r="BQ18" s="1523"/>
      <c r="BR18" s="1523"/>
      <c r="BS18" s="1524"/>
      <c r="BT18" s="1523"/>
      <c r="BU18" s="1523">
        <v>0.2</v>
      </c>
      <c r="BV18" s="1525">
        <v>0.2</v>
      </c>
      <c r="BW18" s="1523">
        <v>0.2</v>
      </c>
      <c r="BX18" s="1523">
        <v>0.2</v>
      </c>
    </row>
    <row r="19" spans="1:77" ht="13.5" customHeight="1">
      <c r="B19" s="1521">
        <f t="shared" si="0"/>
        <v>1.3</v>
      </c>
      <c r="C19" s="522" t="str">
        <f t="shared" si="1"/>
        <v>吸音</v>
      </c>
      <c r="D19" s="1616">
        <f>IF(I$10=0,0,G19/I$10)</f>
        <v>0.195822454308094</v>
      </c>
      <c r="E19" s="1616">
        <f>IF(J$10=0,0,H19/J$10)</f>
        <v>0</v>
      </c>
      <c r="G19" s="1591">
        <f t="shared" si="2"/>
        <v>0.195822454308094</v>
      </c>
      <c r="H19" s="1591">
        <f t="shared" si="2"/>
        <v>0</v>
      </c>
      <c r="I19" s="1591"/>
      <c r="J19" s="1591"/>
      <c r="K19" s="1516">
        <f>IF(スコア表示!X19=0,0,1)</f>
        <v>1</v>
      </c>
      <c r="L19" s="1516">
        <f>IF(スコア表示!AB19=0,0,1)</f>
        <v>0</v>
      </c>
      <c r="N19" s="1613">
        <f>IF(P$10=0,0,R19/P$10)</f>
        <v>0.195822454308094</v>
      </c>
      <c r="O19" s="1613">
        <f>IF(Q$10=0,0,S19/Q$10)</f>
        <v>0</v>
      </c>
      <c r="P19" s="1516"/>
      <c r="Q19" s="1516"/>
      <c r="R19" s="1516">
        <f>IF(スコア入力!R19="EB",重み_対象外!D19,U19)</f>
        <v>2.9373368146214104E-2</v>
      </c>
      <c r="S19" s="1516">
        <f>IF(スコア入力!Y19="EB",重み_対象外!E19,V19)</f>
        <v>0</v>
      </c>
      <c r="T19" s="1460"/>
      <c r="U19" s="1205">
        <f>X10*X19</f>
        <v>2.9373368146214104E-2</v>
      </c>
      <c r="V19" s="1205">
        <f>Y10*Y19</f>
        <v>0</v>
      </c>
      <c r="W19" s="1460"/>
      <c r="X19" s="1516">
        <f t="shared" si="18"/>
        <v>0.19582245430809403</v>
      </c>
      <c r="Y19" s="1516">
        <f t="shared" si="21"/>
        <v>0</v>
      </c>
      <c r="Z19" s="1471"/>
      <c r="AA19" s="1513">
        <f t="shared" si="3"/>
        <v>1.3</v>
      </c>
      <c r="AB19" s="1513" t="str">
        <f t="shared" si="4"/>
        <v xml:space="preserve"> Q1 1</v>
      </c>
      <c r="AC19" s="1513" t="str">
        <f t="shared" si="5"/>
        <v>吸音</v>
      </c>
      <c r="AD19" s="1659">
        <f t="shared" si="6"/>
        <v>0.2</v>
      </c>
      <c r="AE19" s="1659">
        <f t="shared" si="7"/>
        <v>0.2</v>
      </c>
      <c r="AF19" s="1659">
        <f t="shared" si="8"/>
        <v>0.2</v>
      </c>
      <c r="AG19" s="1659">
        <f t="shared" si="9"/>
        <v>0.2</v>
      </c>
      <c r="AH19" s="1659">
        <f t="shared" si="10"/>
        <v>0.2</v>
      </c>
      <c r="AI19" s="1659">
        <f t="shared" si="11"/>
        <v>0.2</v>
      </c>
      <c r="AJ19" s="1659">
        <f t="shared" si="12"/>
        <v>0</v>
      </c>
      <c r="AK19" s="1661">
        <f t="shared" si="13"/>
        <v>0.2</v>
      </c>
      <c r="AL19" s="1659">
        <f t="shared" si="14"/>
        <v>0.2</v>
      </c>
      <c r="AM19" s="1659">
        <f t="shared" si="14"/>
        <v>0.2</v>
      </c>
      <c r="AN19" s="1660">
        <f t="shared" si="15"/>
        <v>0.2</v>
      </c>
      <c r="AO19" s="1659">
        <f t="shared" si="16"/>
        <v>0.2</v>
      </c>
      <c r="AP19" s="1659">
        <f t="shared" si="17"/>
        <v>0</v>
      </c>
      <c r="AQ19" s="1520"/>
      <c r="AR19" s="1547">
        <v>1.3</v>
      </c>
      <c r="AS19" s="1593" t="s">
        <v>231</v>
      </c>
      <c r="AT19" s="1885" t="s">
        <v>551</v>
      </c>
      <c r="AU19" s="1523">
        <v>0.2</v>
      </c>
      <c r="AV19" s="1523">
        <v>0.2</v>
      </c>
      <c r="AW19" s="1523">
        <v>0.2</v>
      </c>
      <c r="AX19" s="1523">
        <v>0.2</v>
      </c>
      <c r="AY19" s="1523">
        <v>0.2</v>
      </c>
      <c r="AZ19" s="1523">
        <v>0.2</v>
      </c>
      <c r="BA19" s="1523">
        <v>0</v>
      </c>
      <c r="BB19" s="1524">
        <v>0.2</v>
      </c>
      <c r="BC19" s="1523">
        <v>0.2</v>
      </c>
      <c r="BD19" s="1523">
        <v>0.2</v>
      </c>
      <c r="BE19" s="1525">
        <v>0.2</v>
      </c>
      <c r="BF19" s="1523">
        <v>0.2</v>
      </c>
      <c r="BG19" s="1523">
        <v>0</v>
      </c>
      <c r="BI19" s="1547">
        <v>1.3</v>
      </c>
      <c r="BJ19" s="1593" t="s">
        <v>231</v>
      </c>
      <c r="BK19" s="1885" t="s">
        <v>551</v>
      </c>
      <c r="BL19" s="1523">
        <v>0.2</v>
      </c>
      <c r="BM19" s="1523">
        <v>0.2</v>
      </c>
      <c r="BN19" s="1523">
        <v>0.2</v>
      </c>
      <c r="BO19" s="1523">
        <v>0.2</v>
      </c>
      <c r="BP19" s="1523">
        <v>0.2</v>
      </c>
      <c r="BQ19" s="1523">
        <v>0.2</v>
      </c>
      <c r="BR19" s="1523">
        <v>0</v>
      </c>
      <c r="BS19" s="1524">
        <v>0.2</v>
      </c>
      <c r="BT19" s="1523">
        <v>0.2</v>
      </c>
      <c r="BU19" s="1523">
        <v>0.2</v>
      </c>
      <c r="BV19" s="1525">
        <v>0.2</v>
      </c>
      <c r="BW19" s="1523">
        <v>0.2</v>
      </c>
      <c r="BX19" s="1523">
        <v>0</v>
      </c>
    </row>
    <row r="20" spans="1:77" s="1505" customFormat="1" ht="13.5" customHeight="1">
      <c r="A20"/>
      <c r="B20" s="1527">
        <f t="shared" si="0"/>
        <v>2</v>
      </c>
      <c r="C20" s="1528" t="str">
        <f t="shared" si="1"/>
        <v>温熱環境</v>
      </c>
      <c r="D20" s="1962">
        <f>IF(I$9=0,0,G20/I$9)</f>
        <v>0.35035826640007101</v>
      </c>
      <c r="E20" s="1643">
        <f>IF(J$9=0,0,H20/J$9)</f>
        <v>0.3268450932684509</v>
      </c>
      <c r="F20"/>
      <c r="G20" s="1643">
        <f t="shared" si="2"/>
        <v>0.35035826640007101</v>
      </c>
      <c r="H20" s="1643">
        <f t="shared" si="2"/>
        <v>0.18231169418683554</v>
      </c>
      <c r="I20" s="1643">
        <f>G21+G30+G31</f>
        <v>1</v>
      </c>
      <c r="J20" s="1643">
        <f>H21+H30+H31</f>
        <v>4.9627791563275438E-2</v>
      </c>
      <c r="K20" s="1509">
        <f>IF(スコア表示!X20=0,0,1)</f>
        <v>1</v>
      </c>
      <c r="L20" s="1509">
        <f>IF(スコア表示!AB20=0,0,1)</f>
        <v>1</v>
      </c>
      <c r="M20"/>
      <c r="N20" s="1607">
        <f>IF(P$9=0,0,R20/P$9)</f>
        <v>0.35035826640007101</v>
      </c>
      <c r="O20" s="1607">
        <f>IF(Q$9=0,0,S20/Q$9)</f>
        <v>0.18231169418683554</v>
      </c>
      <c r="P20" s="1610">
        <f>SUM(R21:R33)</f>
        <v>0.3529853635923621</v>
      </c>
      <c r="Q20" s="1610">
        <f>SUM(S21:S33)</f>
        <v>4.3956942920055355E-3</v>
      </c>
      <c r="R20" s="1509">
        <f>IF(スコア入力!R20="EB",重み_対象外!D20,U20)</f>
        <v>0.35000000000000003</v>
      </c>
      <c r="S20" s="1509">
        <f>IF(スコア入力!Y20="EB",重み_対象外!E20,V20)</f>
        <v>4.3956942920055355E-3</v>
      </c>
      <c r="T20" s="1460"/>
      <c r="U20" s="1507">
        <f>SUM(U21:U33)</f>
        <v>0.35000000000000003</v>
      </c>
      <c r="V20" s="1507">
        <f>SUM(V21:V33)</f>
        <v>4.3956942920055355E-3</v>
      </c>
      <c r="W20" s="1460"/>
      <c r="X20" s="1509">
        <f t="shared" si="18"/>
        <v>0.35000000000000003</v>
      </c>
      <c r="Y20" s="1509">
        <v>1</v>
      </c>
      <c r="Z20" s="1501"/>
      <c r="AA20" s="1506">
        <f t="shared" si="3"/>
        <v>2</v>
      </c>
      <c r="AB20" s="1506" t="str">
        <f t="shared" si="4"/>
        <v xml:space="preserve"> Q1</v>
      </c>
      <c r="AC20" s="1506" t="str">
        <f t="shared" si="5"/>
        <v>温熱環境</v>
      </c>
      <c r="AD20" s="1656">
        <f t="shared" si="6"/>
        <v>0.35</v>
      </c>
      <c r="AE20" s="1656">
        <f t="shared" si="7"/>
        <v>0.35</v>
      </c>
      <c r="AF20" s="1656">
        <f t="shared" si="8"/>
        <v>0.35</v>
      </c>
      <c r="AG20" s="1656">
        <f t="shared" si="9"/>
        <v>0.35</v>
      </c>
      <c r="AH20" s="1656">
        <f t="shared" si="10"/>
        <v>0.35</v>
      </c>
      <c r="AI20" s="1656">
        <f t="shared" si="11"/>
        <v>0.35</v>
      </c>
      <c r="AJ20" s="1656">
        <f t="shared" si="12"/>
        <v>0.35</v>
      </c>
      <c r="AK20" s="1662">
        <f t="shared" si="13"/>
        <v>0.44</v>
      </c>
      <c r="AL20" s="1656">
        <f t="shared" si="14"/>
        <v>0.35</v>
      </c>
      <c r="AM20" s="1656">
        <f t="shared" si="14"/>
        <v>0.35</v>
      </c>
      <c r="AN20" s="1658">
        <f t="shared" si="15"/>
        <v>0</v>
      </c>
      <c r="AO20" s="1656">
        <f t="shared" si="16"/>
        <v>0</v>
      </c>
      <c r="AP20" s="1656">
        <f t="shared" si="17"/>
        <v>0</v>
      </c>
      <c r="AQ20" s="1512"/>
      <c r="AR20" s="1541">
        <v>2</v>
      </c>
      <c r="AS20" s="1644" t="s">
        <v>230</v>
      </c>
      <c r="AT20" s="1687" t="s">
        <v>928</v>
      </c>
      <c r="AU20" s="1611">
        <v>0.35</v>
      </c>
      <c r="AV20" s="1611">
        <v>0.35</v>
      </c>
      <c r="AW20" s="1611">
        <v>0.35</v>
      </c>
      <c r="AX20" s="1611">
        <v>0.35</v>
      </c>
      <c r="AY20" s="1611">
        <v>0.35</v>
      </c>
      <c r="AZ20" s="1611">
        <v>0.35</v>
      </c>
      <c r="BA20" s="1611">
        <v>0.35</v>
      </c>
      <c r="BB20" s="1535">
        <v>0.44</v>
      </c>
      <c r="BC20" s="1611">
        <v>0.35</v>
      </c>
      <c r="BD20" s="1611">
        <v>0.35</v>
      </c>
      <c r="BE20" s="1963"/>
      <c r="BF20" s="1611"/>
      <c r="BG20" s="1611"/>
      <c r="BH20"/>
      <c r="BI20" s="1541">
        <v>2</v>
      </c>
      <c r="BJ20" s="1644" t="s">
        <v>230</v>
      </c>
      <c r="BK20" s="1687" t="s">
        <v>928</v>
      </c>
      <c r="BL20" s="1611">
        <v>0.35</v>
      </c>
      <c r="BM20" s="1611">
        <v>0.35</v>
      </c>
      <c r="BN20" s="1611">
        <v>0.35</v>
      </c>
      <c r="BO20" s="1611">
        <v>0.35</v>
      </c>
      <c r="BP20" s="1611">
        <v>0.35</v>
      </c>
      <c r="BQ20" s="1611">
        <v>0.35</v>
      </c>
      <c r="BR20" s="1611">
        <v>0.35</v>
      </c>
      <c r="BS20" s="1535">
        <v>0.44</v>
      </c>
      <c r="BT20" s="1611">
        <v>0.35</v>
      </c>
      <c r="BU20" s="1611">
        <v>0.35</v>
      </c>
      <c r="BV20" s="1963"/>
      <c r="BW20" s="1611"/>
      <c r="BX20" s="1611"/>
      <c r="BY20"/>
    </row>
    <row r="21" spans="1:77" ht="13.5" customHeight="1">
      <c r="B21" s="1513">
        <f t="shared" si="0"/>
        <v>2.1</v>
      </c>
      <c r="C21" s="1530" t="str">
        <f t="shared" si="1"/>
        <v>室温制御</v>
      </c>
      <c r="D21" s="1616">
        <f>IF(I$20=0,0,G21/I$20)</f>
        <v>0.50422873566481596</v>
      </c>
      <c r="E21" s="1591">
        <f>IF(J$20=0,0,H21/J$20)</f>
        <v>1</v>
      </c>
      <c r="G21" s="1591">
        <f t="shared" si="2"/>
        <v>0.50422873566481596</v>
      </c>
      <c r="H21" s="1591">
        <f t="shared" si="2"/>
        <v>4.9627791563275438E-2</v>
      </c>
      <c r="I21" s="1591">
        <f>SUM(G22:G29)</f>
        <v>0.78658153217946891</v>
      </c>
      <c r="J21" s="1591">
        <f>SUM(H22:H29)</f>
        <v>0.8</v>
      </c>
      <c r="K21" s="1516">
        <f>IF(スコア表示!X21=0,0,1)</f>
        <v>1</v>
      </c>
      <c r="L21" s="1516">
        <f>IF(スコア表示!AB21=0,0,1)</f>
        <v>1</v>
      </c>
      <c r="N21" s="1613">
        <f>IF(P$20=0,0,P21/P$20)</f>
        <v>0.50422873566481596</v>
      </c>
      <c r="O21" s="1613">
        <f>IF(Q$20=0,0,Q21/Q$20)</f>
        <v>4.9627791563275438E-2</v>
      </c>
      <c r="P21" s="1516">
        <f>SUM(R22:R29)</f>
        <v>0.17798536359236208</v>
      </c>
      <c r="Q21" s="1516">
        <f>SUM(S22:S29)</f>
        <v>2.181486000995303E-4</v>
      </c>
      <c r="R21" s="1516">
        <f>IF(スコア入力!R21="EB",重み_対象外!D21,U21)</f>
        <v>0</v>
      </c>
      <c r="S21" s="1516">
        <f>IF(スコア入力!Y21="EB",重み_対象外!E21,V21)</f>
        <v>0</v>
      </c>
      <c r="T21" s="1460"/>
      <c r="U21" s="1530"/>
      <c r="V21" s="1530"/>
      <c r="W21" s="1460"/>
      <c r="X21" s="1516">
        <f t="shared" si="18"/>
        <v>0.5</v>
      </c>
      <c r="Y21" s="1516">
        <f t="shared" si="21"/>
        <v>1.0443864229765013E-2</v>
      </c>
      <c r="Z21" s="1471"/>
      <c r="AA21" s="1513">
        <f t="shared" si="3"/>
        <v>2.1</v>
      </c>
      <c r="AB21" s="1513" t="str">
        <f t="shared" si="4"/>
        <v xml:space="preserve"> Q1 2</v>
      </c>
      <c r="AC21" s="1513" t="str">
        <f t="shared" si="5"/>
        <v>室温制御</v>
      </c>
      <c r="AD21" s="1659">
        <f t="shared" si="6"/>
        <v>0.5</v>
      </c>
      <c r="AE21" s="1659">
        <f t="shared" si="7"/>
        <v>0.5</v>
      </c>
      <c r="AF21" s="1659">
        <f t="shared" si="8"/>
        <v>0.5</v>
      </c>
      <c r="AG21" s="1659">
        <f t="shared" si="9"/>
        <v>0.5</v>
      </c>
      <c r="AH21" s="1659">
        <f t="shared" si="10"/>
        <v>0.5</v>
      </c>
      <c r="AI21" s="1659">
        <f t="shared" si="11"/>
        <v>0.5</v>
      </c>
      <c r="AJ21" s="1659">
        <f t="shared" si="12"/>
        <v>0.5</v>
      </c>
      <c r="AK21" s="1663">
        <f t="shared" si="13"/>
        <v>0.5</v>
      </c>
      <c r="AL21" s="1659">
        <f t="shared" si="14"/>
        <v>0.5</v>
      </c>
      <c r="AM21" s="1659">
        <f t="shared" si="14"/>
        <v>0.5</v>
      </c>
      <c r="AN21" s="1660">
        <f t="shared" si="15"/>
        <v>0.5</v>
      </c>
      <c r="AO21" s="1659">
        <f t="shared" si="16"/>
        <v>0.5</v>
      </c>
      <c r="AP21" s="1659">
        <f t="shared" si="17"/>
        <v>0.5</v>
      </c>
      <c r="AQ21" s="1520"/>
      <c r="AR21" s="1547">
        <v>2.1</v>
      </c>
      <c r="AS21" s="1593" t="s">
        <v>236</v>
      </c>
      <c r="AT21" s="1637" t="s">
        <v>555</v>
      </c>
      <c r="AU21" s="1523">
        <v>0.5</v>
      </c>
      <c r="AV21" s="1523">
        <v>0.5</v>
      </c>
      <c r="AW21" s="1523">
        <v>0.5</v>
      </c>
      <c r="AX21" s="1523">
        <v>0.5</v>
      </c>
      <c r="AY21" s="1523">
        <v>0.5</v>
      </c>
      <c r="AZ21" s="1523">
        <v>0.5</v>
      </c>
      <c r="BA21" s="1523">
        <v>0.5</v>
      </c>
      <c r="BB21" s="1614">
        <v>0.5</v>
      </c>
      <c r="BC21" s="1523">
        <v>0.5</v>
      </c>
      <c r="BD21" s="1523">
        <v>0.5</v>
      </c>
      <c r="BE21" s="1525">
        <v>0.5</v>
      </c>
      <c r="BF21" s="1523">
        <v>0.5</v>
      </c>
      <c r="BG21" s="1523">
        <v>0.5</v>
      </c>
      <c r="BI21" s="1547">
        <v>2.1</v>
      </c>
      <c r="BJ21" s="1593" t="s">
        <v>236</v>
      </c>
      <c r="BK21" s="1637" t="s">
        <v>555</v>
      </c>
      <c r="BL21" s="1523">
        <v>0.5</v>
      </c>
      <c r="BM21" s="1523">
        <v>0.5</v>
      </c>
      <c r="BN21" s="1523">
        <v>0.5</v>
      </c>
      <c r="BO21" s="1523">
        <v>0.5</v>
      </c>
      <c r="BP21" s="1523">
        <v>0.5</v>
      </c>
      <c r="BQ21" s="1523">
        <v>0.5</v>
      </c>
      <c r="BR21" s="1523">
        <v>0.5</v>
      </c>
      <c r="BS21" s="1614">
        <v>0.5</v>
      </c>
      <c r="BT21" s="1523">
        <v>0.5</v>
      </c>
      <c r="BU21" s="1523">
        <v>0.5</v>
      </c>
      <c r="BV21" s="1525">
        <v>0.5</v>
      </c>
      <c r="BW21" s="1523">
        <v>0.5</v>
      </c>
      <c r="BX21" s="1523">
        <v>0.5</v>
      </c>
    </row>
    <row r="22" spans="1:77" ht="13.5" customHeight="1">
      <c r="B22" s="1521" t="str">
        <f t="shared" si="0"/>
        <v>2.1.1</v>
      </c>
      <c r="C22" s="1514" t="str">
        <f t="shared" si="1"/>
        <v>室温</v>
      </c>
      <c r="D22" s="1621">
        <f t="shared" ref="D22:E29" si="25">IF(I$21&gt;0,G22/I$21,0)</f>
        <v>0.38022193211488253</v>
      </c>
      <c r="E22" s="1591">
        <f t="shared" si="25"/>
        <v>0.625</v>
      </c>
      <c r="G22" s="1591">
        <f t="shared" si="2"/>
        <v>0.29907554993116231</v>
      </c>
      <c r="H22" s="1591">
        <f t="shared" si="2"/>
        <v>0.5</v>
      </c>
      <c r="I22" s="1591"/>
      <c r="J22" s="1591"/>
      <c r="K22" s="1516">
        <f>IF(スコア表示!X22=0,0,1)</f>
        <v>1</v>
      </c>
      <c r="L22" s="1516">
        <f>IF(スコア表示!AB22=0,0,1)</f>
        <v>1</v>
      </c>
      <c r="N22" s="1608">
        <f t="shared" ref="N22:O29" si="26">IF(P$21&gt;0,R22/P$21,0)</f>
        <v>0.29907554993116231</v>
      </c>
      <c r="O22" s="1608">
        <f t="shared" si="26"/>
        <v>0.5</v>
      </c>
      <c r="P22" s="1516"/>
      <c r="Q22" s="1516"/>
      <c r="R22" s="1516">
        <f>IF(スコア入力!R22="EB",重み_対象外!D22,U22)</f>
        <v>5.3231070496083562E-2</v>
      </c>
      <c r="S22" s="1516">
        <f>IF(スコア入力!Y22="EB",重み_対象外!E22,V22)</f>
        <v>1.0907430004976515E-4</v>
      </c>
      <c r="T22" s="1460"/>
      <c r="U22" s="1514">
        <f t="shared" ref="U22:V29" si="27">X$20*X$21*X22</f>
        <v>5.3231070496083562E-2</v>
      </c>
      <c r="V22" s="1514">
        <f>Y$20*Y$21*Y22</f>
        <v>1.0907430004976515E-4</v>
      </c>
      <c r="W22" s="1460"/>
      <c r="X22" s="1516">
        <f t="shared" si="18"/>
        <v>0.30417754569190603</v>
      </c>
      <c r="Y22" s="1516">
        <f t="shared" si="21"/>
        <v>1.0443864229765013E-2</v>
      </c>
      <c r="Z22" s="1471"/>
      <c r="AA22" s="1513" t="str">
        <f t="shared" si="3"/>
        <v>2.1.1</v>
      </c>
      <c r="AB22" s="1513" t="str">
        <f t="shared" si="4"/>
        <v xml:space="preserve"> Q1 2.1</v>
      </c>
      <c r="AC22" s="1513" t="str">
        <f t="shared" si="5"/>
        <v>室温</v>
      </c>
      <c r="AD22" s="1659">
        <f t="shared" si="6"/>
        <v>0.3</v>
      </c>
      <c r="AE22" s="1659">
        <f t="shared" si="7"/>
        <v>0.3</v>
      </c>
      <c r="AF22" s="1659">
        <f t="shared" si="8"/>
        <v>0.3</v>
      </c>
      <c r="AG22" s="1659">
        <f t="shared" si="9"/>
        <v>0.3</v>
      </c>
      <c r="AH22" s="1659">
        <f t="shared" si="10"/>
        <v>0.3</v>
      </c>
      <c r="AI22" s="1659">
        <f t="shared" si="11"/>
        <v>0.3</v>
      </c>
      <c r="AJ22" s="1659">
        <f t="shared" si="12"/>
        <v>0.5</v>
      </c>
      <c r="AK22" s="1663">
        <f t="shared" si="13"/>
        <v>0.3</v>
      </c>
      <c r="AL22" s="1659">
        <f t="shared" si="14"/>
        <v>0.3</v>
      </c>
      <c r="AM22" s="1659">
        <f t="shared" si="14"/>
        <v>0.3</v>
      </c>
      <c r="AN22" s="1660">
        <f t="shared" si="15"/>
        <v>0.4</v>
      </c>
      <c r="AO22" s="1659">
        <f t="shared" si="16"/>
        <v>0.4</v>
      </c>
      <c r="AP22" s="1659">
        <f t="shared" si="17"/>
        <v>0.5</v>
      </c>
      <c r="AQ22" s="1532"/>
      <c r="AR22" s="1547" t="s">
        <v>1325</v>
      </c>
      <c r="AS22" s="1593" t="s">
        <v>237</v>
      </c>
      <c r="AT22" s="1964" t="s">
        <v>1326</v>
      </c>
      <c r="AU22" s="1523">
        <v>0.3</v>
      </c>
      <c r="AV22" s="1523">
        <v>0.3</v>
      </c>
      <c r="AW22" s="1523">
        <v>0.3</v>
      </c>
      <c r="AX22" s="1523">
        <v>0.3</v>
      </c>
      <c r="AY22" s="1523">
        <v>0.3</v>
      </c>
      <c r="AZ22" s="1523">
        <v>0.3</v>
      </c>
      <c r="BA22" s="1523">
        <v>0.5</v>
      </c>
      <c r="BB22" s="1614">
        <v>0.3</v>
      </c>
      <c r="BC22" s="1523">
        <v>0.3</v>
      </c>
      <c r="BD22" s="1523">
        <v>0.3</v>
      </c>
      <c r="BE22" s="1525">
        <v>0.4</v>
      </c>
      <c r="BF22" s="1523">
        <v>0.4</v>
      </c>
      <c r="BG22" s="1523">
        <v>0.5</v>
      </c>
      <c r="BI22" s="1547" t="s">
        <v>1325</v>
      </c>
      <c r="BJ22" s="1593" t="s">
        <v>237</v>
      </c>
      <c r="BK22" s="1964" t="s">
        <v>1326</v>
      </c>
      <c r="BL22" s="1523">
        <v>0.3</v>
      </c>
      <c r="BM22" s="1523">
        <v>0.3</v>
      </c>
      <c r="BN22" s="1523">
        <v>0.3</v>
      </c>
      <c r="BO22" s="1523">
        <v>0.3</v>
      </c>
      <c r="BP22" s="1523">
        <v>0.3</v>
      </c>
      <c r="BQ22" s="1523">
        <v>0.3</v>
      </c>
      <c r="BR22" s="1523">
        <v>0.5</v>
      </c>
      <c r="BS22" s="1614">
        <v>0.3</v>
      </c>
      <c r="BT22" s="1523">
        <v>0.3</v>
      </c>
      <c r="BU22" s="1523">
        <v>0.3</v>
      </c>
      <c r="BV22" s="1525">
        <v>0.4</v>
      </c>
      <c r="BW22" s="1523">
        <v>0.4</v>
      </c>
      <c r="BX22" s="1523">
        <v>0.5</v>
      </c>
    </row>
    <row r="23" spans="1:77" ht="13.5" hidden="1" customHeight="1">
      <c r="B23" s="1549" t="str">
        <f t="shared" si="0"/>
        <v>2.1.2</v>
      </c>
      <c r="C23" s="1550" t="str">
        <f t="shared" si="1"/>
        <v>負荷変動・追従制御性</v>
      </c>
      <c r="D23" s="1621">
        <f t="shared" si="25"/>
        <v>0</v>
      </c>
      <c r="E23" s="1591">
        <f t="shared" si="25"/>
        <v>0</v>
      </c>
      <c r="G23" s="1591">
        <f t="shared" si="2"/>
        <v>0</v>
      </c>
      <c r="H23" s="1591">
        <f t="shared" si="2"/>
        <v>0</v>
      </c>
      <c r="I23" s="1591"/>
      <c r="J23" s="1591"/>
      <c r="K23" s="1516">
        <f>IF(スコア表示!X23=0,0,1)</f>
        <v>0</v>
      </c>
      <c r="L23" s="1516">
        <f>IF(スコア表示!AB23=0,0,1)</f>
        <v>0</v>
      </c>
      <c r="N23" s="1608">
        <f t="shared" si="26"/>
        <v>0</v>
      </c>
      <c r="O23" s="1608">
        <f t="shared" si="26"/>
        <v>0</v>
      </c>
      <c r="P23" s="1516"/>
      <c r="Q23" s="1516"/>
      <c r="R23" s="1516">
        <f>IF(スコア入力!R23="EB",重み_対象外!D23,U23)</f>
        <v>0</v>
      </c>
      <c r="S23" s="1516">
        <f>IF(スコア入力!Y23="EB",重み_対象外!E23,V23)</f>
        <v>0</v>
      </c>
      <c r="T23" s="1460"/>
      <c r="U23" s="1514">
        <f t="shared" si="27"/>
        <v>0</v>
      </c>
      <c r="V23" s="1514">
        <f t="shared" si="27"/>
        <v>0</v>
      </c>
      <c r="W23" s="1460"/>
      <c r="X23" s="1516">
        <f t="shared" si="18"/>
        <v>0</v>
      </c>
      <c r="Y23" s="1516">
        <f t="shared" si="21"/>
        <v>0</v>
      </c>
      <c r="Z23" s="1471"/>
      <c r="AA23" s="1513" t="str">
        <f t="shared" si="3"/>
        <v>2.1.2</v>
      </c>
      <c r="AB23" s="1513" t="str">
        <f t="shared" si="4"/>
        <v xml:space="preserve"> Q1 2.1</v>
      </c>
      <c r="AC23" s="1513" t="str">
        <f t="shared" si="5"/>
        <v>負荷変動・追従制御性</v>
      </c>
      <c r="AD23" s="1664">
        <f t="shared" si="6"/>
        <v>0</v>
      </c>
      <c r="AE23" s="1659">
        <f t="shared" si="7"/>
        <v>0.2</v>
      </c>
      <c r="AF23" s="1659">
        <f t="shared" si="8"/>
        <v>0.2</v>
      </c>
      <c r="AG23" s="1659">
        <f t="shared" si="9"/>
        <v>0.2</v>
      </c>
      <c r="AH23" s="1659">
        <f t="shared" si="10"/>
        <v>0</v>
      </c>
      <c r="AI23" s="1659">
        <f t="shared" si="11"/>
        <v>0</v>
      </c>
      <c r="AJ23" s="1659">
        <f t="shared" si="12"/>
        <v>0</v>
      </c>
      <c r="AK23" s="1663">
        <f t="shared" si="13"/>
        <v>0.3</v>
      </c>
      <c r="AL23" s="1664">
        <f t="shared" si="14"/>
        <v>0</v>
      </c>
      <c r="AM23" s="1664">
        <f t="shared" si="14"/>
        <v>0.2</v>
      </c>
      <c r="AN23" s="1660">
        <f t="shared" si="15"/>
        <v>0</v>
      </c>
      <c r="AO23" s="1659">
        <f t="shared" si="16"/>
        <v>0</v>
      </c>
      <c r="AP23" s="1659">
        <f t="shared" si="17"/>
        <v>0</v>
      </c>
      <c r="AQ23" s="1532"/>
      <c r="AR23" s="1547" t="s">
        <v>238</v>
      </c>
      <c r="AS23" s="1593" t="s">
        <v>237</v>
      </c>
      <c r="AT23" s="1964" t="s">
        <v>239</v>
      </c>
      <c r="AU23" s="1615"/>
      <c r="AV23" s="1523">
        <v>0.2</v>
      </c>
      <c r="AW23" s="1523">
        <v>0.2</v>
      </c>
      <c r="AX23" s="1523">
        <v>0.2</v>
      </c>
      <c r="AY23" s="1523"/>
      <c r="AZ23" s="1523"/>
      <c r="BA23" s="1523"/>
      <c r="BB23" s="1614">
        <v>0.3</v>
      </c>
      <c r="BC23" s="1615"/>
      <c r="BD23" s="1523">
        <v>0.2</v>
      </c>
      <c r="BE23" s="1525"/>
      <c r="BF23" s="1523"/>
      <c r="BG23" s="1523"/>
      <c r="BI23" s="1547" t="s">
        <v>238</v>
      </c>
      <c r="BJ23" s="1593" t="s">
        <v>237</v>
      </c>
      <c r="BK23" s="1964" t="s">
        <v>239</v>
      </c>
      <c r="BL23" s="1615"/>
      <c r="BM23" s="1523">
        <v>0.2</v>
      </c>
      <c r="BN23" s="1523">
        <v>0.2</v>
      </c>
      <c r="BO23" s="1523">
        <v>0.2</v>
      </c>
      <c r="BP23" s="1523"/>
      <c r="BQ23" s="1523"/>
      <c r="BR23" s="1523"/>
      <c r="BS23" s="1614">
        <v>0.3</v>
      </c>
      <c r="BT23" s="1615"/>
      <c r="BU23" s="1523">
        <v>0.2</v>
      </c>
      <c r="BV23" s="1525"/>
      <c r="BW23" s="1523"/>
      <c r="BX23" s="1523"/>
    </row>
    <row r="24" spans="1:77" ht="13.5" customHeight="1">
      <c r="B24" s="1521" t="str">
        <f t="shared" si="0"/>
        <v>2.1.3</v>
      </c>
      <c r="C24" s="1514" t="str">
        <f t="shared" si="1"/>
        <v>外皮性能</v>
      </c>
      <c r="D24" s="1621">
        <f t="shared" si="25"/>
        <v>0.25261096605744127</v>
      </c>
      <c r="E24" s="1591">
        <f t="shared" si="25"/>
        <v>0.37500000000000006</v>
      </c>
      <c r="G24" s="1591">
        <f t="shared" si="2"/>
        <v>0.19869912072679796</v>
      </c>
      <c r="H24" s="1591">
        <f t="shared" si="2"/>
        <v>0.30000000000000004</v>
      </c>
      <c r="I24" s="1591"/>
      <c r="J24" s="1591"/>
      <c r="K24" s="1516">
        <f>IF(スコア表示!X24=0,0,1)</f>
        <v>1</v>
      </c>
      <c r="L24" s="1516">
        <f>IF(スコア表示!AB24=0,0,1)</f>
        <v>1</v>
      </c>
      <c r="N24" s="1608">
        <f t="shared" si="26"/>
        <v>0.19869912072679796</v>
      </c>
      <c r="O24" s="1608">
        <f t="shared" si="26"/>
        <v>0.30000000000000004</v>
      </c>
      <c r="P24" s="1516"/>
      <c r="Q24" s="1516"/>
      <c r="R24" s="1516">
        <f>IF(スコア入力!R24="EB",重み_対象外!D24,U24)</f>
        <v>3.5365535248041785E-2</v>
      </c>
      <c r="S24" s="1516">
        <f>IF(スコア入力!Y24="EB",重み_対象外!E24,V24)</f>
        <v>6.5444580029859096E-5</v>
      </c>
      <c r="T24" s="1460"/>
      <c r="U24" s="1514">
        <f t="shared" si="27"/>
        <v>3.5365535248041785E-2</v>
      </c>
      <c r="V24" s="1514">
        <f t="shared" si="27"/>
        <v>6.5444580029859096E-5</v>
      </c>
      <c r="W24" s="1460"/>
      <c r="X24" s="1516">
        <f t="shared" si="18"/>
        <v>0.20208877284595303</v>
      </c>
      <c r="Y24" s="1516">
        <f t="shared" si="21"/>
        <v>6.2663185378590081E-3</v>
      </c>
      <c r="Z24" s="1471"/>
      <c r="AA24" s="1513" t="str">
        <f t="shared" si="3"/>
        <v>2.1.3</v>
      </c>
      <c r="AB24" s="1513" t="str">
        <f t="shared" si="4"/>
        <v xml:space="preserve"> Q1 2.1</v>
      </c>
      <c r="AC24" s="1513" t="str">
        <f t="shared" si="5"/>
        <v>外皮性能</v>
      </c>
      <c r="AD24" s="1659">
        <f t="shared" si="6"/>
        <v>0.2</v>
      </c>
      <c r="AE24" s="1659">
        <f t="shared" si="7"/>
        <v>0.2</v>
      </c>
      <c r="AF24" s="1659">
        <f t="shared" si="8"/>
        <v>0.1</v>
      </c>
      <c r="AG24" s="1659">
        <f t="shared" si="9"/>
        <v>0.1</v>
      </c>
      <c r="AH24" s="1659">
        <f t="shared" si="10"/>
        <v>0.2</v>
      </c>
      <c r="AI24" s="1659">
        <f t="shared" si="11"/>
        <v>0.2</v>
      </c>
      <c r="AJ24" s="1659">
        <f t="shared" si="12"/>
        <v>0.3</v>
      </c>
      <c r="AK24" s="1663">
        <f t="shared" si="13"/>
        <v>0.1</v>
      </c>
      <c r="AL24" s="1659">
        <f t="shared" si="14"/>
        <v>0.2</v>
      </c>
      <c r="AM24" s="1659">
        <f t="shared" si="14"/>
        <v>0.2</v>
      </c>
      <c r="AN24" s="1660">
        <f t="shared" si="15"/>
        <v>0.3</v>
      </c>
      <c r="AO24" s="1659">
        <f t="shared" si="16"/>
        <v>0.3</v>
      </c>
      <c r="AP24" s="1659">
        <f t="shared" si="17"/>
        <v>0.3</v>
      </c>
      <c r="AQ24" s="1532"/>
      <c r="AR24" s="1547" t="s">
        <v>240</v>
      </c>
      <c r="AS24" s="1593" t="s">
        <v>237</v>
      </c>
      <c r="AT24" s="1964" t="s">
        <v>241</v>
      </c>
      <c r="AU24" s="1523">
        <v>0.2</v>
      </c>
      <c r="AV24" s="1523">
        <v>0.2</v>
      </c>
      <c r="AW24" s="1523">
        <v>0.1</v>
      </c>
      <c r="AX24" s="1523">
        <v>0.1</v>
      </c>
      <c r="AY24" s="1523">
        <v>0.2</v>
      </c>
      <c r="AZ24" s="1523">
        <v>0.2</v>
      </c>
      <c r="BA24" s="1523">
        <v>0.3</v>
      </c>
      <c r="BB24" s="1614">
        <v>0.1</v>
      </c>
      <c r="BC24" s="1523">
        <v>0.2</v>
      </c>
      <c r="BD24" s="1523">
        <v>0.2</v>
      </c>
      <c r="BE24" s="1525">
        <v>0.3</v>
      </c>
      <c r="BF24" s="1523">
        <v>0.3</v>
      </c>
      <c r="BG24" s="1523">
        <v>0.3</v>
      </c>
      <c r="BI24" s="1547" t="s">
        <v>240</v>
      </c>
      <c r="BJ24" s="1593" t="s">
        <v>237</v>
      </c>
      <c r="BK24" s="1964" t="s">
        <v>241</v>
      </c>
      <c r="BL24" s="1523">
        <v>0.2</v>
      </c>
      <c r="BM24" s="1523">
        <v>0.2</v>
      </c>
      <c r="BN24" s="1523">
        <v>0.1</v>
      </c>
      <c r="BO24" s="1523">
        <v>0.1</v>
      </c>
      <c r="BP24" s="1523">
        <v>0.2</v>
      </c>
      <c r="BQ24" s="1523">
        <v>0.2</v>
      </c>
      <c r="BR24" s="1523">
        <v>0.3</v>
      </c>
      <c r="BS24" s="1614">
        <v>0.1</v>
      </c>
      <c r="BT24" s="1523">
        <v>0.2</v>
      </c>
      <c r="BU24" s="1523">
        <v>0.2</v>
      </c>
      <c r="BV24" s="1525">
        <v>0.3</v>
      </c>
      <c r="BW24" s="1523">
        <v>0.3</v>
      </c>
      <c r="BX24" s="1523">
        <v>0.3</v>
      </c>
    </row>
    <row r="25" spans="1:77" ht="13.5" customHeight="1">
      <c r="B25" s="1521" t="str">
        <f t="shared" si="0"/>
        <v>2.1.4</v>
      </c>
      <c r="C25" s="1514" t="str">
        <f t="shared" si="1"/>
        <v>ゾーン別制御性</v>
      </c>
      <c r="D25" s="1621">
        <f t="shared" si="25"/>
        <v>0.36716710182767615</v>
      </c>
      <c r="E25" s="1591">
        <f t="shared" si="25"/>
        <v>0</v>
      </c>
      <c r="G25" s="1591">
        <f t="shared" si="2"/>
        <v>0.28880686152150858</v>
      </c>
      <c r="H25" s="1591">
        <f t="shared" si="2"/>
        <v>0</v>
      </c>
      <c r="I25" s="1591"/>
      <c r="J25" s="1591"/>
      <c r="K25" s="1516">
        <f>IF(スコア表示!X25=0,0,1)</f>
        <v>1</v>
      </c>
      <c r="L25" s="1516">
        <f>IF(スコア表示!AB25=0,0,1)</f>
        <v>0</v>
      </c>
      <c r="N25" s="1608">
        <f t="shared" si="26"/>
        <v>0.28880686152150858</v>
      </c>
      <c r="O25" s="1608">
        <f t="shared" si="26"/>
        <v>0</v>
      </c>
      <c r="P25" s="1516"/>
      <c r="Q25" s="1516"/>
      <c r="R25" s="1516">
        <f>IF(スコア入力!R25="EB",重み_対象外!D25,U25)</f>
        <v>5.1403394255874674E-2</v>
      </c>
      <c r="S25" s="1516">
        <f>IF(スコア入力!Y25="EB",重み_対象外!E25,V25)</f>
        <v>0</v>
      </c>
      <c r="T25" s="1460"/>
      <c r="U25" s="1514">
        <f t="shared" si="27"/>
        <v>5.1403394255874674E-2</v>
      </c>
      <c r="V25" s="1514">
        <f t="shared" si="27"/>
        <v>0</v>
      </c>
      <c r="W25" s="1460"/>
      <c r="X25" s="1516">
        <f t="shared" si="18"/>
        <v>0.29373368146214096</v>
      </c>
      <c r="Y25" s="1516">
        <f t="shared" si="21"/>
        <v>0</v>
      </c>
      <c r="Z25" s="1471"/>
      <c r="AA25" s="1513" t="str">
        <f t="shared" si="3"/>
        <v>2.1.4</v>
      </c>
      <c r="AB25" s="1513" t="str">
        <f t="shared" si="4"/>
        <v xml:space="preserve"> Q1 2.1</v>
      </c>
      <c r="AC25" s="1513" t="str">
        <f t="shared" si="5"/>
        <v>ゾーン別制御性</v>
      </c>
      <c r="AD25" s="1659">
        <f t="shared" si="6"/>
        <v>0.3</v>
      </c>
      <c r="AE25" s="1659">
        <f t="shared" si="7"/>
        <v>0</v>
      </c>
      <c r="AF25" s="1659">
        <f t="shared" si="8"/>
        <v>0.2</v>
      </c>
      <c r="AG25" s="1659">
        <f t="shared" si="9"/>
        <v>0.2</v>
      </c>
      <c r="AH25" s="1659">
        <f t="shared" si="10"/>
        <v>0.3</v>
      </c>
      <c r="AI25" s="1659">
        <f t="shared" si="11"/>
        <v>0.3</v>
      </c>
      <c r="AJ25" s="1659">
        <f t="shared" si="12"/>
        <v>0</v>
      </c>
      <c r="AK25" s="1663">
        <f t="shared" si="13"/>
        <v>0.2</v>
      </c>
      <c r="AL25" s="1659">
        <f t="shared" si="14"/>
        <v>0.3</v>
      </c>
      <c r="AM25" s="1659">
        <f t="shared" si="14"/>
        <v>0</v>
      </c>
      <c r="AN25" s="1660">
        <f t="shared" si="15"/>
        <v>0</v>
      </c>
      <c r="AO25" s="1659">
        <f t="shared" si="16"/>
        <v>0</v>
      </c>
      <c r="AP25" s="1659">
        <f t="shared" si="17"/>
        <v>0</v>
      </c>
      <c r="AQ25" s="1532"/>
      <c r="AR25" s="1547" t="s">
        <v>242</v>
      </c>
      <c r="AS25" s="1593" t="s">
        <v>237</v>
      </c>
      <c r="AT25" s="1964" t="s">
        <v>243</v>
      </c>
      <c r="AU25" s="1523">
        <v>0.3</v>
      </c>
      <c r="AV25" s="1523"/>
      <c r="AW25" s="1523">
        <v>0.2</v>
      </c>
      <c r="AX25" s="1523">
        <v>0.2</v>
      </c>
      <c r="AY25" s="1523">
        <v>0.3</v>
      </c>
      <c r="AZ25" s="1523">
        <v>0.3</v>
      </c>
      <c r="BA25" s="1523"/>
      <c r="BB25" s="1614">
        <v>0.2</v>
      </c>
      <c r="BC25" s="1523">
        <v>0.3</v>
      </c>
      <c r="BD25" s="1523"/>
      <c r="BE25" s="1525"/>
      <c r="BF25" s="1523"/>
      <c r="BG25" s="1523"/>
      <c r="BI25" s="1547" t="s">
        <v>242</v>
      </c>
      <c r="BJ25" s="1593" t="s">
        <v>237</v>
      </c>
      <c r="BK25" s="1964" t="s">
        <v>243</v>
      </c>
      <c r="BL25" s="1523">
        <v>0.3</v>
      </c>
      <c r="BM25" s="1523"/>
      <c r="BN25" s="1523">
        <v>0.2</v>
      </c>
      <c r="BO25" s="1523">
        <v>0.2</v>
      </c>
      <c r="BP25" s="1523">
        <v>0.3</v>
      </c>
      <c r="BQ25" s="1523">
        <v>0.3</v>
      </c>
      <c r="BR25" s="1523"/>
      <c r="BS25" s="1614">
        <v>0.2</v>
      </c>
      <c r="BT25" s="1523">
        <v>0.3</v>
      </c>
      <c r="BU25" s="1523"/>
      <c r="BV25" s="1525"/>
      <c r="BW25" s="1523"/>
      <c r="BX25" s="1523"/>
    </row>
    <row r="26" spans="1:77" ht="13.5" hidden="1" customHeight="1">
      <c r="B26" s="1549" t="str">
        <f t="shared" si="0"/>
        <v>2.1.5</v>
      </c>
      <c r="C26" s="1550" t="str">
        <f t="shared" si="1"/>
        <v>温度・湿度制御</v>
      </c>
      <c r="D26" s="1621">
        <f t="shared" si="25"/>
        <v>0</v>
      </c>
      <c r="E26" s="1591">
        <f t="shared" si="25"/>
        <v>0</v>
      </c>
      <c r="G26" s="1591">
        <f t="shared" si="2"/>
        <v>0</v>
      </c>
      <c r="H26" s="1591">
        <f t="shared" si="2"/>
        <v>0</v>
      </c>
      <c r="I26" s="1591"/>
      <c r="J26" s="1591"/>
      <c r="K26" s="1516">
        <f>IF(スコア表示!X26=0,0,1)</f>
        <v>0</v>
      </c>
      <c r="L26" s="1516">
        <f>IF(スコア表示!AB26=0,0,1)</f>
        <v>0</v>
      </c>
      <c r="N26" s="1608">
        <f t="shared" si="26"/>
        <v>0.10456970039828034</v>
      </c>
      <c r="O26" s="1608">
        <f t="shared" si="26"/>
        <v>0</v>
      </c>
      <c r="P26" s="1516"/>
      <c r="Q26" s="1516"/>
      <c r="R26" s="1516">
        <f>IF(スコア入力!R26="EB",重み_対象外!D26,U26)</f>
        <v>1.8611876146132297E-2</v>
      </c>
      <c r="S26" s="1516">
        <f>IF(スコア入力!Y26="EB",重み_対象外!E26,V26)</f>
        <v>0</v>
      </c>
      <c r="T26" s="1460"/>
      <c r="U26" s="1514">
        <f t="shared" si="27"/>
        <v>1.786553524804178E-2</v>
      </c>
      <c r="V26" s="1514">
        <f t="shared" si="27"/>
        <v>0</v>
      </c>
      <c r="W26" s="1460"/>
      <c r="X26" s="1516">
        <f t="shared" si="18"/>
        <v>0.10208877284595302</v>
      </c>
      <c r="Y26" s="1516">
        <f t="shared" si="21"/>
        <v>0</v>
      </c>
      <c r="Z26" s="1471"/>
      <c r="AA26" s="1513" t="str">
        <f t="shared" si="3"/>
        <v>2.1.5</v>
      </c>
      <c r="AB26" s="1513" t="str">
        <f t="shared" si="4"/>
        <v xml:space="preserve"> Q1 2.1</v>
      </c>
      <c r="AC26" s="1513" t="str">
        <f t="shared" si="5"/>
        <v>温度・湿度制御</v>
      </c>
      <c r="AD26" s="1659">
        <f t="shared" si="6"/>
        <v>0.1</v>
      </c>
      <c r="AE26" s="1659">
        <f t="shared" si="7"/>
        <v>0.1</v>
      </c>
      <c r="AF26" s="1659">
        <f t="shared" si="8"/>
        <v>0.1</v>
      </c>
      <c r="AG26" s="1659">
        <f t="shared" si="9"/>
        <v>0.1</v>
      </c>
      <c r="AH26" s="1659">
        <f t="shared" si="10"/>
        <v>0.1</v>
      </c>
      <c r="AI26" s="1659">
        <f t="shared" si="11"/>
        <v>0.1</v>
      </c>
      <c r="AJ26" s="1659">
        <f t="shared" si="12"/>
        <v>0.2</v>
      </c>
      <c r="AK26" s="1663">
        <f t="shared" si="13"/>
        <v>0.1</v>
      </c>
      <c r="AL26" s="1659">
        <f t="shared" si="14"/>
        <v>0.1</v>
      </c>
      <c r="AM26" s="1659">
        <f t="shared" si="14"/>
        <v>0.1</v>
      </c>
      <c r="AN26" s="1660">
        <f t="shared" si="15"/>
        <v>0.2</v>
      </c>
      <c r="AO26" s="1659">
        <f t="shared" si="16"/>
        <v>0.2</v>
      </c>
      <c r="AP26" s="1659">
        <f t="shared" si="17"/>
        <v>0</v>
      </c>
      <c r="AQ26" s="1532"/>
      <c r="AR26" s="1547" t="s">
        <v>244</v>
      </c>
      <c r="AS26" s="1593" t="s">
        <v>237</v>
      </c>
      <c r="AT26" s="1964" t="s">
        <v>245</v>
      </c>
      <c r="AU26" s="1523">
        <v>0.1</v>
      </c>
      <c r="AV26" s="1523">
        <v>0.1</v>
      </c>
      <c r="AW26" s="1523">
        <v>0.1</v>
      </c>
      <c r="AX26" s="1523">
        <v>0.1</v>
      </c>
      <c r="AY26" s="1523">
        <v>0.1</v>
      </c>
      <c r="AZ26" s="1523">
        <v>0.1</v>
      </c>
      <c r="BA26" s="1523">
        <v>0.2</v>
      </c>
      <c r="BB26" s="1614">
        <v>0.1</v>
      </c>
      <c r="BC26" s="1523">
        <v>0.1</v>
      </c>
      <c r="BD26" s="1523">
        <v>0.1</v>
      </c>
      <c r="BE26" s="1525">
        <v>0.2</v>
      </c>
      <c r="BF26" s="1523">
        <v>0.2</v>
      </c>
      <c r="BG26" s="1523"/>
      <c r="BI26" s="1547" t="s">
        <v>244</v>
      </c>
      <c r="BJ26" s="1593" t="s">
        <v>237</v>
      </c>
      <c r="BK26" s="1964" t="s">
        <v>245</v>
      </c>
      <c r="BL26" s="1523">
        <v>0.1</v>
      </c>
      <c r="BM26" s="1523">
        <v>0.1</v>
      </c>
      <c r="BN26" s="1523">
        <v>0.1</v>
      </c>
      <c r="BO26" s="1523">
        <v>0.1</v>
      </c>
      <c r="BP26" s="1523">
        <v>0.1</v>
      </c>
      <c r="BQ26" s="1523">
        <v>0.1</v>
      </c>
      <c r="BR26" s="1523">
        <v>0.2</v>
      </c>
      <c r="BS26" s="1614">
        <v>0.1</v>
      </c>
      <c r="BT26" s="1523">
        <v>0.1</v>
      </c>
      <c r="BU26" s="1523">
        <v>0.1</v>
      </c>
      <c r="BV26" s="1525">
        <v>0.2</v>
      </c>
      <c r="BW26" s="1523">
        <v>0.2</v>
      </c>
      <c r="BX26" s="1523"/>
    </row>
    <row r="27" spans="1:77" ht="13.5" hidden="1" customHeight="1">
      <c r="B27" s="1549" t="str">
        <f t="shared" si="0"/>
        <v>2.1.6</v>
      </c>
      <c r="C27" s="1550" t="str">
        <f t="shared" si="1"/>
        <v>個別制御</v>
      </c>
      <c r="D27" s="1621">
        <f t="shared" si="25"/>
        <v>0</v>
      </c>
      <c r="E27" s="1591">
        <f t="shared" si="25"/>
        <v>0</v>
      </c>
      <c r="G27" s="1591">
        <f t="shared" si="2"/>
        <v>0</v>
      </c>
      <c r="H27" s="1591">
        <f t="shared" si="2"/>
        <v>0</v>
      </c>
      <c r="I27" s="1591"/>
      <c r="J27" s="1591"/>
      <c r="K27" s="1516">
        <f>IF(スコア表示!X27=0,0,1)</f>
        <v>0</v>
      </c>
      <c r="L27" s="1516">
        <f>IF(スコア表示!AB27=0,0,1)</f>
        <v>0</v>
      </c>
      <c r="N27" s="1608">
        <f t="shared" si="26"/>
        <v>8.5581340479410992E-3</v>
      </c>
      <c r="O27" s="1608">
        <f t="shared" si="26"/>
        <v>0.2</v>
      </c>
      <c r="P27" s="1516"/>
      <c r="Q27" s="1516"/>
      <c r="R27" s="1516">
        <f>IF(スコア入力!R27="EB",重み_対象外!D27,U27)</f>
        <v>1.5232226001949702E-3</v>
      </c>
      <c r="S27" s="1516">
        <f>IF(スコア入力!Y27="EB",重み_対象外!E27,V27)</f>
        <v>4.3629720019906062E-5</v>
      </c>
      <c r="T27" s="1460"/>
      <c r="U27" s="1514">
        <f t="shared" si="27"/>
        <v>0</v>
      </c>
      <c r="V27" s="1514">
        <f t="shared" si="27"/>
        <v>4.3629720019906062E-5</v>
      </c>
      <c r="W27" s="1460"/>
      <c r="X27" s="1516">
        <f t="shared" si="18"/>
        <v>0</v>
      </c>
      <c r="Y27" s="1516">
        <f t="shared" si="21"/>
        <v>4.1775456919060051E-3</v>
      </c>
      <c r="Z27" s="1471"/>
      <c r="AA27" s="1513" t="str">
        <f t="shared" si="3"/>
        <v>2.1.6</v>
      </c>
      <c r="AB27" s="1513" t="str">
        <f t="shared" si="4"/>
        <v xml:space="preserve"> Q1 2.1</v>
      </c>
      <c r="AC27" s="1513" t="str">
        <f t="shared" si="5"/>
        <v>個別制御</v>
      </c>
      <c r="AD27" s="1659">
        <f t="shared" si="6"/>
        <v>0</v>
      </c>
      <c r="AE27" s="1659">
        <f t="shared" si="7"/>
        <v>0</v>
      </c>
      <c r="AF27" s="1659">
        <f t="shared" si="8"/>
        <v>0</v>
      </c>
      <c r="AG27" s="1659">
        <f t="shared" si="9"/>
        <v>0</v>
      </c>
      <c r="AH27" s="1659">
        <f t="shared" si="10"/>
        <v>0</v>
      </c>
      <c r="AI27" s="1659">
        <f t="shared" si="11"/>
        <v>0</v>
      </c>
      <c r="AJ27" s="1659">
        <f t="shared" si="12"/>
        <v>0</v>
      </c>
      <c r="AK27" s="1663">
        <f t="shared" si="13"/>
        <v>0</v>
      </c>
      <c r="AL27" s="1659">
        <f t="shared" si="14"/>
        <v>0</v>
      </c>
      <c r="AM27" s="1659">
        <f t="shared" si="14"/>
        <v>0</v>
      </c>
      <c r="AN27" s="1660">
        <f t="shared" si="15"/>
        <v>0.1</v>
      </c>
      <c r="AO27" s="1659">
        <f t="shared" si="16"/>
        <v>0.1</v>
      </c>
      <c r="AP27" s="1659">
        <f t="shared" si="17"/>
        <v>0.2</v>
      </c>
      <c r="AQ27" s="1532"/>
      <c r="AR27" s="1547" t="s">
        <v>246</v>
      </c>
      <c r="AS27" s="1593" t="s">
        <v>237</v>
      </c>
      <c r="AT27" s="1964" t="s">
        <v>247</v>
      </c>
      <c r="AU27" s="1523"/>
      <c r="AV27" s="1523"/>
      <c r="AW27" s="1523"/>
      <c r="AX27" s="1523"/>
      <c r="AY27" s="1523"/>
      <c r="AZ27" s="1523"/>
      <c r="BA27" s="1523"/>
      <c r="BB27" s="1614"/>
      <c r="BC27" s="1523"/>
      <c r="BD27" s="1523"/>
      <c r="BE27" s="1525">
        <v>0.1</v>
      </c>
      <c r="BF27" s="1523">
        <v>0.1</v>
      </c>
      <c r="BG27" s="1523">
        <v>0.2</v>
      </c>
      <c r="BI27" s="1547" t="s">
        <v>246</v>
      </c>
      <c r="BJ27" s="1593" t="s">
        <v>237</v>
      </c>
      <c r="BK27" s="1964" t="s">
        <v>247</v>
      </c>
      <c r="BL27" s="1523"/>
      <c r="BM27" s="1523"/>
      <c r="BN27" s="1523"/>
      <c r="BO27" s="1523"/>
      <c r="BP27" s="1523"/>
      <c r="BQ27" s="1523"/>
      <c r="BR27" s="1523"/>
      <c r="BS27" s="1614"/>
      <c r="BT27" s="1523"/>
      <c r="BU27" s="1523"/>
      <c r="BV27" s="1525">
        <v>0.1</v>
      </c>
      <c r="BW27" s="1523">
        <v>0.1</v>
      </c>
      <c r="BX27" s="1523">
        <v>0.2</v>
      </c>
    </row>
    <row r="28" spans="1:77" ht="13.5" hidden="1" customHeight="1">
      <c r="B28" s="1549" t="str">
        <f t="shared" si="0"/>
        <v>2.1.7</v>
      </c>
      <c r="C28" s="1550" t="str">
        <f t="shared" si="1"/>
        <v>時間外空調に対する配慮</v>
      </c>
      <c r="D28" s="1621">
        <f t="shared" si="25"/>
        <v>0</v>
      </c>
      <c r="E28" s="1591">
        <f t="shared" si="25"/>
        <v>0</v>
      </c>
      <c r="G28" s="1591">
        <f t="shared" si="2"/>
        <v>0</v>
      </c>
      <c r="H28" s="1591">
        <f t="shared" si="2"/>
        <v>0</v>
      </c>
      <c r="I28" s="1591"/>
      <c r="J28" s="1591"/>
      <c r="K28" s="1516">
        <f>IF(スコア表示!X28=0,0,1)</f>
        <v>0</v>
      </c>
      <c r="L28" s="1516">
        <f>IF(スコア表示!AB28=0,0,1)</f>
        <v>0</v>
      </c>
      <c r="N28" s="1608">
        <f t="shared" si="26"/>
        <v>0.1002906333743098</v>
      </c>
      <c r="O28" s="1608">
        <f t="shared" si="26"/>
        <v>0</v>
      </c>
      <c r="P28" s="1516"/>
      <c r="Q28" s="1516"/>
      <c r="R28" s="1516">
        <f>IF(スコア入力!R28="EB",重み_対象外!D28,U28)</f>
        <v>1.7850264846034813E-2</v>
      </c>
      <c r="S28" s="1516">
        <f>IF(スコア入力!Y28="EB",重み_対象外!E28,V28)</f>
        <v>0</v>
      </c>
      <c r="T28" s="1460"/>
      <c r="U28" s="1514">
        <f t="shared" si="27"/>
        <v>1.713446475195823E-2</v>
      </c>
      <c r="V28" s="1514">
        <f t="shared" si="27"/>
        <v>0</v>
      </c>
      <c r="W28" s="1460"/>
      <c r="X28" s="1516">
        <f t="shared" si="18"/>
        <v>9.7911227154047015E-2</v>
      </c>
      <c r="Y28" s="1516">
        <f t="shared" si="21"/>
        <v>0</v>
      </c>
      <c r="Z28" s="1471"/>
      <c r="AA28" s="1513" t="str">
        <f t="shared" si="3"/>
        <v>2.1.7</v>
      </c>
      <c r="AB28" s="1513" t="str">
        <f t="shared" si="4"/>
        <v xml:space="preserve"> Q1 2.1</v>
      </c>
      <c r="AC28" s="1513" t="str">
        <f t="shared" si="5"/>
        <v>時間外空調に対する配慮</v>
      </c>
      <c r="AD28" s="1659">
        <f t="shared" si="6"/>
        <v>0.1</v>
      </c>
      <c r="AE28" s="1659">
        <f t="shared" si="7"/>
        <v>0.2</v>
      </c>
      <c r="AF28" s="1659">
        <f t="shared" si="8"/>
        <v>0</v>
      </c>
      <c r="AG28" s="1659">
        <f t="shared" si="9"/>
        <v>0</v>
      </c>
      <c r="AH28" s="1659">
        <f t="shared" si="10"/>
        <v>0.1</v>
      </c>
      <c r="AI28" s="1659">
        <f t="shared" si="11"/>
        <v>0.1</v>
      </c>
      <c r="AJ28" s="1659">
        <f t="shared" si="12"/>
        <v>0</v>
      </c>
      <c r="AK28" s="1663">
        <f t="shared" si="13"/>
        <v>0</v>
      </c>
      <c r="AL28" s="1659">
        <f t="shared" si="14"/>
        <v>0.1</v>
      </c>
      <c r="AM28" s="1659">
        <f t="shared" si="14"/>
        <v>0.2</v>
      </c>
      <c r="AN28" s="1660">
        <f t="shared" si="15"/>
        <v>0</v>
      </c>
      <c r="AO28" s="1659">
        <f t="shared" si="16"/>
        <v>0</v>
      </c>
      <c r="AP28" s="1659">
        <f t="shared" si="17"/>
        <v>0</v>
      </c>
      <c r="AQ28" s="1532"/>
      <c r="AR28" s="1547" t="s">
        <v>248</v>
      </c>
      <c r="AS28" s="1593" t="s">
        <v>237</v>
      </c>
      <c r="AT28" s="1964" t="s">
        <v>844</v>
      </c>
      <c r="AU28" s="1523">
        <v>0.1</v>
      </c>
      <c r="AV28" s="1523">
        <v>0.2</v>
      </c>
      <c r="AW28" s="1523"/>
      <c r="AX28" s="1523"/>
      <c r="AY28" s="1523">
        <v>0.1</v>
      </c>
      <c r="AZ28" s="1523">
        <v>0.1</v>
      </c>
      <c r="BA28" s="1523"/>
      <c r="BB28" s="1614"/>
      <c r="BC28" s="1523">
        <v>0.1</v>
      </c>
      <c r="BD28" s="1523">
        <v>0.2</v>
      </c>
      <c r="BE28" s="1525"/>
      <c r="BF28" s="1523"/>
      <c r="BG28" s="1523"/>
      <c r="BI28" s="1547" t="s">
        <v>248</v>
      </c>
      <c r="BJ28" s="1593" t="s">
        <v>237</v>
      </c>
      <c r="BK28" s="1964" t="s">
        <v>844</v>
      </c>
      <c r="BL28" s="1523">
        <v>0.1</v>
      </c>
      <c r="BM28" s="1523">
        <v>0.2</v>
      </c>
      <c r="BN28" s="1523"/>
      <c r="BO28" s="1523"/>
      <c r="BP28" s="1523">
        <v>0.1</v>
      </c>
      <c r="BQ28" s="1523">
        <v>0.1</v>
      </c>
      <c r="BR28" s="1523"/>
      <c r="BS28" s="1614"/>
      <c r="BT28" s="1523">
        <v>0.1</v>
      </c>
      <c r="BU28" s="1523">
        <v>0.2</v>
      </c>
      <c r="BV28" s="1525"/>
      <c r="BW28" s="1523"/>
      <c r="BX28" s="1523"/>
    </row>
    <row r="29" spans="1:77" ht="13.5" hidden="1" customHeight="1">
      <c r="B29" s="1549" t="str">
        <f t="shared" si="0"/>
        <v>2.1.8</v>
      </c>
      <c r="C29" s="1550" t="str">
        <f t="shared" si="1"/>
        <v>監視システム</v>
      </c>
      <c r="D29" s="1621">
        <f t="shared" si="25"/>
        <v>0</v>
      </c>
      <c r="E29" s="1591">
        <f t="shared" si="25"/>
        <v>0</v>
      </c>
      <c r="G29" s="1591">
        <f t="shared" si="2"/>
        <v>0</v>
      </c>
      <c r="H29" s="1591">
        <f t="shared" si="2"/>
        <v>0</v>
      </c>
      <c r="I29" s="1591"/>
      <c r="J29" s="1591"/>
      <c r="K29" s="1516">
        <f>IF(スコア表示!X29=0,0,1)</f>
        <v>0</v>
      </c>
      <c r="L29" s="1516">
        <f>IF(スコア表示!AB29=0,0,1)</f>
        <v>0</v>
      </c>
      <c r="N29" s="1608">
        <f t="shared" si="26"/>
        <v>0</v>
      </c>
      <c r="O29" s="1608">
        <f t="shared" si="26"/>
        <v>0</v>
      </c>
      <c r="P29" s="1516"/>
      <c r="Q29" s="1516"/>
      <c r="R29" s="1516">
        <f>IF(スコア入力!R29="EB",重み_対象外!D29,U29)</f>
        <v>0</v>
      </c>
      <c r="S29" s="1516">
        <f>IF(スコア入力!Y29="EB",重み_対象外!E29,V29)</f>
        <v>0</v>
      </c>
      <c r="T29" s="1460"/>
      <c r="U29" s="1514">
        <f t="shared" si="27"/>
        <v>0</v>
      </c>
      <c r="V29" s="1514">
        <f t="shared" si="27"/>
        <v>0</v>
      </c>
      <c r="W29" s="1460"/>
      <c r="X29" s="1516">
        <f t="shared" si="18"/>
        <v>0</v>
      </c>
      <c r="Y29" s="1516">
        <f t="shared" si="21"/>
        <v>0</v>
      </c>
      <c r="Z29" s="1471"/>
      <c r="AA29" s="1513" t="str">
        <f t="shared" si="3"/>
        <v>2.1.8</v>
      </c>
      <c r="AB29" s="1513" t="str">
        <f t="shared" si="4"/>
        <v xml:space="preserve"> Q1 2.1</v>
      </c>
      <c r="AC29" s="1513" t="str">
        <f t="shared" si="5"/>
        <v>監視システム</v>
      </c>
      <c r="AD29" s="1659">
        <f t="shared" si="6"/>
        <v>0</v>
      </c>
      <c r="AE29" s="1659">
        <f t="shared" si="7"/>
        <v>0</v>
      </c>
      <c r="AF29" s="1659">
        <f t="shared" si="8"/>
        <v>0.1</v>
      </c>
      <c r="AG29" s="1659">
        <f t="shared" si="9"/>
        <v>0.1</v>
      </c>
      <c r="AH29" s="1659">
        <f t="shared" si="10"/>
        <v>0</v>
      </c>
      <c r="AI29" s="1659">
        <f t="shared" si="11"/>
        <v>0</v>
      </c>
      <c r="AJ29" s="1659">
        <f t="shared" si="12"/>
        <v>0</v>
      </c>
      <c r="AK29" s="1663">
        <f t="shared" si="13"/>
        <v>0</v>
      </c>
      <c r="AL29" s="1659">
        <f t="shared" si="14"/>
        <v>0</v>
      </c>
      <c r="AM29" s="1659">
        <f t="shared" si="14"/>
        <v>0</v>
      </c>
      <c r="AN29" s="1660">
        <f t="shared" si="15"/>
        <v>0</v>
      </c>
      <c r="AO29" s="1659">
        <f t="shared" si="16"/>
        <v>0</v>
      </c>
      <c r="AP29" s="1659">
        <f t="shared" si="17"/>
        <v>0</v>
      </c>
      <c r="AQ29" s="1532"/>
      <c r="AR29" s="1547" t="s">
        <v>249</v>
      </c>
      <c r="AS29" s="1593" t="s">
        <v>237</v>
      </c>
      <c r="AT29" s="1964" t="s">
        <v>250</v>
      </c>
      <c r="AU29" s="1523"/>
      <c r="AV29" s="1523"/>
      <c r="AW29" s="1523">
        <v>0.1</v>
      </c>
      <c r="AX29" s="1523">
        <v>0.1</v>
      </c>
      <c r="AY29" s="1523"/>
      <c r="AZ29" s="1523"/>
      <c r="BA29" s="1523"/>
      <c r="BB29" s="1614"/>
      <c r="BC29" s="1523"/>
      <c r="BD29" s="1523"/>
      <c r="BE29" s="1525"/>
      <c r="BF29" s="1523"/>
      <c r="BG29" s="1523"/>
      <c r="BI29" s="1547" t="s">
        <v>249</v>
      </c>
      <c r="BJ29" s="1593" t="s">
        <v>237</v>
      </c>
      <c r="BK29" s="1964" t="s">
        <v>250</v>
      </c>
      <c r="BL29" s="1523"/>
      <c r="BM29" s="1523"/>
      <c r="BN29" s="1523">
        <v>0.1</v>
      </c>
      <c r="BO29" s="1523">
        <v>0.1</v>
      </c>
      <c r="BP29" s="1523"/>
      <c r="BQ29" s="1523"/>
      <c r="BR29" s="1523"/>
      <c r="BS29" s="1614"/>
      <c r="BT29" s="1523"/>
      <c r="BU29" s="1523"/>
      <c r="BV29" s="1525"/>
      <c r="BW29" s="1523"/>
      <c r="BX29" s="1523"/>
    </row>
    <row r="30" spans="1:77" ht="13.5" customHeight="1">
      <c r="B30" s="1521">
        <f t="shared" si="0"/>
        <v>2.2000000000000002</v>
      </c>
      <c r="C30" s="1530" t="str">
        <f t="shared" si="1"/>
        <v>湿度制御</v>
      </c>
      <c r="D30" s="1616">
        <f>IF(I$20=0,0,G30/I$20)</f>
        <v>0.19830850573407369</v>
      </c>
      <c r="E30" s="1591">
        <f>IF(J$20=0,0,H30/J$20)</f>
        <v>0</v>
      </c>
      <c r="G30" s="1591">
        <f t="shared" si="2"/>
        <v>0.19830850573407369</v>
      </c>
      <c r="H30" s="1591">
        <f t="shared" si="2"/>
        <v>0</v>
      </c>
      <c r="I30" s="1591"/>
      <c r="J30" s="1591"/>
      <c r="K30" s="1516">
        <f>IF(スコア表示!X30=0,0,1)</f>
        <v>1</v>
      </c>
      <c r="L30" s="1516">
        <f>IF(スコア表示!AB30=0,0,1)</f>
        <v>0</v>
      </c>
      <c r="N30" s="1608">
        <f>IF(P$20=0,0,R30/P$20)</f>
        <v>0.19830850573407369</v>
      </c>
      <c r="O30" s="1608">
        <f>IF(Q$20=0,0,S30/Q$20)</f>
        <v>0.95037220843672454</v>
      </c>
      <c r="P30" s="1516"/>
      <c r="Q30" s="1516"/>
      <c r="R30" s="1516">
        <f>IF(スコア入力!R30="EB",重み_対象外!D30,U30)</f>
        <v>7.0000000000000021E-2</v>
      </c>
      <c r="S30" s="1516">
        <f>IF(スコア入力!Y30="EB",重み_対象外!E30,V30)</f>
        <v>4.1775456919060051E-3</v>
      </c>
      <c r="T30" s="1460"/>
      <c r="U30" s="1205">
        <f>X20*X30</f>
        <v>7.0000000000000021E-2</v>
      </c>
      <c r="V30" s="1205">
        <f>Y20*Y30</f>
        <v>4.1775456919060051E-3</v>
      </c>
      <c r="W30" s="1460"/>
      <c r="X30" s="1516">
        <f t="shared" si="18"/>
        <v>0.20000000000000004</v>
      </c>
      <c r="Y30" s="1516">
        <f t="shared" si="21"/>
        <v>4.1775456919060051E-3</v>
      </c>
      <c r="Z30" s="1471"/>
      <c r="AA30" s="1513">
        <f t="shared" si="3"/>
        <v>2.2000000000000002</v>
      </c>
      <c r="AB30" s="1513" t="str">
        <f t="shared" si="4"/>
        <v xml:space="preserve"> Q1 2</v>
      </c>
      <c r="AC30" s="1513" t="str">
        <f t="shared" si="5"/>
        <v>湿度制御</v>
      </c>
      <c r="AD30" s="1659">
        <f t="shared" si="6"/>
        <v>0.2</v>
      </c>
      <c r="AE30" s="1659">
        <f t="shared" si="7"/>
        <v>0.2</v>
      </c>
      <c r="AF30" s="1659">
        <f t="shared" si="8"/>
        <v>0.2</v>
      </c>
      <c r="AG30" s="1659">
        <f t="shared" si="9"/>
        <v>0.2</v>
      </c>
      <c r="AH30" s="1659">
        <f t="shared" si="10"/>
        <v>0.2</v>
      </c>
      <c r="AI30" s="1659">
        <f t="shared" si="11"/>
        <v>0.2</v>
      </c>
      <c r="AJ30" s="1659">
        <f t="shared" si="12"/>
        <v>0.2</v>
      </c>
      <c r="AK30" s="1663">
        <f t="shared" si="13"/>
        <v>0.2</v>
      </c>
      <c r="AL30" s="1659">
        <f t="shared" si="14"/>
        <v>0.2</v>
      </c>
      <c r="AM30" s="1659">
        <f t="shared" si="14"/>
        <v>0.2</v>
      </c>
      <c r="AN30" s="1660">
        <f t="shared" si="15"/>
        <v>0.2</v>
      </c>
      <c r="AO30" s="1659">
        <f t="shared" si="16"/>
        <v>0.2</v>
      </c>
      <c r="AP30" s="1659">
        <f t="shared" si="17"/>
        <v>0.2</v>
      </c>
      <c r="AQ30" s="1520"/>
      <c r="AR30" s="1547">
        <v>2.2000000000000002</v>
      </c>
      <c r="AS30" s="1593" t="s">
        <v>236</v>
      </c>
      <c r="AT30" s="1637" t="s">
        <v>878</v>
      </c>
      <c r="AU30" s="1523">
        <v>0.2</v>
      </c>
      <c r="AV30" s="1523">
        <v>0.2</v>
      </c>
      <c r="AW30" s="1523">
        <v>0.2</v>
      </c>
      <c r="AX30" s="1523">
        <v>0.2</v>
      </c>
      <c r="AY30" s="1523">
        <v>0.2</v>
      </c>
      <c r="AZ30" s="1523">
        <v>0.2</v>
      </c>
      <c r="BA30" s="1523">
        <v>0.2</v>
      </c>
      <c r="BB30" s="1614">
        <v>0.2</v>
      </c>
      <c r="BC30" s="1523">
        <v>0.2</v>
      </c>
      <c r="BD30" s="1523">
        <v>0.2</v>
      </c>
      <c r="BE30" s="1525">
        <v>0.2</v>
      </c>
      <c r="BF30" s="1523">
        <v>0.2</v>
      </c>
      <c r="BG30" s="1523">
        <v>0.2</v>
      </c>
      <c r="BI30" s="1547">
        <v>2.2000000000000002</v>
      </c>
      <c r="BJ30" s="1593" t="s">
        <v>236</v>
      </c>
      <c r="BK30" s="1637" t="s">
        <v>878</v>
      </c>
      <c r="BL30" s="1523">
        <v>0.2</v>
      </c>
      <c r="BM30" s="1523">
        <v>0.2</v>
      </c>
      <c r="BN30" s="1523">
        <v>0.2</v>
      </c>
      <c r="BO30" s="1523">
        <v>0.2</v>
      </c>
      <c r="BP30" s="1523">
        <v>0.2</v>
      </c>
      <c r="BQ30" s="1523">
        <v>0.2</v>
      </c>
      <c r="BR30" s="1523">
        <v>0.2</v>
      </c>
      <c r="BS30" s="1614">
        <v>0.2</v>
      </c>
      <c r="BT30" s="1523">
        <v>0.2</v>
      </c>
      <c r="BU30" s="1523">
        <v>0.2</v>
      </c>
      <c r="BV30" s="1525">
        <v>0.2</v>
      </c>
      <c r="BW30" s="1523">
        <v>0.2</v>
      </c>
      <c r="BX30" s="1523">
        <v>0.2</v>
      </c>
    </row>
    <row r="31" spans="1:77" ht="13.5" customHeight="1">
      <c r="B31" s="1521">
        <f t="shared" si="0"/>
        <v>2.2999999999999998</v>
      </c>
      <c r="C31" s="1530" t="str">
        <f t="shared" si="1"/>
        <v>空調方式</v>
      </c>
      <c r="D31" s="1616">
        <f>IF(I$20=0,0,G31/I$20)</f>
        <v>0.29746275860111043</v>
      </c>
      <c r="E31" s="1591">
        <f>IF(J$20=0,0,H31/J$20)</f>
        <v>0</v>
      </c>
      <c r="G31" s="1591">
        <f t="shared" si="2"/>
        <v>0.29746275860111043</v>
      </c>
      <c r="H31" s="1591">
        <f t="shared" si="2"/>
        <v>0</v>
      </c>
      <c r="I31" s="1591">
        <f>SUM(G32:G33)</f>
        <v>1</v>
      </c>
      <c r="J31" s="1591">
        <f>SUM(H32:H33)</f>
        <v>0</v>
      </c>
      <c r="K31" s="1516">
        <f>IF(スコア表示!X31=0,0,1)</f>
        <v>1</v>
      </c>
      <c r="L31" s="1516">
        <f>IF(スコア表示!AB31=0,0,1)</f>
        <v>0</v>
      </c>
      <c r="N31" s="1613">
        <f>IF(P$20=0,0,P31/P$20)</f>
        <v>0.29746275860111043</v>
      </c>
      <c r="O31" s="1613">
        <f>IF(Q$20=0,0,Q31/Q$20)</f>
        <v>0</v>
      </c>
      <c r="P31" s="1516">
        <f>SUM(R32:R33)</f>
        <v>0.10500000000000001</v>
      </c>
      <c r="Q31" s="1516">
        <f>SUM(S32:S33)</f>
        <v>0</v>
      </c>
      <c r="R31" s="1516">
        <f>IF(スコア入力!R31="EB",重み_対象外!D31,U31)</f>
        <v>0</v>
      </c>
      <c r="S31" s="1516">
        <f>IF(スコア入力!Y31="EB",重み_対象外!E31,V31)</f>
        <v>0</v>
      </c>
      <c r="T31" s="1460"/>
      <c r="U31" s="1530"/>
      <c r="V31" s="1530"/>
      <c r="W31" s="1460"/>
      <c r="X31" s="1516">
        <f t="shared" si="18"/>
        <v>0.3</v>
      </c>
      <c r="Y31" s="1516">
        <f t="shared" si="21"/>
        <v>6.2663185378590081E-3</v>
      </c>
      <c r="Z31" s="1471"/>
      <c r="AA31" s="1513">
        <f t="shared" si="3"/>
        <v>2.2999999999999998</v>
      </c>
      <c r="AB31" s="1513" t="str">
        <f t="shared" si="4"/>
        <v xml:space="preserve"> Q1 2</v>
      </c>
      <c r="AC31" s="1513" t="str">
        <f t="shared" si="5"/>
        <v>空調方式</v>
      </c>
      <c r="AD31" s="1659">
        <f t="shared" si="6"/>
        <v>0.3</v>
      </c>
      <c r="AE31" s="1659">
        <f t="shared" si="7"/>
        <v>0.3</v>
      </c>
      <c r="AF31" s="1659">
        <f t="shared" si="8"/>
        <v>0.3</v>
      </c>
      <c r="AG31" s="1659">
        <f t="shared" si="9"/>
        <v>0.3</v>
      </c>
      <c r="AH31" s="1659">
        <f t="shared" si="10"/>
        <v>0.3</v>
      </c>
      <c r="AI31" s="1659">
        <f t="shared" si="11"/>
        <v>0.3</v>
      </c>
      <c r="AJ31" s="1659">
        <f t="shared" si="12"/>
        <v>0.3</v>
      </c>
      <c r="AK31" s="1663">
        <f t="shared" si="13"/>
        <v>0.3</v>
      </c>
      <c r="AL31" s="1659">
        <f t="shared" si="14"/>
        <v>0.3</v>
      </c>
      <c r="AM31" s="1659">
        <f t="shared" si="14"/>
        <v>0.3</v>
      </c>
      <c r="AN31" s="1660">
        <f t="shared" si="15"/>
        <v>0.3</v>
      </c>
      <c r="AO31" s="1659">
        <f t="shared" si="16"/>
        <v>0.3</v>
      </c>
      <c r="AP31" s="1659">
        <f t="shared" si="17"/>
        <v>0.3</v>
      </c>
      <c r="AQ31" s="1520"/>
      <c r="AR31" s="1547">
        <v>2.2999999999999998</v>
      </c>
      <c r="AS31" s="1593" t="s">
        <v>236</v>
      </c>
      <c r="AT31" s="1637" t="s">
        <v>564</v>
      </c>
      <c r="AU31" s="1523">
        <v>0.3</v>
      </c>
      <c r="AV31" s="1523">
        <v>0.3</v>
      </c>
      <c r="AW31" s="1523">
        <v>0.3</v>
      </c>
      <c r="AX31" s="1523">
        <v>0.3</v>
      </c>
      <c r="AY31" s="1523">
        <v>0.3</v>
      </c>
      <c r="AZ31" s="1523">
        <v>0.3</v>
      </c>
      <c r="BA31" s="1523">
        <v>0.3</v>
      </c>
      <c r="BB31" s="1614">
        <v>0.3</v>
      </c>
      <c r="BC31" s="1523">
        <v>0.3</v>
      </c>
      <c r="BD31" s="1523">
        <v>0.3</v>
      </c>
      <c r="BE31" s="1525">
        <v>0.3</v>
      </c>
      <c r="BF31" s="1523">
        <v>0.3</v>
      </c>
      <c r="BG31" s="1523">
        <v>0.3</v>
      </c>
      <c r="BI31" s="1547">
        <v>2.2999999999999998</v>
      </c>
      <c r="BJ31" s="1593" t="s">
        <v>236</v>
      </c>
      <c r="BK31" s="1637" t="s">
        <v>564</v>
      </c>
      <c r="BL31" s="1523">
        <v>0.3</v>
      </c>
      <c r="BM31" s="1523">
        <v>0.3</v>
      </c>
      <c r="BN31" s="1523">
        <v>0.3</v>
      </c>
      <c r="BO31" s="1523">
        <v>0.3</v>
      </c>
      <c r="BP31" s="1523">
        <v>0.3</v>
      </c>
      <c r="BQ31" s="1523">
        <v>0.3</v>
      </c>
      <c r="BR31" s="1523">
        <v>0.3</v>
      </c>
      <c r="BS31" s="1614">
        <v>0.3</v>
      </c>
      <c r="BT31" s="1523">
        <v>0.3</v>
      </c>
      <c r="BU31" s="1523">
        <v>0.3</v>
      </c>
      <c r="BV31" s="1525">
        <v>0.3</v>
      </c>
      <c r="BW31" s="1523">
        <v>0.3</v>
      </c>
      <c r="BX31" s="1523">
        <v>0.3</v>
      </c>
    </row>
    <row r="32" spans="1:77" ht="13.5" customHeight="1">
      <c r="B32" s="1521" t="str">
        <f t="shared" si="0"/>
        <v>2.3.1</v>
      </c>
      <c r="C32" s="1560" t="str">
        <f t="shared" si="1"/>
        <v>上下温度差</v>
      </c>
      <c r="D32" s="1621">
        <f>IF(I$31&gt;0,G32/I$31,0)</f>
        <v>0.5</v>
      </c>
      <c r="E32" s="1591">
        <f>IF(J$31&gt;0,H32/J$31,0)</f>
        <v>0</v>
      </c>
      <c r="F32" s="2328"/>
      <c r="G32" s="1591">
        <f t="shared" si="2"/>
        <v>0.5</v>
      </c>
      <c r="H32" s="1591">
        <f t="shared" si="2"/>
        <v>0</v>
      </c>
      <c r="I32" s="1591"/>
      <c r="J32" s="1591"/>
      <c r="K32" s="1516">
        <f>IF(スコア表示!X32=0,0,1)</f>
        <v>1</v>
      </c>
      <c r="L32" s="1516">
        <f>IF(スコア表示!AB32=0,0,1)</f>
        <v>0</v>
      </c>
      <c r="N32" s="1608">
        <f>IF(P$31&gt;0,R32/P$31,0)</f>
        <v>0.5</v>
      </c>
      <c r="O32" s="1608">
        <f>IF(Q$31&gt;0,S32/Q$31,0)</f>
        <v>0</v>
      </c>
      <c r="P32" s="1516"/>
      <c r="Q32" s="1516"/>
      <c r="R32" s="1516">
        <f>IF(スコア入力!R32="EB",重み_対象外!D32,U32)</f>
        <v>5.2500000000000005E-2</v>
      </c>
      <c r="S32" s="1516">
        <f>IF(スコア入力!Y32="EB",重み_対象外!E32,V32)</f>
        <v>0</v>
      </c>
      <c r="T32" s="1460"/>
      <c r="U32" s="1514">
        <f>X$20*X$31*X32</f>
        <v>5.2500000000000005E-2</v>
      </c>
      <c r="V32" s="1514">
        <f>Y$20*Y$31*Y32</f>
        <v>0</v>
      </c>
      <c r="W32" s="1460"/>
      <c r="X32" s="1516">
        <f t="shared" si="18"/>
        <v>0.5</v>
      </c>
      <c r="Y32" s="1516">
        <f t="shared" si="21"/>
        <v>0</v>
      </c>
      <c r="Z32" s="1471"/>
      <c r="AA32" s="1517" t="str">
        <f t="shared" si="3"/>
        <v>2.3.1</v>
      </c>
      <c r="AB32" s="1517" t="str">
        <f t="shared" si="4"/>
        <v xml:space="preserve"> Q1 2.3</v>
      </c>
      <c r="AC32" s="1560" t="str">
        <f t="shared" si="5"/>
        <v>上下温度差</v>
      </c>
      <c r="AD32" s="1659">
        <f t="shared" si="6"/>
        <v>0.5</v>
      </c>
      <c r="AE32" s="1659">
        <f t="shared" si="7"/>
        <v>0.5</v>
      </c>
      <c r="AF32" s="1659">
        <f t="shared" si="8"/>
        <v>0.5</v>
      </c>
      <c r="AG32" s="1659">
        <f t="shared" si="9"/>
        <v>0.5</v>
      </c>
      <c r="AH32" s="1659">
        <f t="shared" si="10"/>
        <v>0.5</v>
      </c>
      <c r="AI32" s="1659">
        <f t="shared" si="11"/>
        <v>0.5</v>
      </c>
      <c r="AJ32" s="1659">
        <f t="shared" si="12"/>
        <v>0.5</v>
      </c>
      <c r="AK32" s="1659">
        <f t="shared" si="13"/>
        <v>0.5</v>
      </c>
      <c r="AL32" s="1659">
        <f t="shared" si="14"/>
        <v>0.5</v>
      </c>
      <c r="AM32" s="1659">
        <f t="shared" si="14"/>
        <v>0.5</v>
      </c>
      <c r="AN32" s="1660">
        <f t="shared" si="15"/>
        <v>0</v>
      </c>
      <c r="AO32" s="1660">
        <f t="shared" si="16"/>
        <v>0</v>
      </c>
      <c r="AP32" s="1660">
        <f t="shared" si="17"/>
        <v>0</v>
      </c>
      <c r="AQ32" s="1520"/>
      <c r="AR32" s="1967" t="s">
        <v>1328</v>
      </c>
      <c r="AS32" s="1969" t="s">
        <v>251</v>
      </c>
      <c r="AT32" s="1970" t="s">
        <v>566</v>
      </c>
      <c r="AU32" s="1518">
        <v>0.5</v>
      </c>
      <c r="AV32" s="1518">
        <v>0.5</v>
      </c>
      <c r="AW32" s="1518">
        <v>0.5</v>
      </c>
      <c r="AX32" s="1518">
        <v>0.5</v>
      </c>
      <c r="AY32" s="1518">
        <v>0.5</v>
      </c>
      <c r="AZ32" s="1518">
        <v>0.5</v>
      </c>
      <c r="BA32" s="1518">
        <v>0.5</v>
      </c>
      <c r="BB32" s="1531">
        <v>0.5</v>
      </c>
      <c r="BC32" s="1518">
        <v>0.5</v>
      </c>
      <c r="BD32" s="2254">
        <v>0.5</v>
      </c>
      <c r="BE32" s="1976"/>
      <c r="BF32" s="1974"/>
      <c r="BG32" s="1974"/>
      <c r="BI32" s="1967" t="s">
        <v>1328</v>
      </c>
      <c r="BJ32" s="1969" t="s">
        <v>251</v>
      </c>
      <c r="BK32" s="1970" t="s">
        <v>566</v>
      </c>
      <c r="BL32" s="1518">
        <v>0.5</v>
      </c>
      <c r="BM32" s="1518">
        <v>0.5</v>
      </c>
      <c r="BN32" s="1518">
        <v>0.5</v>
      </c>
      <c r="BO32" s="1518">
        <v>0.5</v>
      </c>
      <c r="BP32" s="1518">
        <v>0.5</v>
      </c>
      <c r="BQ32" s="1518">
        <v>0.5</v>
      </c>
      <c r="BR32" s="1518">
        <v>0.5</v>
      </c>
      <c r="BS32" s="1531">
        <v>0.5</v>
      </c>
      <c r="BT32" s="1518">
        <v>0.5</v>
      </c>
      <c r="BU32" s="2254">
        <v>0.5</v>
      </c>
      <c r="BV32" s="1976"/>
      <c r="BW32" s="1974"/>
      <c r="BX32" s="1974"/>
    </row>
    <row r="33" spans="1:77" ht="13.5" customHeight="1">
      <c r="B33" s="1521" t="str">
        <f t="shared" si="0"/>
        <v>2.3.2</v>
      </c>
      <c r="C33" s="1560" t="str">
        <f t="shared" si="1"/>
        <v>平均気流速度</v>
      </c>
      <c r="D33" s="1621">
        <f>IF(I$31&gt;0,G33/I$31,0)</f>
        <v>0.5</v>
      </c>
      <c r="E33" s="1591">
        <f>IF(J$31&gt;0,H33/J$31,0)</f>
        <v>0</v>
      </c>
      <c r="F33" s="2328"/>
      <c r="G33" s="1591">
        <f t="shared" si="2"/>
        <v>0.5</v>
      </c>
      <c r="H33" s="1591">
        <f t="shared" si="2"/>
        <v>0</v>
      </c>
      <c r="I33" s="1591"/>
      <c r="J33" s="1591"/>
      <c r="K33" s="1516">
        <f>IF(スコア表示!X33=0,0,1)</f>
        <v>1</v>
      </c>
      <c r="L33" s="1516">
        <f>IF(スコア表示!AB33=0,0,1)</f>
        <v>0</v>
      </c>
      <c r="N33" s="1608">
        <f>IF(P$31&gt;0,R33/P$31,0)</f>
        <v>0.5</v>
      </c>
      <c r="O33" s="1608">
        <f>IF(Q$31&gt;0,S33/Q$31,0)</f>
        <v>0</v>
      </c>
      <c r="P33" s="1516"/>
      <c r="Q33" s="1516"/>
      <c r="R33" s="1516">
        <f>IF(スコア入力!R33="EB",重み_対象外!D33,U33)</f>
        <v>5.2500000000000005E-2</v>
      </c>
      <c r="S33" s="1516">
        <f>IF(スコア入力!Y33="EB",重み_対象外!E33,V33)</f>
        <v>0</v>
      </c>
      <c r="T33" s="1460"/>
      <c r="U33" s="1514">
        <f>X$20*X$31*X33</f>
        <v>5.2500000000000005E-2</v>
      </c>
      <c r="V33" s="1514">
        <f>Y$20*Y$31*Y33</f>
        <v>0</v>
      </c>
      <c r="W33" s="1460"/>
      <c r="X33" s="1516">
        <f t="shared" si="18"/>
        <v>0.5</v>
      </c>
      <c r="Y33" s="1516">
        <f t="shared" si="21"/>
        <v>0</v>
      </c>
      <c r="Z33" s="1471"/>
      <c r="AA33" s="1517" t="str">
        <f t="shared" si="3"/>
        <v>2.3.2</v>
      </c>
      <c r="AB33" s="1517" t="str">
        <f t="shared" si="4"/>
        <v xml:space="preserve"> Q1 2.3</v>
      </c>
      <c r="AC33" s="1560" t="str">
        <f t="shared" si="5"/>
        <v>平均気流速度</v>
      </c>
      <c r="AD33" s="1659">
        <f t="shared" si="6"/>
        <v>0.5</v>
      </c>
      <c r="AE33" s="1659">
        <f t="shared" si="7"/>
        <v>0.5</v>
      </c>
      <c r="AF33" s="1659">
        <f t="shared" si="8"/>
        <v>0.5</v>
      </c>
      <c r="AG33" s="1659">
        <f t="shared" si="9"/>
        <v>0.5</v>
      </c>
      <c r="AH33" s="1659">
        <f t="shared" si="10"/>
        <v>0.5</v>
      </c>
      <c r="AI33" s="1659">
        <f t="shared" si="11"/>
        <v>0.5</v>
      </c>
      <c r="AJ33" s="1659">
        <f t="shared" si="12"/>
        <v>0.5</v>
      </c>
      <c r="AK33" s="1659">
        <f t="shared" si="13"/>
        <v>0.5</v>
      </c>
      <c r="AL33" s="1659">
        <f t="shared" si="14"/>
        <v>0.5</v>
      </c>
      <c r="AM33" s="1659">
        <f t="shared" si="14"/>
        <v>0.5</v>
      </c>
      <c r="AN33" s="1660">
        <f t="shared" si="15"/>
        <v>0</v>
      </c>
      <c r="AO33" s="1660">
        <f t="shared" si="16"/>
        <v>0</v>
      </c>
      <c r="AP33" s="1660">
        <f t="shared" si="17"/>
        <v>0</v>
      </c>
      <c r="AQ33" s="1520"/>
      <c r="AR33" s="1967" t="s">
        <v>1330</v>
      </c>
      <c r="AS33" s="1969" t="s">
        <v>251</v>
      </c>
      <c r="AT33" s="1970" t="s">
        <v>569</v>
      </c>
      <c r="AU33" s="1518">
        <v>0.5</v>
      </c>
      <c r="AV33" s="1518">
        <v>0.5</v>
      </c>
      <c r="AW33" s="1518">
        <v>0.5</v>
      </c>
      <c r="AX33" s="1518">
        <v>0.5</v>
      </c>
      <c r="AY33" s="1518">
        <v>0.5</v>
      </c>
      <c r="AZ33" s="1518">
        <v>0.5</v>
      </c>
      <c r="BA33" s="1518">
        <v>0.5</v>
      </c>
      <c r="BB33" s="1518">
        <v>0.5</v>
      </c>
      <c r="BC33" s="1518">
        <v>0.5</v>
      </c>
      <c r="BD33" s="2254">
        <v>0.5</v>
      </c>
      <c r="BE33" s="1976"/>
      <c r="BF33" s="1974"/>
      <c r="BG33" s="1974"/>
      <c r="BI33" s="1967" t="s">
        <v>1330</v>
      </c>
      <c r="BJ33" s="1969" t="s">
        <v>251</v>
      </c>
      <c r="BK33" s="1970" t="s">
        <v>569</v>
      </c>
      <c r="BL33" s="1518">
        <v>0.5</v>
      </c>
      <c r="BM33" s="1518">
        <v>0.5</v>
      </c>
      <c r="BN33" s="1518">
        <v>0.5</v>
      </c>
      <c r="BO33" s="1518">
        <v>0.5</v>
      </c>
      <c r="BP33" s="1518">
        <v>0.5</v>
      </c>
      <c r="BQ33" s="1518">
        <v>0.5</v>
      </c>
      <c r="BR33" s="1518">
        <v>0.5</v>
      </c>
      <c r="BS33" s="1518">
        <v>0.5</v>
      </c>
      <c r="BT33" s="1518">
        <v>0.5</v>
      </c>
      <c r="BU33" s="2254">
        <v>0.5</v>
      </c>
      <c r="BV33" s="1976"/>
      <c r="BW33" s="1974"/>
      <c r="BX33" s="1974"/>
    </row>
    <row r="34" spans="1:77" s="1505" customFormat="1" ht="13.5" customHeight="1">
      <c r="A34"/>
      <c r="B34" s="1527">
        <f t="shared" si="0"/>
        <v>3</v>
      </c>
      <c r="C34" s="1507" t="str">
        <f t="shared" si="1"/>
        <v>光・視環境</v>
      </c>
      <c r="D34" s="1962">
        <f>IF(I$9=0,0,G34/I$9)</f>
        <v>0.25025590457147923</v>
      </c>
      <c r="E34" s="1643">
        <f>IF(J$9=0,0,H34/J$9)</f>
        <v>0.64071370640713698</v>
      </c>
      <c r="F34"/>
      <c r="G34" s="1643">
        <f t="shared" si="2"/>
        <v>0.25025590457147923</v>
      </c>
      <c r="H34" s="1643">
        <f t="shared" si="2"/>
        <v>0.35738520696674958</v>
      </c>
      <c r="I34" s="1643">
        <f>G35+G39+G43+G46</f>
        <v>1</v>
      </c>
      <c r="J34" s="1643">
        <f>H35+H39+H43+H46</f>
        <v>1</v>
      </c>
      <c r="K34" s="1509">
        <f>IF(スコア表示!X34=0,0,1)</f>
        <v>1</v>
      </c>
      <c r="L34" s="1509">
        <f>IF(スコア表示!AB34=0,0,1)</f>
        <v>1</v>
      </c>
      <c r="M34"/>
      <c r="N34" s="1607">
        <f>IF(P$9=0,0,R34/P$9)</f>
        <v>0.25025590457147923</v>
      </c>
      <c r="O34" s="1607">
        <f>IF(Q$9=0,0,S34/Q$9)</f>
        <v>0.35738520696674958</v>
      </c>
      <c r="P34" s="1610">
        <f>SUM(R35:R46)</f>
        <v>0.25126635262357777</v>
      </c>
      <c r="Q34" s="1610">
        <f>SUM(S35:S46)</f>
        <v>8.6168697039314471E-3</v>
      </c>
      <c r="R34" s="1509">
        <f>IF(スコア入力!R34="EB",重み_対象外!D34,U34)</f>
        <v>0.25</v>
      </c>
      <c r="S34" s="1509">
        <f>IF(スコア入力!Y34="EB",重み_対象外!E34,V34)</f>
        <v>8.6168697039314471E-3</v>
      </c>
      <c r="T34" s="1460"/>
      <c r="U34" s="1507">
        <f>SUM(U35:U46)</f>
        <v>0.25</v>
      </c>
      <c r="V34" s="1507">
        <f>SUM(V35:V46)</f>
        <v>8.6168697039314471E-3</v>
      </c>
      <c r="W34" s="1460"/>
      <c r="X34" s="1509">
        <f t="shared" si="18"/>
        <v>0.25</v>
      </c>
      <c r="Y34" s="1509">
        <v>1</v>
      </c>
      <c r="Z34" s="1501"/>
      <c r="AA34" s="1506">
        <f t="shared" si="3"/>
        <v>3</v>
      </c>
      <c r="AB34" s="1506" t="str">
        <f t="shared" si="4"/>
        <v xml:space="preserve"> Q1</v>
      </c>
      <c r="AC34" s="1506" t="str">
        <f t="shared" si="5"/>
        <v>光・視環境</v>
      </c>
      <c r="AD34" s="1656">
        <f t="shared" si="6"/>
        <v>0.25</v>
      </c>
      <c r="AE34" s="1656">
        <f t="shared" si="7"/>
        <v>0.25</v>
      </c>
      <c r="AF34" s="1656">
        <f t="shared" si="8"/>
        <v>0.25</v>
      </c>
      <c r="AG34" s="1656">
        <f t="shared" si="9"/>
        <v>0.25</v>
      </c>
      <c r="AH34" s="1656">
        <f t="shared" si="10"/>
        <v>0.25</v>
      </c>
      <c r="AI34" s="1656">
        <f t="shared" si="11"/>
        <v>0.25</v>
      </c>
      <c r="AJ34" s="1656">
        <f t="shared" si="12"/>
        <v>0.25</v>
      </c>
      <c r="AK34" s="1662">
        <f t="shared" si="13"/>
        <v>0</v>
      </c>
      <c r="AL34" s="1656">
        <f t="shared" si="14"/>
        <v>0.25</v>
      </c>
      <c r="AM34" s="1656">
        <f t="shared" si="14"/>
        <v>0.25</v>
      </c>
      <c r="AN34" s="1658">
        <f t="shared" si="15"/>
        <v>0</v>
      </c>
      <c r="AO34" s="1656">
        <f t="shared" si="16"/>
        <v>0</v>
      </c>
      <c r="AP34" s="1656">
        <f t="shared" si="17"/>
        <v>0</v>
      </c>
      <c r="AQ34" s="1512"/>
      <c r="AR34" s="1541">
        <v>3</v>
      </c>
      <c r="AS34" s="1644" t="s">
        <v>230</v>
      </c>
      <c r="AT34" s="1680" t="s">
        <v>1047</v>
      </c>
      <c r="AU34" s="1611">
        <v>0.25</v>
      </c>
      <c r="AV34" s="1611">
        <v>0.25</v>
      </c>
      <c r="AW34" s="1611">
        <v>0.25</v>
      </c>
      <c r="AX34" s="1611">
        <v>0.25</v>
      </c>
      <c r="AY34" s="1611">
        <v>0.25</v>
      </c>
      <c r="AZ34" s="1611">
        <v>0.25</v>
      </c>
      <c r="BA34" s="1611">
        <v>0.25</v>
      </c>
      <c r="BB34" s="1535">
        <v>0</v>
      </c>
      <c r="BC34" s="1611">
        <v>0.25</v>
      </c>
      <c r="BD34" s="1611">
        <v>0.25</v>
      </c>
      <c r="BE34" s="1963"/>
      <c r="BF34" s="1611"/>
      <c r="BG34" s="1611"/>
      <c r="BH34"/>
      <c r="BI34" s="1541">
        <v>3</v>
      </c>
      <c r="BJ34" s="1644" t="s">
        <v>230</v>
      </c>
      <c r="BK34" s="1680" t="s">
        <v>1047</v>
      </c>
      <c r="BL34" s="1611">
        <v>0.25</v>
      </c>
      <c r="BM34" s="1611">
        <v>0.25</v>
      </c>
      <c r="BN34" s="1611">
        <v>0.25</v>
      </c>
      <c r="BO34" s="1611">
        <v>0.25</v>
      </c>
      <c r="BP34" s="1611">
        <v>0.25</v>
      </c>
      <c r="BQ34" s="1611">
        <v>0.25</v>
      </c>
      <c r="BR34" s="1611">
        <v>0.25</v>
      </c>
      <c r="BS34" s="1535">
        <v>0</v>
      </c>
      <c r="BT34" s="1611">
        <v>0.25</v>
      </c>
      <c r="BU34" s="1611">
        <v>0.25</v>
      </c>
      <c r="BV34" s="1963"/>
      <c r="BW34" s="1611"/>
      <c r="BX34" s="1611"/>
      <c r="BY34"/>
    </row>
    <row r="35" spans="1:77" ht="13.5" customHeight="1">
      <c r="B35" s="1513">
        <f t="shared" si="0"/>
        <v>3.1</v>
      </c>
      <c r="C35" s="1530" t="str">
        <f t="shared" si="1"/>
        <v>昼光利用</v>
      </c>
      <c r="D35" s="1616">
        <f>IF(I$34=0,0,G35/I$34)</f>
        <v>0.29848803557218639</v>
      </c>
      <c r="E35" s="1591">
        <f>IF(J$34=0,0,H35/J$34)</f>
        <v>1.518987341772152E-2</v>
      </c>
      <c r="G35" s="1591">
        <f t="shared" si="2"/>
        <v>0.29848803557218639</v>
      </c>
      <c r="H35" s="1591">
        <f t="shared" si="2"/>
        <v>1.518987341772152E-2</v>
      </c>
      <c r="I35" s="1591">
        <f>SUM(G36:G38)</f>
        <v>0.99999999999999989</v>
      </c>
      <c r="J35" s="1591">
        <f>SUM(H36:H38)</f>
        <v>1</v>
      </c>
      <c r="K35" s="1516">
        <f>IF(スコア表示!X35=0,0,1)</f>
        <v>1</v>
      </c>
      <c r="L35" s="1516">
        <f>IF(スコア表示!AB35=0,0,1)</f>
        <v>1</v>
      </c>
      <c r="N35" s="1613">
        <f>IF(P$34=0,0,P35/P$34)</f>
        <v>0.29848803557218639</v>
      </c>
      <c r="O35" s="1613">
        <f>IF(Q$34=0,0,Q35/Q$34)</f>
        <v>1.518987341772152E-2</v>
      </c>
      <c r="P35" s="1516">
        <f>SUM(R36:R38)</f>
        <v>7.5000000000000011E-2</v>
      </c>
      <c r="Q35" s="1516">
        <f>SUM(S36:S38)</f>
        <v>1.3088916005971819E-4</v>
      </c>
      <c r="R35" s="1516">
        <f>IF(スコア入力!R35="EB",重み_対象外!D35,U35)</f>
        <v>0</v>
      </c>
      <c r="S35" s="1516">
        <f>IF(スコア入力!Y35="EB",重み_対象外!E35,V35)</f>
        <v>0</v>
      </c>
      <c r="T35" s="1460"/>
      <c r="U35" s="1530"/>
      <c r="V35" s="1530"/>
      <c r="W35" s="1460"/>
      <c r="X35" s="1516">
        <f t="shared" si="18"/>
        <v>0.3</v>
      </c>
      <c r="Y35" s="1516">
        <f t="shared" si="21"/>
        <v>6.2663185378590081E-3</v>
      </c>
      <c r="Z35" s="1471"/>
      <c r="AA35" s="1513">
        <f t="shared" si="3"/>
        <v>3.1</v>
      </c>
      <c r="AB35" s="1513" t="str">
        <f t="shared" si="4"/>
        <v xml:space="preserve"> Q1 3</v>
      </c>
      <c r="AC35" s="1513" t="str">
        <f t="shared" si="5"/>
        <v>昼光利用</v>
      </c>
      <c r="AD35" s="1659">
        <f t="shared" si="6"/>
        <v>0.3</v>
      </c>
      <c r="AE35" s="1659">
        <f t="shared" si="7"/>
        <v>0.3</v>
      </c>
      <c r="AF35" s="1659">
        <f t="shared" si="8"/>
        <v>0.5</v>
      </c>
      <c r="AG35" s="1659">
        <f t="shared" si="9"/>
        <v>1</v>
      </c>
      <c r="AH35" s="1659">
        <f t="shared" si="10"/>
        <v>0.3</v>
      </c>
      <c r="AI35" s="1659">
        <f t="shared" si="11"/>
        <v>0.3</v>
      </c>
      <c r="AJ35" s="1659">
        <f t="shared" si="12"/>
        <v>0.3</v>
      </c>
      <c r="AK35" s="1663">
        <f t="shared" si="13"/>
        <v>0</v>
      </c>
      <c r="AL35" s="1659">
        <f t="shared" si="14"/>
        <v>0.3</v>
      </c>
      <c r="AM35" s="1659">
        <f t="shared" si="14"/>
        <v>0.3</v>
      </c>
      <c r="AN35" s="1660">
        <f t="shared" si="15"/>
        <v>0.3</v>
      </c>
      <c r="AO35" s="1659">
        <f t="shared" si="16"/>
        <v>0.3</v>
      </c>
      <c r="AP35" s="1659">
        <f t="shared" si="17"/>
        <v>0.3</v>
      </c>
      <c r="AQ35" s="1520"/>
      <c r="AR35" s="1547">
        <v>3.1</v>
      </c>
      <c r="AS35" s="1593" t="s">
        <v>252</v>
      </c>
      <c r="AT35" s="1637" t="s">
        <v>573</v>
      </c>
      <c r="AU35" s="1523">
        <v>0.3</v>
      </c>
      <c r="AV35" s="1523">
        <v>0.3</v>
      </c>
      <c r="AW35" s="1523">
        <v>0.5</v>
      </c>
      <c r="AX35" s="1523">
        <v>1</v>
      </c>
      <c r="AY35" s="1523">
        <v>0.3</v>
      </c>
      <c r="AZ35" s="1523">
        <v>0.3</v>
      </c>
      <c r="BA35" s="1523">
        <v>0.3</v>
      </c>
      <c r="BB35" s="1614"/>
      <c r="BC35" s="1523">
        <v>0.3</v>
      </c>
      <c r="BD35" s="1523">
        <v>0.3</v>
      </c>
      <c r="BE35" s="1525">
        <v>0.3</v>
      </c>
      <c r="BF35" s="1523">
        <v>0.3</v>
      </c>
      <c r="BG35" s="1523">
        <v>0.3</v>
      </c>
      <c r="BI35" s="1547">
        <v>3.1</v>
      </c>
      <c r="BJ35" s="1593" t="s">
        <v>252</v>
      </c>
      <c r="BK35" s="1637" t="s">
        <v>573</v>
      </c>
      <c r="BL35" s="1523">
        <v>0.3</v>
      </c>
      <c r="BM35" s="1523">
        <v>0.3</v>
      </c>
      <c r="BN35" s="1523">
        <v>0.5</v>
      </c>
      <c r="BO35" s="1523">
        <v>1</v>
      </c>
      <c r="BP35" s="1523">
        <v>0.3</v>
      </c>
      <c r="BQ35" s="1523">
        <v>0.3</v>
      </c>
      <c r="BR35" s="1523">
        <v>0.3</v>
      </c>
      <c r="BS35" s="1614"/>
      <c r="BT35" s="1523">
        <v>0.3</v>
      </c>
      <c r="BU35" s="1523">
        <v>0.3</v>
      </c>
      <c r="BV35" s="1525">
        <v>0.3</v>
      </c>
      <c r="BW35" s="1523">
        <v>0.3</v>
      </c>
      <c r="BX35" s="1523">
        <v>0.3</v>
      </c>
    </row>
    <row r="36" spans="1:77" ht="13.5" customHeight="1">
      <c r="B36" s="1521" t="str">
        <f t="shared" si="0"/>
        <v>3.1.1</v>
      </c>
      <c r="C36" s="1514" t="str">
        <f t="shared" si="1"/>
        <v>昼光率</v>
      </c>
      <c r="D36" s="1621">
        <f t="shared" ref="D36:E38" si="28">IF(I$35&gt;0,G36/I$35,0)</f>
        <v>0.6</v>
      </c>
      <c r="E36" s="1591">
        <f t="shared" si="28"/>
        <v>0.5</v>
      </c>
      <c r="G36" s="1591">
        <f t="shared" si="2"/>
        <v>0.59999999999999987</v>
      </c>
      <c r="H36" s="1591">
        <f t="shared" si="2"/>
        <v>0.5</v>
      </c>
      <c r="I36" s="1591"/>
      <c r="J36" s="1591"/>
      <c r="K36" s="1516">
        <f>IF(スコア表示!X36=0,0,1)</f>
        <v>1</v>
      </c>
      <c r="L36" s="1516">
        <f>IF(スコア表示!AB36=0,0,1)</f>
        <v>1</v>
      </c>
      <c r="N36" s="1608">
        <f t="shared" ref="N36:O38" si="29">IF(P$35&gt;0,R36/P$35,0)</f>
        <v>0.59999999999999987</v>
      </c>
      <c r="O36" s="1608">
        <f t="shared" si="29"/>
        <v>0.5</v>
      </c>
      <c r="P36" s="1516"/>
      <c r="Q36" s="1516"/>
      <c r="R36" s="1516">
        <f>IF(スコア入力!R36="EB",重み_対象外!D36,U36)</f>
        <v>4.4999999999999998E-2</v>
      </c>
      <c r="S36" s="1516">
        <f>IF(スコア入力!Y36="EB",重み_対象外!E36,V36)</f>
        <v>6.5444580029859096E-5</v>
      </c>
      <c r="T36" s="1460"/>
      <c r="U36" s="1514">
        <f t="shared" ref="U36:V38" si="30">X$34*X$35*X36</f>
        <v>4.4999999999999998E-2</v>
      </c>
      <c r="V36" s="1514">
        <f t="shared" si="30"/>
        <v>6.5444580029859096E-5</v>
      </c>
      <c r="W36" s="1460"/>
      <c r="X36" s="1516">
        <f t="shared" si="18"/>
        <v>0.6</v>
      </c>
      <c r="Y36" s="1516">
        <f t="shared" si="21"/>
        <v>1.0443864229765013E-2</v>
      </c>
      <c r="Z36" s="1471"/>
      <c r="AA36" s="1513" t="str">
        <f t="shared" si="3"/>
        <v>3.1.1</v>
      </c>
      <c r="AB36" s="1513" t="str">
        <f t="shared" si="4"/>
        <v xml:space="preserve"> Q1 3.1</v>
      </c>
      <c r="AC36" s="1513" t="str">
        <f t="shared" si="5"/>
        <v>昼光率</v>
      </c>
      <c r="AD36" s="1659">
        <f t="shared" si="6"/>
        <v>0.6</v>
      </c>
      <c r="AE36" s="1659">
        <f t="shared" si="7"/>
        <v>0.6</v>
      </c>
      <c r="AF36" s="1659">
        <f t="shared" si="8"/>
        <v>0</v>
      </c>
      <c r="AG36" s="1659">
        <f t="shared" si="9"/>
        <v>0</v>
      </c>
      <c r="AH36" s="1659">
        <f t="shared" si="10"/>
        <v>0.6</v>
      </c>
      <c r="AI36" s="1659">
        <f t="shared" si="11"/>
        <v>0.6</v>
      </c>
      <c r="AJ36" s="1659">
        <f t="shared" si="12"/>
        <v>0.6</v>
      </c>
      <c r="AK36" s="1663">
        <f t="shared" si="13"/>
        <v>0</v>
      </c>
      <c r="AL36" s="1659">
        <f t="shared" si="14"/>
        <v>0.6</v>
      </c>
      <c r="AM36" s="1659">
        <f t="shared" si="14"/>
        <v>0.6</v>
      </c>
      <c r="AN36" s="1660">
        <f t="shared" si="15"/>
        <v>0.6</v>
      </c>
      <c r="AO36" s="1659">
        <f t="shared" si="16"/>
        <v>0.6</v>
      </c>
      <c r="AP36" s="1659">
        <f t="shared" si="17"/>
        <v>0.5</v>
      </c>
      <c r="AQ36" s="1520"/>
      <c r="AR36" s="1547" t="s">
        <v>1331</v>
      </c>
      <c r="AS36" s="1593" t="s">
        <v>253</v>
      </c>
      <c r="AT36" s="1964" t="s">
        <v>254</v>
      </c>
      <c r="AU36" s="1523">
        <v>0.6</v>
      </c>
      <c r="AV36" s="1523">
        <v>0.6</v>
      </c>
      <c r="AW36" s="1523"/>
      <c r="AX36" s="1523"/>
      <c r="AY36" s="1523">
        <v>0.6</v>
      </c>
      <c r="AZ36" s="1523">
        <v>0.6</v>
      </c>
      <c r="BA36" s="1523">
        <v>0.6</v>
      </c>
      <c r="BB36" s="1614"/>
      <c r="BC36" s="1523">
        <v>0.6</v>
      </c>
      <c r="BD36" s="1523">
        <v>0.6</v>
      </c>
      <c r="BE36" s="1525">
        <v>0.6</v>
      </c>
      <c r="BF36" s="1523">
        <v>0.6</v>
      </c>
      <c r="BG36" s="1523">
        <v>0.5</v>
      </c>
      <c r="BI36" s="1547" t="s">
        <v>1331</v>
      </c>
      <c r="BJ36" s="1593" t="s">
        <v>253</v>
      </c>
      <c r="BK36" s="1964" t="s">
        <v>254</v>
      </c>
      <c r="BL36" s="1523">
        <v>0.6</v>
      </c>
      <c r="BM36" s="1523">
        <v>0.6</v>
      </c>
      <c r="BN36" s="1523"/>
      <c r="BO36" s="1523"/>
      <c r="BP36" s="1523">
        <v>0.6</v>
      </c>
      <c r="BQ36" s="1523">
        <v>0.6</v>
      </c>
      <c r="BR36" s="1523">
        <v>0.6</v>
      </c>
      <c r="BS36" s="1614"/>
      <c r="BT36" s="1523">
        <v>0.6</v>
      </c>
      <c r="BU36" s="1523">
        <v>0.6</v>
      </c>
      <c r="BV36" s="1525">
        <v>0.6</v>
      </c>
      <c r="BW36" s="1523">
        <v>0.6</v>
      </c>
      <c r="BX36" s="1523">
        <v>0.5</v>
      </c>
    </row>
    <row r="37" spans="1:77" ht="13.5" customHeight="1">
      <c r="B37" s="1521" t="str">
        <f t="shared" si="0"/>
        <v>3.1.2</v>
      </c>
      <c r="C37" s="1514" t="str">
        <f t="shared" si="1"/>
        <v>方位別開口</v>
      </c>
      <c r="D37" s="1621">
        <f t="shared" si="28"/>
        <v>0</v>
      </c>
      <c r="E37" s="1591">
        <f t="shared" si="28"/>
        <v>0.3</v>
      </c>
      <c r="G37" s="1591">
        <f t="shared" si="2"/>
        <v>0</v>
      </c>
      <c r="H37" s="1591">
        <f t="shared" si="2"/>
        <v>0.3</v>
      </c>
      <c r="I37" s="1591"/>
      <c r="J37" s="1591"/>
      <c r="K37" s="1516">
        <f>IF(スコア表示!X37=0,0,1)</f>
        <v>1</v>
      </c>
      <c r="L37" s="1516">
        <f>IF(スコア表示!AB37=0,0,1)</f>
        <v>1</v>
      </c>
      <c r="N37" s="1608">
        <f t="shared" si="29"/>
        <v>0</v>
      </c>
      <c r="O37" s="1608">
        <f t="shared" si="29"/>
        <v>0.3</v>
      </c>
      <c r="P37" s="1516"/>
      <c r="Q37" s="1516"/>
      <c r="R37" s="1516">
        <f>IF(スコア入力!R37="EB",重み_対象外!D37,U37)</f>
        <v>0</v>
      </c>
      <c r="S37" s="1516">
        <f>IF(スコア入力!Y37="EB",重み_対象外!E37,V37)</f>
        <v>3.9266748017915458E-5</v>
      </c>
      <c r="T37" s="1460"/>
      <c r="U37" s="1514">
        <f t="shared" si="30"/>
        <v>0</v>
      </c>
      <c r="V37" s="1514">
        <f t="shared" si="30"/>
        <v>3.9266748017915458E-5</v>
      </c>
      <c r="W37" s="1460"/>
      <c r="X37" s="1516">
        <f t="shared" si="18"/>
        <v>0</v>
      </c>
      <c r="Y37" s="1516">
        <f t="shared" si="21"/>
        <v>6.2663185378590081E-3</v>
      </c>
      <c r="Z37" s="1471"/>
      <c r="AA37" s="1513" t="str">
        <f t="shared" si="3"/>
        <v>3.1.2</v>
      </c>
      <c r="AB37" s="1513" t="str">
        <f t="shared" si="4"/>
        <v xml:space="preserve"> Q1 3.1</v>
      </c>
      <c r="AC37" s="1513" t="str">
        <f t="shared" si="5"/>
        <v>方位別開口</v>
      </c>
      <c r="AD37" s="1659">
        <f t="shared" si="6"/>
        <v>0</v>
      </c>
      <c r="AE37" s="1659">
        <f t="shared" si="7"/>
        <v>0</v>
      </c>
      <c r="AF37" s="1659">
        <f t="shared" si="8"/>
        <v>0</v>
      </c>
      <c r="AG37" s="1659">
        <f t="shared" si="9"/>
        <v>0</v>
      </c>
      <c r="AH37" s="1659">
        <f t="shared" si="10"/>
        <v>0</v>
      </c>
      <c r="AI37" s="1659">
        <f t="shared" si="11"/>
        <v>0</v>
      </c>
      <c r="AJ37" s="1659">
        <f t="shared" si="12"/>
        <v>0</v>
      </c>
      <c r="AK37" s="1663">
        <f t="shared" si="13"/>
        <v>0</v>
      </c>
      <c r="AL37" s="1659">
        <f t="shared" si="14"/>
        <v>0</v>
      </c>
      <c r="AM37" s="1659">
        <f t="shared" si="14"/>
        <v>0</v>
      </c>
      <c r="AN37" s="1660">
        <f t="shared" si="15"/>
        <v>0</v>
      </c>
      <c r="AO37" s="1659">
        <f t="shared" si="16"/>
        <v>0</v>
      </c>
      <c r="AP37" s="1659">
        <f t="shared" si="17"/>
        <v>0.3</v>
      </c>
      <c r="AQ37" s="1520"/>
      <c r="AR37" s="1547" t="s">
        <v>1333</v>
      </c>
      <c r="AS37" s="1593" t="s">
        <v>253</v>
      </c>
      <c r="AT37" s="1964" t="s">
        <v>255</v>
      </c>
      <c r="AU37" s="1523"/>
      <c r="AV37" s="1523"/>
      <c r="AW37" s="1523"/>
      <c r="AX37" s="1523"/>
      <c r="AY37" s="1523"/>
      <c r="AZ37" s="1523"/>
      <c r="BA37" s="1523"/>
      <c r="BB37" s="1614"/>
      <c r="BC37" s="1523"/>
      <c r="BD37" s="1523"/>
      <c r="BE37" s="1525"/>
      <c r="BF37" s="1523"/>
      <c r="BG37" s="1523">
        <v>0.3</v>
      </c>
      <c r="BI37" s="1547" t="s">
        <v>1333</v>
      </c>
      <c r="BJ37" s="1593" t="s">
        <v>253</v>
      </c>
      <c r="BK37" s="1964" t="s">
        <v>255</v>
      </c>
      <c r="BL37" s="1523"/>
      <c r="BM37" s="1523"/>
      <c r="BN37" s="1523"/>
      <c r="BO37" s="1523"/>
      <c r="BP37" s="1523"/>
      <c r="BQ37" s="1523"/>
      <c r="BR37" s="1523"/>
      <c r="BS37" s="1614"/>
      <c r="BT37" s="1523"/>
      <c r="BU37" s="1523"/>
      <c r="BV37" s="1525"/>
      <c r="BW37" s="1523"/>
      <c r="BX37" s="1523">
        <v>0.3</v>
      </c>
    </row>
    <row r="38" spans="1:77" ht="13.5" customHeight="1">
      <c r="B38" s="1521" t="str">
        <f t="shared" si="0"/>
        <v>3.1.3</v>
      </c>
      <c r="C38" s="1514" t="str">
        <f t="shared" si="1"/>
        <v>昼光利用設備</v>
      </c>
      <c r="D38" s="1621">
        <f t="shared" si="28"/>
        <v>0.40000000000000008</v>
      </c>
      <c r="E38" s="1591">
        <f t="shared" si="28"/>
        <v>0.19999999999999998</v>
      </c>
      <c r="G38" s="1591">
        <f t="shared" si="2"/>
        <v>0.4</v>
      </c>
      <c r="H38" s="1591">
        <f t="shared" si="2"/>
        <v>0.19999999999999998</v>
      </c>
      <c r="I38" s="1591"/>
      <c r="J38" s="1591"/>
      <c r="K38" s="1516">
        <f>IF(スコア表示!X38=0,0,1)</f>
        <v>1</v>
      </c>
      <c r="L38" s="1516">
        <f>IF(スコア表示!AB38=0,0,1)</f>
        <v>1</v>
      </c>
      <c r="N38" s="1608">
        <f t="shared" si="29"/>
        <v>0.4</v>
      </c>
      <c r="O38" s="1608">
        <f t="shared" si="29"/>
        <v>0.19999999999999998</v>
      </c>
      <c r="P38" s="1516"/>
      <c r="Q38" s="1516"/>
      <c r="R38" s="1516">
        <f>IF(スコア入力!R38="EB",重み_対象外!D38,U38)</f>
        <v>3.0000000000000006E-2</v>
      </c>
      <c r="S38" s="1516">
        <f>IF(スコア入力!Y38="EB",重み_対象外!E38,V38)</f>
        <v>2.6177832011943635E-5</v>
      </c>
      <c r="T38" s="1460"/>
      <c r="U38" s="1514">
        <f t="shared" si="30"/>
        <v>3.0000000000000006E-2</v>
      </c>
      <c r="V38" s="1514">
        <f t="shared" si="30"/>
        <v>2.6177832011943635E-5</v>
      </c>
      <c r="W38" s="1460"/>
      <c r="X38" s="1516">
        <f t="shared" si="18"/>
        <v>0.40000000000000008</v>
      </c>
      <c r="Y38" s="1516">
        <f t="shared" si="21"/>
        <v>4.1775456919060051E-3</v>
      </c>
      <c r="Z38" s="1471"/>
      <c r="AA38" s="1513" t="str">
        <f t="shared" si="3"/>
        <v>3.1.3</v>
      </c>
      <c r="AB38" s="1513" t="str">
        <f t="shared" si="4"/>
        <v xml:space="preserve"> Q1 3.1</v>
      </c>
      <c r="AC38" s="1513" t="str">
        <f t="shared" si="5"/>
        <v>昼光利用設備</v>
      </c>
      <c r="AD38" s="1659">
        <f t="shared" si="6"/>
        <v>0.4</v>
      </c>
      <c r="AE38" s="1659">
        <f t="shared" si="7"/>
        <v>0.4</v>
      </c>
      <c r="AF38" s="1659">
        <f t="shared" si="8"/>
        <v>1</v>
      </c>
      <c r="AG38" s="1659">
        <f t="shared" si="9"/>
        <v>1</v>
      </c>
      <c r="AH38" s="1659">
        <f t="shared" si="10"/>
        <v>0.4</v>
      </c>
      <c r="AI38" s="1659">
        <f t="shared" si="11"/>
        <v>0.4</v>
      </c>
      <c r="AJ38" s="1659">
        <f t="shared" si="12"/>
        <v>0.4</v>
      </c>
      <c r="AK38" s="1663">
        <f t="shared" si="13"/>
        <v>0</v>
      </c>
      <c r="AL38" s="1659">
        <f t="shared" si="14"/>
        <v>0.4</v>
      </c>
      <c r="AM38" s="1659">
        <f t="shared" si="14"/>
        <v>0.4</v>
      </c>
      <c r="AN38" s="1660">
        <f t="shared" si="15"/>
        <v>0.4</v>
      </c>
      <c r="AO38" s="1659">
        <f t="shared" si="16"/>
        <v>0.4</v>
      </c>
      <c r="AP38" s="1659">
        <f t="shared" si="17"/>
        <v>0.2</v>
      </c>
      <c r="AQ38" s="1520"/>
      <c r="AR38" s="1547" t="s">
        <v>1334</v>
      </c>
      <c r="AS38" s="1593" t="s">
        <v>253</v>
      </c>
      <c r="AT38" s="1964" t="s">
        <v>256</v>
      </c>
      <c r="AU38" s="1523">
        <v>0.4</v>
      </c>
      <c r="AV38" s="1523">
        <v>0.4</v>
      </c>
      <c r="AW38" s="1523">
        <v>1</v>
      </c>
      <c r="AX38" s="1523">
        <v>1</v>
      </c>
      <c r="AY38" s="1523">
        <v>0.4</v>
      </c>
      <c r="AZ38" s="1523">
        <v>0.4</v>
      </c>
      <c r="BA38" s="1523">
        <v>0.4</v>
      </c>
      <c r="BB38" s="1614"/>
      <c r="BC38" s="1523">
        <v>0.4</v>
      </c>
      <c r="BD38" s="1523">
        <v>0.4</v>
      </c>
      <c r="BE38" s="1525">
        <v>0.4</v>
      </c>
      <c r="BF38" s="1523">
        <v>0.4</v>
      </c>
      <c r="BG38" s="1523">
        <v>0.2</v>
      </c>
      <c r="BI38" s="1547" t="s">
        <v>1334</v>
      </c>
      <c r="BJ38" s="1593" t="s">
        <v>253</v>
      </c>
      <c r="BK38" s="1964" t="s">
        <v>256</v>
      </c>
      <c r="BL38" s="1523">
        <v>0.4</v>
      </c>
      <c r="BM38" s="1523">
        <v>0.4</v>
      </c>
      <c r="BN38" s="1523">
        <v>1</v>
      </c>
      <c r="BO38" s="1523">
        <v>1</v>
      </c>
      <c r="BP38" s="1523">
        <v>0.4</v>
      </c>
      <c r="BQ38" s="1523">
        <v>0.4</v>
      </c>
      <c r="BR38" s="1523">
        <v>0.4</v>
      </c>
      <c r="BS38" s="1614"/>
      <c r="BT38" s="1523">
        <v>0.4</v>
      </c>
      <c r="BU38" s="1523">
        <v>0.4</v>
      </c>
      <c r="BV38" s="1525">
        <v>0.4</v>
      </c>
      <c r="BW38" s="1523">
        <v>0.4</v>
      </c>
      <c r="BX38" s="1523">
        <v>0.2</v>
      </c>
    </row>
    <row r="39" spans="1:77" ht="13.5" customHeight="1">
      <c r="B39" s="1521">
        <f t="shared" si="0"/>
        <v>3.2</v>
      </c>
      <c r="C39" s="1514" t="str">
        <f t="shared" si="1"/>
        <v>グレア対策</v>
      </c>
      <c r="D39" s="1616">
        <f>IF(I$34=0,0,G39/I$34)</f>
        <v>0.30352791699823189</v>
      </c>
      <c r="E39" s="1591">
        <f>IF(J$34=0,0,H39/J$34)</f>
        <v>1.518987341772152E-2</v>
      </c>
      <c r="G39" s="1591">
        <f t="shared" si="2"/>
        <v>0.30352791699823189</v>
      </c>
      <c r="H39" s="1591">
        <f t="shared" si="2"/>
        <v>1.518987341772152E-2</v>
      </c>
      <c r="I39" s="1591">
        <f>SUM(G40:G42)</f>
        <v>0.59003739463067262</v>
      </c>
      <c r="J39" s="1591">
        <f>SUM(H40:H42)</f>
        <v>0.6</v>
      </c>
      <c r="K39" s="1516">
        <f>IF(スコア表示!X39=0,0,1)</f>
        <v>1</v>
      </c>
      <c r="L39" s="1516">
        <f>IF(スコア表示!AB39=0,0,1)</f>
        <v>1</v>
      </c>
      <c r="N39" s="1613">
        <f>IF(P$34=0,0,P39/P$34)</f>
        <v>0.30352791699823189</v>
      </c>
      <c r="O39" s="1613">
        <f>IF(Q$34=0,0,Q39/Q$34)</f>
        <v>1.518987341772152E-2</v>
      </c>
      <c r="P39" s="1516">
        <f>SUM(R40:R42)</f>
        <v>7.6266352623577782E-2</v>
      </c>
      <c r="Q39" s="1516">
        <f>SUM(S40:S42)</f>
        <v>1.3088916005971819E-4</v>
      </c>
      <c r="R39" s="1516">
        <f>IF(スコア入力!R39="EB",重み_対象外!D39,U39)</f>
        <v>0</v>
      </c>
      <c r="S39" s="1516">
        <f>IF(スコア入力!Y39="EB",重み_対象外!E39,V39)</f>
        <v>0</v>
      </c>
      <c r="T39" s="1460"/>
      <c r="U39" s="1205"/>
      <c r="V39" s="1205"/>
      <c r="W39" s="1460"/>
      <c r="X39" s="1516">
        <f t="shared" si="18"/>
        <v>0.3</v>
      </c>
      <c r="Y39" s="1516">
        <f t="shared" si="21"/>
        <v>6.2663185378590081E-3</v>
      </c>
      <c r="Z39" s="1471"/>
      <c r="AA39" s="1513">
        <f t="shared" si="3"/>
        <v>3.2</v>
      </c>
      <c r="AB39" s="1513" t="str">
        <f t="shared" si="4"/>
        <v xml:space="preserve"> Q1 3</v>
      </c>
      <c r="AC39" s="1513" t="str">
        <f t="shared" si="5"/>
        <v>グレア対策</v>
      </c>
      <c r="AD39" s="1659">
        <f t="shared" si="6"/>
        <v>0.3</v>
      </c>
      <c r="AE39" s="1659">
        <f t="shared" si="7"/>
        <v>0.3</v>
      </c>
      <c r="AF39" s="1659">
        <f t="shared" si="8"/>
        <v>0</v>
      </c>
      <c r="AG39" s="1659">
        <f t="shared" si="9"/>
        <v>0</v>
      </c>
      <c r="AH39" s="1659">
        <f t="shared" si="10"/>
        <v>0.3</v>
      </c>
      <c r="AI39" s="1659">
        <f t="shared" si="11"/>
        <v>0.3</v>
      </c>
      <c r="AJ39" s="1659">
        <f t="shared" si="12"/>
        <v>0.3</v>
      </c>
      <c r="AK39" s="1663">
        <f t="shared" si="13"/>
        <v>0</v>
      </c>
      <c r="AL39" s="1659">
        <f t="shared" si="14"/>
        <v>0.3</v>
      </c>
      <c r="AM39" s="1659">
        <f t="shared" si="14"/>
        <v>0.3</v>
      </c>
      <c r="AN39" s="1660">
        <f t="shared" si="15"/>
        <v>0.3</v>
      </c>
      <c r="AO39" s="1659">
        <f t="shared" si="16"/>
        <v>0.3</v>
      </c>
      <c r="AP39" s="1659">
        <f t="shared" si="17"/>
        <v>0.3</v>
      </c>
      <c r="AQ39" s="1520"/>
      <c r="AR39" s="1547">
        <v>3.2</v>
      </c>
      <c r="AS39" s="1593" t="s">
        <v>252</v>
      </c>
      <c r="AT39" s="1964" t="s">
        <v>584</v>
      </c>
      <c r="AU39" s="1523">
        <v>0.3</v>
      </c>
      <c r="AV39" s="1523">
        <v>0.3</v>
      </c>
      <c r="AW39" s="1523"/>
      <c r="AX39" s="1523"/>
      <c r="AY39" s="1523">
        <v>0.3</v>
      </c>
      <c r="AZ39" s="1523">
        <v>0.3</v>
      </c>
      <c r="BA39" s="1523">
        <v>0.3</v>
      </c>
      <c r="BB39" s="1614"/>
      <c r="BC39" s="1523">
        <v>0.3</v>
      </c>
      <c r="BD39" s="1523">
        <v>0.3</v>
      </c>
      <c r="BE39" s="1525">
        <v>0.3</v>
      </c>
      <c r="BF39" s="1523">
        <v>0.3</v>
      </c>
      <c r="BG39" s="1523">
        <v>0.3</v>
      </c>
      <c r="BI39" s="1547">
        <v>3.2</v>
      </c>
      <c r="BJ39" s="1593" t="s">
        <v>252</v>
      </c>
      <c r="BK39" s="1964" t="s">
        <v>584</v>
      </c>
      <c r="BL39" s="1523">
        <v>0.3</v>
      </c>
      <c r="BM39" s="1523">
        <v>0.3</v>
      </c>
      <c r="BN39" s="1523"/>
      <c r="BO39" s="1523"/>
      <c r="BP39" s="1523">
        <v>0.3</v>
      </c>
      <c r="BQ39" s="1523">
        <v>0.3</v>
      </c>
      <c r="BR39" s="1523">
        <v>0.3</v>
      </c>
      <c r="BS39" s="1614"/>
      <c r="BT39" s="1523">
        <v>0.3</v>
      </c>
      <c r="BU39" s="1523">
        <v>0.3</v>
      </c>
      <c r="BV39" s="1525">
        <v>0.3</v>
      </c>
      <c r="BW39" s="1523">
        <v>0.3</v>
      </c>
      <c r="BX39" s="1523">
        <v>0.3</v>
      </c>
    </row>
    <row r="40" spans="1:77" ht="13.5" customHeight="1">
      <c r="B40" s="1521" t="str">
        <f t="shared" ref="B40:B72" si="31">AA40</f>
        <v>3.2.1</v>
      </c>
      <c r="C40" s="1514" t="str">
        <f t="shared" ref="C40:C72" si="32">AC40</f>
        <v>照明器具のグレア</v>
      </c>
      <c r="D40" s="1621">
        <f t="shared" ref="D40:E42" si="33">IF(I$39&gt;0,G40/I$39,0)</f>
        <v>0</v>
      </c>
      <c r="E40" s="1591">
        <f t="shared" si="33"/>
        <v>0</v>
      </c>
      <c r="G40" s="1591">
        <f t="shared" si="2"/>
        <v>0</v>
      </c>
      <c r="H40" s="1591">
        <f t="shared" si="2"/>
        <v>0</v>
      </c>
      <c r="I40" s="1591"/>
      <c r="J40" s="1591"/>
      <c r="K40" s="1516">
        <f>IF(スコア表示!X40=0,0,1)</f>
        <v>0</v>
      </c>
      <c r="L40" s="1516">
        <f>IF(スコア表示!AB40=0,0,1)</f>
        <v>0</v>
      </c>
      <c r="N40" s="1608">
        <f t="shared" ref="N40:O42" si="34">IF(P$39&gt;0,R40/P$39,0)</f>
        <v>0.40996260536932738</v>
      </c>
      <c r="O40" s="1608">
        <f t="shared" si="34"/>
        <v>0.39999999999999997</v>
      </c>
      <c r="P40" s="1516"/>
      <c r="Q40" s="1516"/>
      <c r="R40" s="1516">
        <f>IF(スコア入力!R40="EB",重み_対象外!D40,U40)</f>
        <v>3.1266352623577784E-2</v>
      </c>
      <c r="S40" s="1516">
        <f>IF(スコア入力!Y40="EB",重み_対象外!E40,V40)</f>
        <v>5.235566402388727E-5</v>
      </c>
      <c r="T40" s="1460"/>
      <c r="U40" s="1514">
        <f t="shared" ref="U40:V42" si="35">X$34*X$39*X40</f>
        <v>3.0000000000000006E-2</v>
      </c>
      <c r="V40" s="1514">
        <f t="shared" si="35"/>
        <v>5.235566402388727E-5</v>
      </c>
      <c r="W40" s="1460"/>
      <c r="X40" s="1516">
        <f t="shared" si="18"/>
        <v>0.40000000000000008</v>
      </c>
      <c r="Y40" s="1516">
        <f t="shared" si="21"/>
        <v>8.3550913838120102E-3</v>
      </c>
      <c r="Z40" s="1471"/>
      <c r="AA40" s="1513" t="str">
        <f t="shared" si="3"/>
        <v>3.2.1</v>
      </c>
      <c r="AB40" s="1513" t="str">
        <f t="shared" si="4"/>
        <v xml:space="preserve"> Q1 3.2</v>
      </c>
      <c r="AC40" s="1513" t="str">
        <f t="shared" si="5"/>
        <v>照明器具のグレア</v>
      </c>
      <c r="AD40" s="1659">
        <f t="shared" si="6"/>
        <v>0.4</v>
      </c>
      <c r="AE40" s="1659">
        <f t="shared" si="7"/>
        <v>0.4</v>
      </c>
      <c r="AF40" s="1659">
        <f t="shared" si="8"/>
        <v>0</v>
      </c>
      <c r="AG40" s="1659">
        <f t="shared" si="9"/>
        <v>0</v>
      </c>
      <c r="AH40" s="1659">
        <f t="shared" si="10"/>
        <v>0.4</v>
      </c>
      <c r="AI40" s="1659">
        <f t="shared" si="11"/>
        <v>0.4</v>
      </c>
      <c r="AJ40" s="1659">
        <f t="shared" si="12"/>
        <v>0.4</v>
      </c>
      <c r="AK40" s="1663">
        <f t="shared" si="13"/>
        <v>0</v>
      </c>
      <c r="AL40" s="1659">
        <f t="shared" si="14"/>
        <v>0.4</v>
      </c>
      <c r="AM40" s="1659">
        <f t="shared" si="14"/>
        <v>0.4</v>
      </c>
      <c r="AN40" s="1660">
        <f t="shared" si="15"/>
        <v>0.4</v>
      </c>
      <c r="AO40" s="1659">
        <f t="shared" si="16"/>
        <v>0.4</v>
      </c>
      <c r="AP40" s="1659">
        <f t="shared" si="17"/>
        <v>0.4</v>
      </c>
      <c r="AQ40" s="1532"/>
      <c r="AR40" s="1547" t="s">
        <v>1336</v>
      </c>
      <c r="AS40" s="1593" t="s">
        <v>257</v>
      </c>
      <c r="AT40" s="1964" t="s">
        <v>258</v>
      </c>
      <c r="AU40" s="1523">
        <v>0.4</v>
      </c>
      <c r="AV40" s="1523">
        <v>0.4</v>
      </c>
      <c r="AW40" s="1523"/>
      <c r="AX40" s="1523"/>
      <c r="AY40" s="1523">
        <v>0.4</v>
      </c>
      <c r="AZ40" s="1523">
        <v>0.4</v>
      </c>
      <c r="BA40" s="1523">
        <v>0.4</v>
      </c>
      <c r="BB40" s="1614"/>
      <c r="BC40" s="1523">
        <v>0.4</v>
      </c>
      <c r="BD40" s="1523">
        <v>0.4</v>
      </c>
      <c r="BE40" s="1525">
        <v>0.4</v>
      </c>
      <c r="BF40" s="1523">
        <v>0.4</v>
      </c>
      <c r="BG40" s="1523">
        <v>0.4</v>
      </c>
      <c r="BI40" s="1547" t="s">
        <v>1336</v>
      </c>
      <c r="BJ40" s="1593" t="s">
        <v>257</v>
      </c>
      <c r="BK40" s="1964" t="s">
        <v>258</v>
      </c>
      <c r="BL40" s="1523">
        <v>0.4</v>
      </c>
      <c r="BM40" s="1523">
        <v>0.4</v>
      </c>
      <c r="BN40" s="1523"/>
      <c r="BO40" s="1523"/>
      <c r="BP40" s="1523">
        <v>0.4</v>
      </c>
      <c r="BQ40" s="1523">
        <v>0.4</v>
      </c>
      <c r="BR40" s="1523">
        <v>0.4</v>
      </c>
      <c r="BS40" s="1614"/>
      <c r="BT40" s="1523">
        <v>0.4</v>
      </c>
      <c r="BU40" s="1523">
        <v>0.4</v>
      </c>
      <c r="BV40" s="1525">
        <v>0.4</v>
      </c>
      <c r="BW40" s="1523">
        <v>0.4</v>
      </c>
      <c r="BX40" s="1523">
        <v>0.4</v>
      </c>
    </row>
    <row r="41" spans="1:77" ht="13.5" customHeight="1">
      <c r="B41" s="1521" t="str">
        <f>AA41</f>
        <v>3.2.2</v>
      </c>
      <c r="C41" s="1514" t="str">
        <f t="shared" si="32"/>
        <v>昼光制御</v>
      </c>
      <c r="D41" s="1621">
        <f t="shared" si="33"/>
        <v>1</v>
      </c>
      <c r="E41" s="1591">
        <f t="shared" si="33"/>
        <v>1</v>
      </c>
      <c r="G41" s="1591">
        <f t="shared" ref="G41:H72" si="36">K41*N41</f>
        <v>0.59003739463067262</v>
      </c>
      <c r="H41" s="1591">
        <f t="shared" si="36"/>
        <v>0.6</v>
      </c>
      <c r="I41" s="1591"/>
      <c r="J41" s="1591"/>
      <c r="K41" s="1516">
        <f>IF(スコア表示!X41=0,0,1)</f>
        <v>1</v>
      </c>
      <c r="L41" s="1516">
        <f>IF(スコア表示!AB41=0,0,1)</f>
        <v>1</v>
      </c>
      <c r="N41" s="1608">
        <f t="shared" si="34"/>
        <v>0.59003739463067262</v>
      </c>
      <c r="O41" s="1608">
        <f t="shared" si="34"/>
        <v>0.6</v>
      </c>
      <c r="P41" s="1516"/>
      <c r="Q41" s="1516"/>
      <c r="R41" s="1516">
        <f>IF(スコア入力!R41="EB",重み_対象外!D41,U41)</f>
        <v>4.4999999999999998E-2</v>
      </c>
      <c r="S41" s="1516">
        <f>IF(スコア入力!Y41="EB",重み_対象外!E41,V41)</f>
        <v>7.8533496035830915E-5</v>
      </c>
      <c r="T41" s="1460"/>
      <c r="U41" s="1514">
        <f>X$34*X$39*X41</f>
        <v>4.4999999999999998E-2</v>
      </c>
      <c r="V41" s="1514">
        <f>Y$34*Y$39*Y41</f>
        <v>7.8533496035830915E-5</v>
      </c>
      <c r="W41" s="1460"/>
      <c r="X41" s="1516">
        <f t="shared" si="18"/>
        <v>0.6</v>
      </c>
      <c r="Y41" s="1516">
        <f t="shared" si="21"/>
        <v>1.2532637075718016E-2</v>
      </c>
      <c r="Z41" s="1471"/>
      <c r="AA41" s="1513" t="str">
        <f t="shared" ref="AA41:AA73" si="37">IF($AA$3=1,AR41,BI41)</f>
        <v>3.2.2</v>
      </c>
      <c r="AB41" s="1513" t="str">
        <f t="shared" ref="AB41:AB73" si="38">IF($AA$3=1,AS41,BJ41)</f>
        <v xml:space="preserve"> Q1 3.2</v>
      </c>
      <c r="AC41" s="1513" t="str">
        <f t="shared" ref="AC41:AC73" si="39">IF($AA$3=1,AT41,BK41)</f>
        <v>昼光制御</v>
      </c>
      <c r="AD41" s="1659">
        <f t="shared" ref="AD41:AD73" si="40">IF($AA$3=1,AU41,BL41)</f>
        <v>0.6</v>
      </c>
      <c r="AE41" s="1659">
        <f t="shared" ref="AE41:AE73" si="41">IF($AA$3=1,AV41,BM41)</f>
        <v>0.6</v>
      </c>
      <c r="AF41" s="1659">
        <f t="shared" ref="AF41:AF73" si="42">IF($AA$3=1,AW41,BN41)</f>
        <v>0</v>
      </c>
      <c r="AG41" s="1659">
        <f t="shared" ref="AG41:AG73" si="43">IF($AA$3=1,AX41,BO41)</f>
        <v>0</v>
      </c>
      <c r="AH41" s="1659">
        <f t="shared" ref="AH41:AH73" si="44">IF($AA$3=1,AY41,BP41)</f>
        <v>0.6</v>
      </c>
      <c r="AI41" s="1659">
        <f t="shared" ref="AI41:AI73" si="45">IF($AA$3=1,AZ41,BQ41)</f>
        <v>0.6</v>
      </c>
      <c r="AJ41" s="1659">
        <f t="shared" ref="AJ41:AJ73" si="46">IF($AA$3=1,BA41,BR41)</f>
        <v>0.6</v>
      </c>
      <c r="AK41" s="1663">
        <f t="shared" ref="AK41:AK73" si="47">IF($AA$3=1,BB41,BS41)</f>
        <v>0</v>
      </c>
      <c r="AL41" s="1659">
        <f t="shared" ref="AL41:AM73" si="48">IF($AA$3=1,BC41,BT41)</f>
        <v>0.6</v>
      </c>
      <c r="AM41" s="1659">
        <f t="shared" si="48"/>
        <v>0.6</v>
      </c>
      <c r="AN41" s="1660">
        <f t="shared" ref="AN41:AN73" si="49">IF($AA$3=1,BE41,BV41)</f>
        <v>0.6</v>
      </c>
      <c r="AO41" s="1659">
        <f t="shared" ref="AO41:AO73" si="50">IF($AA$3=1,BF41,BW41)</f>
        <v>0.6</v>
      </c>
      <c r="AP41" s="1659">
        <f t="shared" ref="AP41:AP73" si="51">IF($AA$3=1,BG41,BX41)</f>
        <v>0.6</v>
      </c>
      <c r="AQ41" s="1532"/>
      <c r="AR41" s="1547" t="s">
        <v>1338</v>
      </c>
      <c r="AS41" s="1593" t="s">
        <v>257</v>
      </c>
      <c r="AT41" s="1964" t="s">
        <v>259</v>
      </c>
      <c r="AU41" s="1523">
        <v>0.6</v>
      </c>
      <c r="AV41" s="1523">
        <v>0.6</v>
      </c>
      <c r="AW41" s="1523"/>
      <c r="AX41" s="1523"/>
      <c r="AY41" s="1523">
        <v>0.6</v>
      </c>
      <c r="AZ41" s="1523">
        <v>0.6</v>
      </c>
      <c r="BA41" s="1523">
        <v>0.6</v>
      </c>
      <c r="BB41" s="1614"/>
      <c r="BC41" s="1523">
        <v>0.6</v>
      </c>
      <c r="BD41" s="1523">
        <v>0.6</v>
      </c>
      <c r="BE41" s="1525">
        <v>0.6</v>
      </c>
      <c r="BF41" s="1523">
        <v>0.6</v>
      </c>
      <c r="BG41" s="1523">
        <v>0.6</v>
      </c>
      <c r="BI41" s="1547" t="s">
        <v>1338</v>
      </c>
      <c r="BJ41" s="1593" t="s">
        <v>257</v>
      </c>
      <c r="BK41" s="1964" t="s">
        <v>259</v>
      </c>
      <c r="BL41" s="1523">
        <v>0.6</v>
      </c>
      <c r="BM41" s="1523">
        <v>0.6</v>
      </c>
      <c r="BN41" s="1523"/>
      <c r="BO41" s="1523"/>
      <c r="BP41" s="1523">
        <v>0.6</v>
      </c>
      <c r="BQ41" s="1523">
        <v>0.6</v>
      </c>
      <c r="BR41" s="1523">
        <v>0.6</v>
      </c>
      <c r="BS41" s="1614"/>
      <c r="BT41" s="1523">
        <v>0.6</v>
      </c>
      <c r="BU41" s="1523">
        <v>0.6</v>
      </c>
      <c r="BV41" s="1525">
        <v>0.6</v>
      </c>
      <c r="BW41" s="1523">
        <v>0.6</v>
      </c>
      <c r="BX41" s="1523">
        <v>0.6</v>
      </c>
    </row>
    <row r="42" spans="1:77" ht="13.5" customHeight="1">
      <c r="B42" s="1521" t="str">
        <f>AA42</f>
        <v>3.2.3</v>
      </c>
      <c r="C42" s="1514" t="str">
        <f>AC42</f>
        <v>映り込み対策</v>
      </c>
      <c r="D42" s="1621">
        <f>IF(I$39&gt;0,G42/I$39,0)</f>
        <v>0</v>
      </c>
      <c r="E42" s="1591">
        <f t="shared" si="33"/>
        <v>0</v>
      </c>
      <c r="G42" s="1591">
        <f t="shared" si="36"/>
        <v>0</v>
      </c>
      <c r="H42" s="1591">
        <f t="shared" si="36"/>
        <v>0</v>
      </c>
      <c r="I42" s="1591"/>
      <c r="J42" s="1591"/>
      <c r="K42" s="1516">
        <f>IF(スコア表示!X42=0,0,1)</f>
        <v>1</v>
      </c>
      <c r="L42" s="1516">
        <f>IF(スコア表示!AB42=0,0,1)</f>
        <v>1</v>
      </c>
      <c r="N42" s="1608">
        <f t="shared" si="34"/>
        <v>0</v>
      </c>
      <c r="O42" s="1608">
        <f t="shared" si="34"/>
        <v>0</v>
      </c>
      <c r="P42" s="1516"/>
      <c r="Q42" s="1516"/>
      <c r="R42" s="1516">
        <f>IF(スコア入力!R42="EB",重み_対象外!D42,U42)</f>
        <v>0</v>
      </c>
      <c r="S42" s="1516">
        <f>IF(スコア入力!Y42="EB",重み_対象外!E42,V42)</f>
        <v>0</v>
      </c>
      <c r="T42" s="1460"/>
      <c r="U42" s="1514">
        <f t="shared" si="35"/>
        <v>0</v>
      </c>
      <c r="V42" s="1514">
        <f t="shared" si="35"/>
        <v>0</v>
      </c>
      <c r="W42" s="1460"/>
      <c r="X42" s="1516">
        <f t="shared" si="18"/>
        <v>0</v>
      </c>
      <c r="Y42" s="1516">
        <f t="shared" si="21"/>
        <v>0</v>
      </c>
      <c r="Z42" s="1471"/>
      <c r="AA42" s="1513" t="str">
        <f>IF($AA$3=1,AR42,BI42)</f>
        <v>3.2.3</v>
      </c>
      <c r="AB42" s="1513" t="str">
        <f t="shared" ref="AB42:AP42" si="52">IF($AA$3=1,AS42,BJ42)</f>
        <v xml:space="preserve"> Q1 3.3</v>
      </c>
      <c r="AC42" s="1513" t="str">
        <f t="shared" si="52"/>
        <v>映り込み対策</v>
      </c>
      <c r="AD42" s="1659">
        <f t="shared" si="52"/>
        <v>0</v>
      </c>
      <c r="AE42" s="1659">
        <f t="shared" si="52"/>
        <v>0</v>
      </c>
      <c r="AF42" s="1659">
        <f t="shared" si="52"/>
        <v>0</v>
      </c>
      <c r="AG42" s="1659">
        <f t="shared" si="52"/>
        <v>0</v>
      </c>
      <c r="AH42" s="1659">
        <f t="shared" si="52"/>
        <v>0</v>
      </c>
      <c r="AI42" s="1659">
        <f t="shared" si="52"/>
        <v>0</v>
      </c>
      <c r="AJ42" s="1659">
        <f t="shared" si="52"/>
        <v>0</v>
      </c>
      <c r="AK42" s="1663">
        <f t="shared" si="52"/>
        <v>0</v>
      </c>
      <c r="AL42" s="1659">
        <f t="shared" si="52"/>
        <v>0</v>
      </c>
      <c r="AM42" s="1659">
        <f t="shared" si="52"/>
        <v>0</v>
      </c>
      <c r="AN42" s="1660">
        <f t="shared" si="52"/>
        <v>0</v>
      </c>
      <c r="AO42" s="1659">
        <f t="shared" si="52"/>
        <v>0</v>
      </c>
      <c r="AP42" s="1659">
        <f t="shared" si="52"/>
        <v>0</v>
      </c>
      <c r="AQ42" s="1532"/>
      <c r="AR42" s="1967" t="s">
        <v>1339</v>
      </c>
      <c r="AS42" s="1969" t="s">
        <v>260</v>
      </c>
      <c r="AT42" s="1970" t="s">
        <v>787</v>
      </c>
      <c r="AU42" s="1974"/>
      <c r="AV42" s="1974"/>
      <c r="AW42" s="1974"/>
      <c r="AX42" s="1974"/>
      <c r="AY42" s="1974"/>
      <c r="AZ42" s="1974"/>
      <c r="BA42" s="1974"/>
      <c r="BB42" s="1975"/>
      <c r="BC42" s="1974"/>
      <c r="BD42" s="1974"/>
      <c r="BE42" s="1976"/>
      <c r="BF42" s="1974"/>
      <c r="BG42" s="1974"/>
      <c r="BI42" s="1967" t="s">
        <v>1339</v>
      </c>
      <c r="BJ42" s="1969" t="s">
        <v>260</v>
      </c>
      <c r="BK42" s="1970" t="s">
        <v>787</v>
      </c>
      <c r="BL42" s="1974"/>
      <c r="BM42" s="1974"/>
      <c r="BN42" s="1974"/>
      <c r="BO42" s="1974"/>
      <c r="BP42" s="1974"/>
      <c r="BQ42" s="1974"/>
      <c r="BR42" s="1974"/>
      <c r="BS42" s="1975"/>
      <c r="BT42" s="1974"/>
      <c r="BU42" s="1974"/>
      <c r="BV42" s="1976"/>
      <c r="BW42" s="1974"/>
      <c r="BX42" s="1974"/>
    </row>
    <row r="43" spans="1:77" ht="13.5" customHeight="1">
      <c r="B43" s="1521">
        <f t="shared" si="31"/>
        <v>3.3</v>
      </c>
      <c r="C43" s="1530" t="str">
        <f t="shared" si="32"/>
        <v>照度</v>
      </c>
      <c r="D43" s="1616">
        <f>IF(I$34=0,0,G43/I$34)</f>
        <v>0.14924401778609317</v>
      </c>
      <c r="E43" s="1591">
        <f>IF(J$34=0,0,H43/J$34)</f>
        <v>0.36360759493670886</v>
      </c>
      <c r="G43" s="1591">
        <f t="shared" si="36"/>
        <v>0.14924401778609317</v>
      </c>
      <c r="H43" s="1591">
        <f t="shared" si="36"/>
        <v>0.36360759493670886</v>
      </c>
      <c r="I43" s="1591">
        <f>SUM(G44:G45)</f>
        <v>0</v>
      </c>
      <c r="J43" s="1591">
        <f>SUM(H44:H45)</f>
        <v>0</v>
      </c>
      <c r="K43" s="1516">
        <f>IF(スコア表示!X43=0,0,1)</f>
        <v>1</v>
      </c>
      <c r="L43" s="1516">
        <f>IF(スコア表示!AB43=0,0,1)</f>
        <v>1</v>
      </c>
      <c r="N43" s="1613">
        <f>IF(P$34=0,0,R43/P$34)</f>
        <v>0.14924401778609317</v>
      </c>
      <c r="O43" s="1613">
        <f>IF(Q$34=0,0,S43/Q$34)</f>
        <v>0.36360759493670886</v>
      </c>
      <c r="P43" s="1516"/>
      <c r="Q43" s="1516"/>
      <c r="R43" s="1516">
        <f>IF(スコア入力!R43="EB",重み_対象外!D43,U43)</f>
        <v>3.7499999999999999E-2</v>
      </c>
      <c r="S43" s="1516">
        <f>IF(スコア入力!Y43="EB",重み_対象外!E43,V43)</f>
        <v>3.133159268929504E-3</v>
      </c>
      <c r="T43" s="1460"/>
      <c r="U43" s="1514">
        <f>X$34*X43</f>
        <v>3.7499999999999999E-2</v>
      </c>
      <c r="V43" s="1514">
        <f>Y$34*Y43</f>
        <v>3.133159268929504E-3</v>
      </c>
      <c r="W43" s="1460"/>
      <c r="X43" s="1516">
        <f>SUMPRODUCT($AD$7:$AM$7,AD43:AM43)</f>
        <v>0.15</v>
      </c>
      <c r="Y43" s="1516">
        <f>(AN$7*AN43)+(AO$7*AO43)+(AP$7*AP43)</f>
        <v>3.133159268929504E-3</v>
      </c>
      <c r="Z43" s="1471"/>
      <c r="AA43" s="1513">
        <f>IF($AA$3=1,AR43,BI43)</f>
        <v>3.3</v>
      </c>
      <c r="AB43" s="1513" t="str">
        <f t="shared" si="38"/>
        <v xml:space="preserve"> Q1 3</v>
      </c>
      <c r="AC43" s="1513" t="str">
        <f t="shared" ref="AC43:AL43" si="53">IF($AA$3=1,AT43,BK43)</f>
        <v>照度</v>
      </c>
      <c r="AD43" s="1659">
        <f t="shared" si="53"/>
        <v>0.15</v>
      </c>
      <c r="AE43" s="1659">
        <f t="shared" si="53"/>
        <v>0.15</v>
      </c>
      <c r="AF43" s="1659">
        <f t="shared" si="53"/>
        <v>0</v>
      </c>
      <c r="AG43" s="1659">
        <f t="shared" si="53"/>
        <v>0</v>
      </c>
      <c r="AH43" s="1659">
        <f t="shared" si="53"/>
        <v>0.15</v>
      </c>
      <c r="AI43" s="1659">
        <f t="shared" si="53"/>
        <v>0.15</v>
      </c>
      <c r="AJ43" s="1659">
        <f t="shared" si="53"/>
        <v>0.15</v>
      </c>
      <c r="AK43" s="1663">
        <f t="shared" si="53"/>
        <v>0</v>
      </c>
      <c r="AL43" s="1659">
        <f t="shared" si="53"/>
        <v>0.15</v>
      </c>
      <c r="AM43" s="1659">
        <f t="shared" si="48"/>
        <v>0.15</v>
      </c>
      <c r="AN43" s="1660">
        <f>IF($AA$3=1,BE43,BV43)</f>
        <v>0.15</v>
      </c>
      <c r="AO43" s="1659">
        <f>IF($AA$3=1,BF43,BW43)</f>
        <v>0.15</v>
      </c>
      <c r="AP43" s="1659">
        <f>IF($AA$3=1,BG43,BX43)</f>
        <v>0.15</v>
      </c>
      <c r="AQ43" s="1520"/>
      <c r="AR43" s="1547">
        <v>3.3</v>
      </c>
      <c r="AS43" s="1593" t="s">
        <v>252</v>
      </c>
      <c r="AT43" s="1637" t="s">
        <v>590</v>
      </c>
      <c r="AU43" s="1523">
        <v>0.15</v>
      </c>
      <c r="AV43" s="1523">
        <v>0.15</v>
      </c>
      <c r="AW43" s="1523"/>
      <c r="AX43" s="1523"/>
      <c r="AY43" s="1523">
        <v>0.15</v>
      </c>
      <c r="AZ43" s="1523">
        <v>0.15</v>
      </c>
      <c r="BA43" s="1523">
        <v>0.15</v>
      </c>
      <c r="BB43" s="1614"/>
      <c r="BC43" s="1523">
        <v>0.15</v>
      </c>
      <c r="BD43" s="1523">
        <v>0.15</v>
      </c>
      <c r="BE43" s="1525">
        <v>0.15</v>
      </c>
      <c r="BF43" s="1523">
        <v>0.15</v>
      </c>
      <c r="BG43" s="1523">
        <v>0.15</v>
      </c>
      <c r="BI43" s="1547">
        <v>3.3</v>
      </c>
      <c r="BJ43" s="1593" t="s">
        <v>252</v>
      </c>
      <c r="BK43" s="1637" t="s">
        <v>590</v>
      </c>
      <c r="BL43" s="1523">
        <v>0.15</v>
      </c>
      <c r="BM43" s="1523">
        <v>0.15</v>
      </c>
      <c r="BN43" s="1523"/>
      <c r="BO43" s="1523"/>
      <c r="BP43" s="1523">
        <v>0.15</v>
      </c>
      <c r="BQ43" s="1523">
        <v>0.15</v>
      </c>
      <c r="BR43" s="1523">
        <v>0.15</v>
      </c>
      <c r="BS43" s="1614"/>
      <c r="BT43" s="1523">
        <v>0.15</v>
      </c>
      <c r="BU43" s="1523">
        <v>0.15</v>
      </c>
      <c r="BV43" s="1525">
        <v>0.15</v>
      </c>
      <c r="BW43" s="1523">
        <v>0.15</v>
      </c>
      <c r="BX43" s="1523">
        <v>0.15</v>
      </c>
    </row>
    <row r="44" spans="1:77" ht="13.5" hidden="1" customHeight="1">
      <c r="B44" s="1549" t="str">
        <f t="shared" si="31"/>
        <v>3.3.1</v>
      </c>
      <c r="C44" s="1550" t="str">
        <f t="shared" si="32"/>
        <v>照度</v>
      </c>
      <c r="D44" s="1965">
        <f>IF(I$43&gt;0,G44/I$43,0)</f>
        <v>0</v>
      </c>
      <c r="E44" s="1966">
        <f>IF(J$43&gt;0,H44/J$43,0)</f>
        <v>0</v>
      </c>
      <c r="G44" s="1966">
        <f t="shared" si="36"/>
        <v>0</v>
      </c>
      <c r="H44" s="1966">
        <f t="shared" si="36"/>
        <v>0</v>
      </c>
      <c r="I44" s="1966"/>
      <c r="J44" s="1966"/>
      <c r="K44" s="1552">
        <f>IF(スコア表示!X44=0,0,1)</f>
        <v>0</v>
      </c>
      <c r="L44" s="1552">
        <f>IF(スコア表示!AB44=0,0,1)</f>
        <v>0</v>
      </c>
      <c r="N44" s="1623">
        <f>IF(P$43&gt;0,R44/P$43,0)</f>
        <v>0</v>
      </c>
      <c r="O44" s="1623">
        <f>IF(Q$43&gt;0,S44/Q$43,0)</f>
        <v>0</v>
      </c>
      <c r="P44" s="1552"/>
      <c r="Q44" s="1552"/>
      <c r="R44" s="1552">
        <f>IF(スコア入力!R44="EB",重み_対象外!D44,U44)</f>
        <v>0</v>
      </c>
      <c r="S44" s="1552">
        <f>IF(スコア入力!Y44="EB",重み_対象外!E44,V44)</f>
        <v>0</v>
      </c>
      <c r="T44" s="1460"/>
      <c r="U44" s="1550">
        <f>X$34*X$43*X44</f>
        <v>0</v>
      </c>
      <c r="V44" s="1550">
        <f>Y$34*Y$43*Y44</f>
        <v>0</v>
      </c>
      <c r="W44" s="1460"/>
      <c r="X44" s="1552">
        <f t="shared" si="18"/>
        <v>0</v>
      </c>
      <c r="Y44" s="1552">
        <f t="shared" si="21"/>
        <v>0</v>
      </c>
      <c r="Z44" s="1471"/>
      <c r="AA44" s="1553" t="str">
        <f t="shared" si="37"/>
        <v>3.3.1</v>
      </c>
      <c r="AB44" s="1553" t="str">
        <f t="shared" si="38"/>
        <v xml:space="preserve"> Q1 3.3</v>
      </c>
      <c r="AC44" s="1553" t="str">
        <f t="shared" si="39"/>
        <v>照度</v>
      </c>
      <c r="AD44" s="1669">
        <f t="shared" si="40"/>
        <v>0</v>
      </c>
      <c r="AE44" s="1669">
        <f t="shared" si="41"/>
        <v>0</v>
      </c>
      <c r="AF44" s="1669">
        <f t="shared" si="42"/>
        <v>0</v>
      </c>
      <c r="AG44" s="1669">
        <f t="shared" si="43"/>
        <v>0</v>
      </c>
      <c r="AH44" s="1669">
        <f t="shared" si="44"/>
        <v>0</v>
      </c>
      <c r="AI44" s="1669">
        <f t="shared" si="45"/>
        <v>0</v>
      </c>
      <c r="AJ44" s="1669">
        <f t="shared" si="46"/>
        <v>0</v>
      </c>
      <c r="AK44" s="2004">
        <f t="shared" si="47"/>
        <v>0</v>
      </c>
      <c r="AL44" s="1669">
        <f t="shared" si="48"/>
        <v>0</v>
      </c>
      <c r="AM44" s="1669">
        <f t="shared" si="48"/>
        <v>0</v>
      </c>
      <c r="AN44" s="1556">
        <f t="shared" si="49"/>
        <v>0</v>
      </c>
      <c r="AO44" s="1669">
        <f t="shared" si="50"/>
        <v>0</v>
      </c>
      <c r="AP44" s="1669">
        <f>IF($AA$3=1,BG44,BX44)</f>
        <v>0</v>
      </c>
      <c r="AQ44" s="1532"/>
      <c r="AR44" s="1967" t="s">
        <v>1341</v>
      </c>
      <c r="AS44" s="1969" t="s">
        <v>260</v>
      </c>
      <c r="AT44" s="1970" t="s">
        <v>1343</v>
      </c>
      <c r="AU44" s="1974"/>
      <c r="AV44" s="1974"/>
      <c r="AW44" s="1974"/>
      <c r="AX44" s="1974"/>
      <c r="AY44" s="1974"/>
      <c r="AZ44" s="1974"/>
      <c r="BA44" s="1974"/>
      <c r="BB44" s="1975"/>
      <c r="BC44" s="1974"/>
      <c r="BD44" s="1974"/>
      <c r="BE44" s="1976"/>
      <c r="BF44" s="1974"/>
      <c r="BG44" s="1974"/>
      <c r="BI44" s="1967" t="s">
        <v>1341</v>
      </c>
      <c r="BJ44" s="1969" t="s">
        <v>260</v>
      </c>
      <c r="BK44" s="1970" t="s">
        <v>1343</v>
      </c>
      <c r="BL44" s="1974"/>
      <c r="BM44" s="1974"/>
      <c r="BN44" s="1974"/>
      <c r="BO44" s="1974"/>
      <c r="BP44" s="1974"/>
      <c r="BQ44" s="1974"/>
      <c r="BR44" s="1974"/>
      <c r="BS44" s="1975"/>
      <c r="BT44" s="1974"/>
      <c r="BU44" s="1974"/>
      <c r="BV44" s="1976"/>
      <c r="BW44" s="1974"/>
      <c r="BX44" s="1974"/>
    </row>
    <row r="45" spans="1:77" ht="13.5" hidden="1" customHeight="1">
      <c r="B45" s="1549" t="str">
        <f t="shared" si="31"/>
        <v>3.3.2</v>
      </c>
      <c r="C45" s="1550" t="str">
        <f t="shared" si="32"/>
        <v>照度均斉度</v>
      </c>
      <c r="D45" s="1965">
        <f>IF(I$43&gt;0,G45/I$43,0)</f>
        <v>0</v>
      </c>
      <c r="E45" s="1966">
        <f>IF(J$43&gt;0,H45/J$43,0)</f>
        <v>0</v>
      </c>
      <c r="G45" s="1966">
        <f t="shared" si="36"/>
        <v>0</v>
      </c>
      <c r="H45" s="1966">
        <f t="shared" si="36"/>
        <v>0</v>
      </c>
      <c r="I45" s="1966"/>
      <c r="J45" s="1966"/>
      <c r="K45" s="1552">
        <f>IF(スコア表示!X45=0,0,1)</f>
        <v>0</v>
      </c>
      <c r="L45" s="1552">
        <f>IF(スコア表示!AB45=0,0,1)</f>
        <v>0</v>
      </c>
      <c r="N45" s="1623">
        <f>IF(P$43&gt;0,R45/P$43,0)</f>
        <v>0</v>
      </c>
      <c r="O45" s="1623">
        <f>IF(Q$43&gt;0,S45/Q$43,0)</f>
        <v>0</v>
      </c>
      <c r="P45" s="1552"/>
      <c r="Q45" s="1552"/>
      <c r="R45" s="1552">
        <f>IF(スコア入力!R45="EB",重み_対象外!D45,U45)</f>
        <v>0</v>
      </c>
      <c r="S45" s="1552">
        <f>IF(スコア入力!Y45="EB",重み_対象外!E45,V45)</f>
        <v>0</v>
      </c>
      <c r="T45" s="1460"/>
      <c r="U45" s="1550">
        <f>X$34*X$43*X45</f>
        <v>0</v>
      </c>
      <c r="V45" s="1550">
        <f>Y$34*Y$43*Y45</f>
        <v>0</v>
      </c>
      <c r="W45" s="1460"/>
      <c r="X45" s="1552">
        <f t="shared" si="18"/>
        <v>0</v>
      </c>
      <c r="Y45" s="1552">
        <f t="shared" si="21"/>
        <v>0</v>
      </c>
      <c r="Z45" s="1471"/>
      <c r="AA45" s="1553" t="str">
        <f t="shared" si="37"/>
        <v>3.3.2</v>
      </c>
      <c r="AB45" s="1553" t="str">
        <f t="shared" si="38"/>
        <v xml:space="preserve"> Q1 3.3</v>
      </c>
      <c r="AC45" s="1553" t="str">
        <f t="shared" si="39"/>
        <v>照度均斉度</v>
      </c>
      <c r="AD45" s="1669">
        <f t="shared" si="40"/>
        <v>0</v>
      </c>
      <c r="AE45" s="1669">
        <f t="shared" si="41"/>
        <v>0</v>
      </c>
      <c r="AF45" s="1669">
        <f t="shared" si="42"/>
        <v>0</v>
      </c>
      <c r="AG45" s="1669">
        <f t="shared" si="43"/>
        <v>0</v>
      </c>
      <c r="AH45" s="1669">
        <f t="shared" si="44"/>
        <v>0</v>
      </c>
      <c r="AI45" s="1669">
        <f t="shared" si="45"/>
        <v>0</v>
      </c>
      <c r="AJ45" s="1669">
        <f t="shared" si="46"/>
        <v>0</v>
      </c>
      <c r="AK45" s="2004">
        <f t="shared" si="47"/>
        <v>0</v>
      </c>
      <c r="AL45" s="1669">
        <f t="shared" si="48"/>
        <v>0</v>
      </c>
      <c r="AM45" s="1669">
        <f t="shared" si="48"/>
        <v>0</v>
      </c>
      <c r="AN45" s="1556">
        <f t="shared" si="49"/>
        <v>0</v>
      </c>
      <c r="AO45" s="1669">
        <f t="shared" si="50"/>
        <v>0</v>
      </c>
      <c r="AP45" s="1669">
        <f t="shared" si="51"/>
        <v>0</v>
      </c>
      <c r="AQ45" s="1532"/>
      <c r="AR45" s="1967" t="s">
        <v>1344</v>
      </c>
      <c r="AS45" s="1969" t="s">
        <v>260</v>
      </c>
      <c r="AT45" s="1970" t="s">
        <v>1345</v>
      </c>
      <c r="AU45" s="1974"/>
      <c r="AV45" s="1974"/>
      <c r="AW45" s="1974"/>
      <c r="AX45" s="1974"/>
      <c r="AY45" s="1974"/>
      <c r="AZ45" s="1974"/>
      <c r="BA45" s="1974"/>
      <c r="BB45" s="1975"/>
      <c r="BC45" s="1974"/>
      <c r="BD45" s="1974"/>
      <c r="BE45" s="1976"/>
      <c r="BF45" s="1974"/>
      <c r="BG45" s="1974"/>
      <c r="BI45" s="1967" t="s">
        <v>1344</v>
      </c>
      <c r="BJ45" s="1969" t="s">
        <v>260</v>
      </c>
      <c r="BK45" s="1970" t="s">
        <v>1345</v>
      </c>
      <c r="BL45" s="1974"/>
      <c r="BM45" s="1974"/>
      <c r="BN45" s="1974"/>
      <c r="BO45" s="1974"/>
      <c r="BP45" s="1974"/>
      <c r="BQ45" s="1974"/>
      <c r="BR45" s="1974"/>
      <c r="BS45" s="1975"/>
      <c r="BT45" s="1974"/>
      <c r="BU45" s="1974"/>
      <c r="BV45" s="1976"/>
      <c r="BW45" s="1974"/>
      <c r="BX45" s="1974"/>
    </row>
    <row r="46" spans="1:77" ht="13.5" customHeight="1">
      <c r="B46" s="1521">
        <f t="shared" si="31"/>
        <v>3.4</v>
      </c>
      <c r="C46" s="1530" t="str">
        <f t="shared" si="32"/>
        <v>照明制御</v>
      </c>
      <c r="D46" s="1616">
        <f>IF(I$34=0,0,G46/I$34)</f>
        <v>0.24874002964348862</v>
      </c>
      <c r="E46" s="1591">
        <f>IF(J$34=0,0,H46/J$34)</f>
        <v>0.60601265822784811</v>
      </c>
      <c r="G46" s="1591">
        <f t="shared" si="36"/>
        <v>0.24874002964348862</v>
      </c>
      <c r="H46" s="1591">
        <f t="shared" si="36"/>
        <v>0.60601265822784811</v>
      </c>
      <c r="I46" s="1591"/>
      <c r="J46" s="1591"/>
      <c r="K46" s="1516">
        <f>IF(スコア表示!X46=0,0,1)</f>
        <v>1</v>
      </c>
      <c r="L46" s="1516">
        <f>IF(スコア表示!AB46=0,0,1)</f>
        <v>1</v>
      </c>
      <c r="N46" s="1613">
        <f>IF(P$34=0,0,R46/P$34)</f>
        <v>0.24874002964348862</v>
      </c>
      <c r="O46" s="1613">
        <f>IF(Q$34=0,0,S46/Q$34)</f>
        <v>0.60601265822784811</v>
      </c>
      <c r="P46" s="1516"/>
      <c r="Q46" s="1516"/>
      <c r="R46" s="1516">
        <f>IF(スコア入力!R46="EB",重み_対象外!D46,U46)</f>
        <v>6.25E-2</v>
      </c>
      <c r="S46" s="1516">
        <f>IF(スコア入力!Y46="EB",重み_対象外!E46,V46)</f>
        <v>5.2219321148825066E-3</v>
      </c>
      <c r="T46" s="1460"/>
      <c r="U46" s="1514">
        <f>X$34*X46</f>
        <v>6.25E-2</v>
      </c>
      <c r="V46" s="1514">
        <f>Y$34*Y46</f>
        <v>5.2219321148825066E-3</v>
      </c>
      <c r="W46" s="1460"/>
      <c r="X46" s="1516">
        <f>SUMPRODUCT($AD$7:$AM$7,AD46:AM46)</f>
        <v>0.25</v>
      </c>
      <c r="Y46" s="1516">
        <f>(AN$7*AN46)+(AO$7*AO46)+(AP$7*AP46)</f>
        <v>5.2219321148825066E-3</v>
      </c>
      <c r="Z46" s="1471"/>
      <c r="AA46" s="1513">
        <f>IF($AA$3=1,AR46,BI46)</f>
        <v>3.4</v>
      </c>
      <c r="AB46" s="1513" t="str">
        <f t="shared" si="38"/>
        <v xml:space="preserve"> Q1 3</v>
      </c>
      <c r="AC46" s="1513" t="str">
        <f t="shared" ref="AC46:AL46" si="54">IF($AA$3=1,AT46,BK46)</f>
        <v>照明制御</v>
      </c>
      <c r="AD46" s="1659">
        <f t="shared" si="54"/>
        <v>0.25</v>
      </c>
      <c r="AE46" s="1659">
        <f t="shared" si="54"/>
        <v>0.25</v>
      </c>
      <c r="AF46" s="1659">
        <f t="shared" si="54"/>
        <v>0.5</v>
      </c>
      <c r="AG46" s="1659">
        <f t="shared" si="54"/>
        <v>0</v>
      </c>
      <c r="AH46" s="1659">
        <f t="shared" si="54"/>
        <v>0.25</v>
      </c>
      <c r="AI46" s="1659">
        <f t="shared" si="54"/>
        <v>0.25</v>
      </c>
      <c r="AJ46" s="1659">
        <f t="shared" si="54"/>
        <v>0.25</v>
      </c>
      <c r="AK46" s="1663">
        <f t="shared" si="54"/>
        <v>0</v>
      </c>
      <c r="AL46" s="1659">
        <f t="shared" si="54"/>
        <v>0.25</v>
      </c>
      <c r="AM46" s="1659">
        <f t="shared" si="48"/>
        <v>0.25</v>
      </c>
      <c r="AN46" s="1519">
        <f>IF($AA$3=1,BE46,BV46)</f>
        <v>0.25</v>
      </c>
      <c r="AO46" s="1659">
        <f>IF($AA$3=1,BF46,BW46)</f>
        <v>0.25</v>
      </c>
      <c r="AP46" s="1659">
        <f>IF($AA$3=1,BG46,BX46)</f>
        <v>0.25</v>
      </c>
      <c r="AQ46" s="1520"/>
      <c r="AR46" s="1547">
        <v>3.4</v>
      </c>
      <c r="AS46" s="1593" t="s">
        <v>252</v>
      </c>
      <c r="AT46" s="1637" t="s">
        <v>591</v>
      </c>
      <c r="AU46" s="1523">
        <v>0.25</v>
      </c>
      <c r="AV46" s="1523">
        <v>0.25</v>
      </c>
      <c r="AW46" s="1523">
        <v>0.5</v>
      </c>
      <c r="AX46" s="1523"/>
      <c r="AY46" s="1523">
        <v>0.25</v>
      </c>
      <c r="AZ46" s="1523">
        <v>0.25</v>
      </c>
      <c r="BA46" s="1523">
        <v>0.25</v>
      </c>
      <c r="BB46" s="1614"/>
      <c r="BC46" s="1523">
        <v>0.25</v>
      </c>
      <c r="BD46" s="1523">
        <v>0.25</v>
      </c>
      <c r="BE46" s="1525">
        <v>0.25</v>
      </c>
      <c r="BF46" s="1523">
        <v>0.25</v>
      </c>
      <c r="BG46" s="1523">
        <v>0.25</v>
      </c>
      <c r="BI46" s="1547">
        <v>3.4</v>
      </c>
      <c r="BJ46" s="1593" t="s">
        <v>252</v>
      </c>
      <c r="BK46" s="1637" t="s">
        <v>591</v>
      </c>
      <c r="BL46" s="1523">
        <v>0.25</v>
      </c>
      <c r="BM46" s="1523">
        <v>0.25</v>
      </c>
      <c r="BN46" s="1523">
        <v>0.5</v>
      </c>
      <c r="BO46" s="1523"/>
      <c r="BP46" s="1523">
        <v>0.25</v>
      </c>
      <c r="BQ46" s="1523">
        <v>0.25</v>
      </c>
      <c r="BR46" s="1523">
        <v>0.25</v>
      </c>
      <c r="BS46" s="1614"/>
      <c r="BT46" s="1523">
        <v>0.25</v>
      </c>
      <c r="BU46" s="1523">
        <v>0.25</v>
      </c>
      <c r="BV46" s="1525">
        <v>0.25</v>
      </c>
      <c r="BW46" s="1523">
        <v>0.25</v>
      </c>
      <c r="BX46" s="1523">
        <v>0.25</v>
      </c>
    </row>
    <row r="47" spans="1:77" s="1505" customFormat="1" ht="13.5" customHeight="1">
      <c r="A47"/>
      <c r="B47" s="1527">
        <f t="shared" si="31"/>
        <v>4</v>
      </c>
      <c r="C47" s="1528" t="str">
        <f t="shared" si="32"/>
        <v>空気質環境</v>
      </c>
      <c r="D47" s="1962">
        <f>IF(I$9=0,0,G47/I$9)</f>
        <v>0.24923228628556227</v>
      </c>
      <c r="E47" s="1643">
        <f>IF(J$9=0,0,H47/J$9)</f>
        <v>3.2441200324412008E-2</v>
      </c>
      <c r="F47"/>
      <c r="G47" s="1643">
        <f t="shared" si="36"/>
        <v>0.24923228628556227</v>
      </c>
      <c r="H47" s="1643">
        <f t="shared" si="36"/>
        <v>1.8095453517303781E-2</v>
      </c>
      <c r="I47" s="1643">
        <f>G48+G53+G58</f>
        <v>0.99999999999999989</v>
      </c>
      <c r="J47" s="1643">
        <f>H48+H53+H58</f>
        <v>0.99999999999999978</v>
      </c>
      <c r="K47" s="1509">
        <f>IF(スコア表示!X47=0,0,1)</f>
        <v>1</v>
      </c>
      <c r="L47" s="1509">
        <f>IF(スコア表示!AB47=0,0,1)</f>
        <v>1</v>
      </c>
      <c r="M47"/>
      <c r="N47" s="1607">
        <f>IF(P$9=0,0,R47/P$9)</f>
        <v>0.24923228628556227</v>
      </c>
      <c r="O47" s="1607">
        <f>IF(Q$9=0,0,S47/Q$9)</f>
        <v>1.8095453517303781E-2</v>
      </c>
      <c r="P47" s="1610">
        <f>SUM(R48:R60)</f>
        <v>0.23202700952354988</v>
      </c>
      <c r="Q47" s="1610">
        <f>SUM(S48:S60)</f>
        <v>4.3629720019906071E-4</v>
      </c>
      <c r="R47" s="1509">
        <f>IF(スコア入力!R47="EB",重み_対象外!D47,U47)</f>
        <v>0.24897742843703352</v>
      </c>
      <c r="S47" s="1509">
        <f>IF(スコア入力!Y47="EB",重み_対象外!E47,V47)</f>
        <v>4.3629720019906071E-4</v>
      </c>
      <c r="T47" s="1460"/>
      <c r="U47" s="1507">
        <f>SUM(U48:U60)</f>
        <v>0.24897742843703352</v>
      </c>
      <c r="V47" s="1507">
        <f>SUM(V48:V60)</f>
        <v>4.3629720019906071E-4</v>
      </c>
      <c r="W47" s="1460"/>
      <c r="X47" s="1509">
        <f t="shared" si="18"/>
        <v>0.25</v>
      </c>
      <c r="Y47" s="1509">
        <v>1</v>
      </c>
      <c r="Z47" s="1501"/>
      <c r="AA47" s="1506">
        <f t="shared" si="37"/>
        <v>4</v>
      </c>
      <c r="AB47" s="1506" t="str">
        <f t="shared" si="38"/>
        <v xml:space="preserve"> Q1</v>
      </c>
      <c r="AC47" s="1506" t="str">
        <f t="shared" si="39"/>
        <v>空気質環境</v>
      </c>
      <c r="AD47" s="1656">
        <f t="shared" si="40"/>
        <v>0.25</v>
      </c>
      <c r="AE47" s="1656">
        <f t="shared" si="41"/>
        <v>0.25</v>
      </c>
      <c r="AF47" s="1656">
        <f t="shared" si="42"/>
        <v>0.25</v>
      </c>
      <c r="AG47" s="1656">
        <f t="shared" si="43"/>
        <v>0.25</v>
      </c>
      <c r="AH47" s="1656">
        <f t="shared" si="44"/>
        <v>0.25</v>
      </c>
      <c r="AI47" s="1656">
        <f t="shared" si="45"/>
        <v>0.25</v>
      </c>
      <c r="AJ47" s="1656">
        <f t="shared" si="46"/>
        <v>0.25</v>
      </c>
      <c r="AK47" s="1662">
        <f t="shared" si="47"/>
        <v>0.33</v>
      </c>
      <c r="AL47" s="1656">
        <f t="shared" si="48"/>
        <v>0.25</v>
      </c>
      <c r="AM47" s="1656">
        <f t="shared" si="48"/>
        <v>0.25</v>
      </c>
      <c r="AN47" s="1658">
        <f t="shared" si="49"/>
        <v>0</v>
      </c>
      <c r="AO47" s="1656">
        <f t="shared" si="50"/>
        <v>0</v>
      </c>
      <c r="AP47" s="1656">
        <f t="shared" si="51"/>
        <v>0</v>
      </c>
      <c r="AQ47" s="1512"/>
      <c r="AR47" s="1541">
        <v>4</v>
      </c>
      <c r="AS47" s="1644" t="s">
        <v>230</v>
      </c>
      <c r="AT47" s="1687" t="s">
        <v>1050</v>
      </c>
      <c r="AU47" s="1534">
        <v>0.25</v>
      </c>
      <c r="AV47" s="1534">
        <v>0.25</v>
      </c>
      <c r="AW47" s="1534">
        <v>0.25</v>
      </c>
      <c r="AX47" s="1534">
        <v>0.25</v>
      </c>
      <c r="AY47" s="1534">
        <v>0.25</v>
      </c>
      <c r="AZ47" s="1534">
        <v>0.25</v>
      </c>
      <c r="BA47" s="1534">
        <v>0.25</v>
      </c>
      <c r="BB47" s="1535">
        <v>0.33</v>
      </c>
      <c r="BC47" s="1534">
        <v>0.25</v>
      </c>
      <c r="BD47" s="1534">
        <v>0.25</v>
      </c>
      <c r="BE47" s="1977"/>
      <c r="BF47" s="1534"/>
      <c r="BG47" s="1534"/>
      <c r="BH47"/>
      <c r="BI47" s="1541">
        <v>4</v>
      </c>
      <c r="BJ47" s="1644" t="s">
        <v>230</v>
      </c>
      <c r="BK47" s="1687" t="s">
        <v>1050</v>
      </c>
      <c r="BL47" s="1534">
        <v>0.25</v>
      </c>
      <c r="BM47" s="1534">
        <v>0.25</v>
      </c>
      <c r="BN47" s="1534">
        <v>0.25</v>
      </c>
      <c r="BO47" s="1534">
        <v>0.25</v>
      </c>
      <c r="BP47" s="1534">
        <v>0.25</v>
      </c>
      <c r="BQ47" s="1534">
        <v>0.25</v>
      </c>
      <c r="BR47" s="1534">
        <v>0.25</v>
      </c>
      <c r="BS47" s="1535">
        <v>0.33</v>
      </c>
      <c r="BT47" s="1534">
        <v>0.25</v>
      </c>
      <c r="BU47" s="1534">
        <v>0.25</v>
      </c>
      <c r="BV47" s="1977"/>
      <c r="BW47" s="1534"/>
      <c r="BX47" s="1534"/>
      <c r="BY47"/>
    </row>
    <row r="48" spans="1:77" ht="13.5" customHeight="1">
      <c r="B48" s="1513">
        <f t="shared" si="31"/>
        <v>4.0999999999999996</v>
      </c>
      <c r="C48" s="1530" t="str">
        <f t="shared" si="32"/>
        <v>発生源対策</v>
      </c>
      <c r="D48" s="1616">
        <f>IF(I$47=0,0,G48/I$47)</f>
        <v>0.46355971842597543</v>
      </c>
      <c r="E48" s="1591">
        <f>IF(J$47=0,0,H48/J$47)</f>
        <v>0.625</v>
      </c>
      <c r="G48" s="1591">
        <f t="shared" si="36"/>
        <v>0.46355971842597538</v>
      </c>
      <c r="H48" s="1591">
        <f t="shared" si="36"/>
        <v>0.62499999999999989</v>
      </c>
      <c r="I48" s="1591">
        <f>SUM(G49:G52)</f>
        <v>0.39306757754277488</v>
      </c>
      <c r="J48" s="1591">
        <f>SUM(H49:H52)</f>
        <v>0.66666666666666663</v>
      </c>
      <c r="K48" s="1516">
        <f>IF(スコア表示!X48=0,0,1)</f>
        <v>1</v>
      </c>
      <c r="L48" s="1516">
        <f>IF(スコア表示!AB48=0,0,1)</f>
        <v>1</v>
      </c>
      <c r="N48" s="1613">
        <f>IF(P$47=0,0,P48/P$47)</f>
        <v>0.46355971842597538</v>
      </c>
      <c r="O48" s="1613">
        <f>IF(Q$47=0,0,Q48/Q$47)</f>
        <v>0.62499999999999989</v>
      </c>
      <c r="P48" s="1516">
        <f>SUM(R49:R52)</f>
        <v>0.10755837520195789</v>
      </c>
      <c r="Q48" s="1516">
        <f>SUM(S49:S52)</f>
        <v>2.7268575012441288E-4</v>
      </c>
      <c r="R48" s="1516">
        <f>IF(スコア入力!R48="EB",重み_対象外!D48,U48)</f>
        <v>0</v>
      </c>
      <c r="S48" s="1516">
        <f>IF(スコア入力!Y48="EB",重み_対象外!E48,V48)</f>
        <v>0</v>
      </c>
      <c r="T48" s="1460"/>
      <c r="U48" s="1514"/>
      <c r="V48" s="1514"/>
      <c r="W48" s="1460"/>
      <c r="X48" s="1516">
        <f t="shared" si="18"/>
        <v>0.50208877284595299</v>
      </c>
      <c r="Y48" s="1516">
        <f t="shared" si="21"/>
        <v>1.3054830287206266E-2</v>
      </c>
      <c r="Z48" s="1471"/>
      <c r="AA48" s="1513">
        <f t="shared" si="37"/>
        <v>4.0999999999999996</v>
      </c>
      <c r="AB48" s="1513" t="str">
        <f t="shared" si="38"/>
        <v xml:space="preserve"> Q1 4</v>
      </c>
      <c r="AC48" s="1513" t="str">
        <f t="shared" si="39"/>
        <v>発生源対策</v>
      </c>
      <c r="AD48" s="1659">
        <f t="shared" si="40"/>
        <v>0.5</v>
      </c>
      <c r="AE48" s="1659">
        <f t="shared" si="41"/>
        <v>0.5</v>
      </c>
      <c r="AF48" s="1659">
        <f t="shared" si="42"/>
        <v>0.5</v>
      </c>
      <c r="AG48" s="1659">
        <f t="shared" si="43"/>
        <v>0.5</v>
      </c>
      <c r="AH48" s="1659">
        <f t="shared" si="44"/>
        <v>0.5</v>
      </c>
      <c r="AI48" s="1659">
        <f t="shared" si="45"/>
        <v>0.5</v>
      </c>
      <c r="AJ48" s="1659">
        <f t="shared" si="46"/>
        <v>0.6</v>
      </c>
      <c r="AK48" s="1661">
        <f t="shared" si="47"/>
        <v>0.5</v>
      </c>
      <c r="AL48" s="1659">
        <f t="shared" si="48"/>
        <v>0.5</v>
      </c>
      <c r="AM48" s="1659">
        <f t="shared" si="48"/>
        <v>0.5</v>
      </c>
      <c r="AN48" s="1660">
        <f t="shared" si="49"/>
        <v>0.625</v>
      </c>
      <c r="AO48" s="1659">
        <f t="shared" si="50"/>
        <v>0.625</v>
      </c>
      <c r="AP48" s="1659">
        <f t="shared" si="51"/>
        <v>0.625</v>
      </c>
      <c r="AQ48" s="1520"/>
      <c r="AR48" s="1547">
        <v>4.0999999999999996</v>
      </c>
      <c r="AS48" s="1593" t="s">
        <v>261</v>
      </c>
      <c r="AT48" s="1637" t="s">
        <v>593</v>
      </c>
      <c r="AU48" s="1536">
        <v>0.5</v>
      </c>
      <c r="AV48" s="1536">
        <v>0.5</v>
      </c>
      <c r="AW48" s="1536">
        <v>0.5</v>
      </c>
      <c r="AX48" s="1536">
        <v>0.5</v>
      </c>
      <c r="AY48" s="1536">
        <v>0.5</v>
      </c>
      <c r="AZ48" s="1536">
        <v>0.5</v>
      </c>
      <c r="BA48" s="1536">
        <v>0.6</v>
      </c>
      <c r="BB48" s="1537">
        <v>0.5</v>
      </c>
      <c r="BC48" s="1536">
        <v>0.5</v>
      </c>
      <c r="BD48" s="1536">
        <v>0.5</v>
      </c>
      <c r="BE48" s="1538">
        <v>0.625</v>
      </c>
      <c r="BF48" s="1536">
        <v>0.625</v>
      </c>
      <c r="BG48" s="1536">
        <v>0.625</v>
      </c>
      <c r="BI48" s="1547">
        <v>4.0999999999999996</v>
      </c>
      <c r="BJ48" s="1593" t="s">
        <v>261</v>
      </c>
      <c r="BK48" s="1637" t="s">
        <v>593</v>
      </c>
      <c r="BL48" s="1536">
        <v>0.5</v>
      </c>
      <c r="BM48" s="1536">
        <v>0.5</v>
      </c>
      <c r="BN48" s="1536">
        <v>0.5</v>
      </c>
      <c r="BO48" s="1536">
        <v>0.5</v>
      </c>
      <c r="BP48" s="1536">
        <v>0.5</v>
      </c>
      <c r="BQ48" s="1536">
        <v>0.5</v>
      </c>
      <c r="BR48" s="1536">
        <v>0.6</v>
      </c>
      <c r="BS48" s="1537">
        <v>0.5</v>
      </c>
      <c r="BT48" s="1536">
        <v>0.5</v>
      </c>
      <c r="BU48" s="1536">
        <v>0.5</v>
      </c>
      <c r="BV48" s="1538">
        <v>0.625</v>
      </c>
      <c r="BW48" s="1536">
        <v>0.625</v>
      </c>
      <c r="BX48" s="1536">
        <v>0.625</v>
      </c>
    </row>
    <row r="49" spans="1:77" ht="13.5" customHeight="1">
      <c r="B49" s="1521" t="str">
        <f t="shared" si="31"/>
        <v>4.1.1</v>
      </c>
      <c r="C49" s="1514" t="str">
        <f t="shared" si="32"/>
        <v xml:space="preserve"> 化学汚染物質</v>
      </c>
      <c r="D49" s="1621">
        <f t="shared" ref="D49:E52" si="55">IF(I$48&gt;0,G49/I$48,0)</f>
        <v>1</v>
      </c>
      <c r="E49" s="1591">
        <f t="shared" si="55"/>
        <v>0.5</v>
      </c>
      <c r="G49" s="1591">
        <f t="shared" si="36"/>
        <v>0.39306757754277488</v>
      </c>
      <c r="H49" s="1591">
        <f t="shared" si="36"/>
        <v>0.33333333333333331</v>
      </c>
      <c r="I49" s="1591"/>
      <c r="J49" s="1591"/>
      <c r="K49" s="1516">
        <f>IF(スコア表示!X49=0,0,1)</f>
        <v>1</v>
      </c>
      <c r="L49" s="1516">
        <f>IF(スコア表示!AB49=0,0,1)</f>
        <v>1</v>
      </c>
      <c r="N49" s="1608">
        <f t="shared" ref="N49:O52" si="56">IF(P$48&gt;0,R49/P$48,0)</f>
        <v>0.39306757754277488</v>
      </c>
      <c r="O49" s="1608">
        <f t="shared" si="56"/>
        <v>0.33333333333333331</v>
      </c>
      <c r="P49" s="1516"/>
      <c r="Q49" s="1516"/>
      <c r="R49" s="1516">
        <f>IF(スコア入力!R49="EB",重み_対象外!D49,U49)</f>
        <v>4.2277709985070459E-2</v>
      </c>
      <c r="S49" s="1516">
        <f>IF(スコア入力!Y49="EB",重み_対象外!E49,V49)</f>
        <v>9.0895250041470957E-5</v>
      </c>
      <c r="T49" s="1460"/>
      <c r="U49" s="1514">
        <f t="shared" ref="U49:V52" si="57">X$47*X$48*X49</f>
        <v>4.2277709985070459E-2</v>
      </c>
      <c r="V49" s="1514">
        <f t="shared" si="57"/>
        <v>9.0895250041470957E-5</v>
      </c>
      <c r="W49" s="1460"/>
      <c r="X49" s="1516">
        <f t="shared" si="18"/>
        <v>0.33681462140992169</v>
      </c>
      <c r="Y49" s="1516">
        <f t="shared" si="21"/>
        <v>6.9625761531766752E-3</v>
      </c>
      <c r="Z49" s="1471"/>
      <c r="AA49" s="1513" t="str">
        <f t="shared" si="37"/>
        <v>4.1.1</v>
      </c>
      <c r="AB49" s="1513" t="str">
        <f t="shared" si="38"/>
        <v xml:space="preserve"> Q1 4.1</v>
      </c>
      <c r="AC49" s="1513" t="str">
        <f t="shared" si="39"/>
        <v xml:space="preserve"> 化学汚染物質</v>
      </c>
      <c r="AD49" s="1659">
        <f t="shared" si="40"/>
        <v>0.33333333333333331</v>
      </c>
      <c r="AE49" s="1659">
        <f t="shared" si="41"/>
        <v>0.33333333333333331</v>
      </c>
      <c r="AF49" s="1659">
        <f t="shared" si="42"/>
        <v>0.33333333333333331</v>
      </c>
      <c r="AG49" s="1659">
        <f t="shared" si="43"/>
        <v>0.33333333333333331</v>
      </c>
      <c r="AH49" s="1659">
        <f t="shared" si="44"/>
        <v>0.33333333333333331</v>
      </c>
      <c r="AI49" s="1659">
        <f t="shared" si="45"/>
        <v>0.5</v>
      </c>
      <c r="AJ49" s="1659">
        <f t="shared" si="46"/>
        <v>0.5</v>
      </c>
      <c r="AK49" s="1661">
        <f t="shared" si="47"/>
        <v>0.33333333333333331</v>
      </c>
      <c r="AL49" s="1659">
        <f t="shared" si="48"/>
        <v>0.33333333333333331</v>
      </c>
      <c r="AM49" s="1659">
        <f t="shared" si="48"/>
        <v>0.33333333333333331</v>
      </c>
      <c r="AN49" s="1660">
        <f t="shared" si="49"/>
        <v>0.33333333333333331</v>
      </c>
      <c r="AO49" s="1659">
        <f t="shared" si="50"/>
        <v>0.33333333333333331</v>
      </c>
      <c r="AP49" s="1659">
        <f t="shared" si="51"/>
        <v>0.33333333333333331</v>
      </c>
      <c r="AQ49" s="1532"/>
      <c r="AR49" s="1547" t="s">
        <v>1346</v>
      </c>
      <c r="AS49" s="1593" t="s">
        <v>262</v>
      </c>
      <c r="AT49" s="1964" t="s">
        <v>263</v>
      </c>
      <c r="AU49" s="1536">
        <v>0.33333333333333331</v>
      </c>
      <c r="AV49" s="1536">
        <v>0.33333333333333331</v>
      </c>
      <c r="AW49" s="1536">
        <v>0.33333333333333331</v>
      </c>
      <c r="AX49" s="1536">
        <v>0.33333333333333331</v>
      </c>
      <c r="AY49" s="1536">
        <v>0.33333333333333331</v>
      </c>
      <c r="AZ49" s="1536">
        <v>0.5</v>
      </c>
      <c r="BA49" s="1536">
        <v>0.5</v>
      </c>
      <c r="BB49" s="1536">
        <v>0.33333333333333331</v>
      </c>
      <c r="BC49" s="1536">
        <v>0.33333333333333331</v>
      </c>
      <c r="BD49" s="1536">
        <v>0.33333333333333331</v>
      </c>
      <c r="BE49" s="1536">
        <v>0.33333333333333331</v>
      </c>
      <c r="BF49" s="1536">
        <v>0.33333333333333331</v>
      </c>
      <c r="BG49" s="1536">
        <v>0.33333333333333331</v>
      </c>
      <c r="BI49" s="1547" t="s">
        <v>1346</v>
      </c>
      <c r="BJ49" s="1593" t="s">
        <v>262</v>
      </c>
      <c r="BK49" s="1964" t="s">
        <v>263</v>
      </c>
      <c r="BL49" s="1536">
        <v>0.33333333333333331</v>
      </c>
      <c r="BM49" s="1536">
        <v>0.33333333333333331</v>
      </c>
      <c r="BN49" s="1536">
        <v>0.33333333333333331</v>
      </c>
      <c r="BO49" s="1536">
        <v>0.33333333333333331</v>
      </c>
      <c r="BP49" s="1536">
        <v>0.33333333333333331</v>
      </c>
      <c r="BQ49" s="1536">
        <v>0.5</v>
      </c>
      <c r="BR49" s="1536">
        <v>0.5</v>
      </c>
      <c r="BS49" s="1536">
        <v>0.33333333333333331</v>
      </c>
      <c r="BT49" s="1536">
        <v>0.33333333333333331</v>
      </c>
      <c r="BU49" s="1536">
        <v>0.33333333333333331</v>
      </c>
      <c r="BV49" s="1536">
        <v>0.33333333333333331</v>
      </c>
      <c r="BW49" s="1536">
        <v>0.33333333333333331</v>
      </c>
      <c r="BX49" s="1536">
        <v>0.33333333333333331</v>
      </c>
    </row>
    <row r="50" spans="1:77" ht="13.5" customHeight="1">
      <c r="B50" s="1521" t="str">
        <f t="shared" si="31"/>
        <v>4.1.2</v>
      </c>
      <c r="C50" s="1514" t="str">
        <f t="shared" si="32"/>
        <v xml:space="preserve"> アスベスト対策</v>
      </c>
      <c r="D50" s="1621">
        <f t="shared" si="55"/>
        <v>0</v>
      </c>
      <c r="E50" s="1591">
        <f t="shared" si="55"/>
        <v>0</v>
      </c>
      <c r="G50" s="1591">
        <f t="shared" si="36"/>
        <v>0</v>
      </c>
      <c r="H50" s="1591">
        <f t="shared" si="36"/>
        <v>0</v>
      </c>
      <c r="I50" s="1591"/>
      <c r="J50" s="1591"/>
      <c r="K50" s="1516">
        <f>IF(スコア表示!X50=0,0,1)</f>
        <v>1</v>
      </c>
      <c r="L50" s="1516">
        <f>IF(スコア表示!AB50=0,0,1)</f>
        <v>1</v>
      </c>
      <c r="N50" s="1608">
        <f t="shared" si="56"/>
        <v>0</v>
      </c>
      <c r="O50" s="1608">
        <f t="shared" si="56"/>
        <v>0</v>
      </c>
      <c r="P50" s="1516"/>
      <c r="Q50" s="1516"/>
      <c r="R50" s="1516">
        <f>IF(スコア入力!R50="EB",重み_対象外!D50,U50)</f>
        <v>0</v>
      </c>
      <c r="S50" s="1516">
        <f>IF(スコア入力!Y50="EB",重み_対象外!E50,V50)</f>
        <v>0</v>
      </c>
      <c r="T50" s="1460"/>
      <c r="U50" s="1514">
        <f t="shared" si="57"/>
        <v>0</v>
      </c>
      <c r="V50" s="1514">
        <f t="shared" si="57"/>
        <v>0</v>
      </c>
      <c r="W50" s="1460"/>
      <c r="X50" s="1516">
        <f t="shared" si="18"/>
        <v>0</v>
      </c>
      <c r="Y50" s="1516">
        <f t="shared" si="21"/>
        <v>0</v>
      </c>
      <c r="Z50" s="1471"/>
      <c r="AA50" s="1513" t="str">
        <f t="shared" si="37"/>
        <v>4.1.2</v>
      </c>
      <c r="AB50" s="1513" t="str">
        <f t="shared" si="38"/>
        <v xml:space="preserve"> Q1 4.1</v>
      </c>
      <c r="AC50" s="1513" t="str">
        <f t="shared" si="39"/>
        <v xml:space="preserve"> アスベスト対策</v>
      </c>
      <c r="AD50" s="1659">
        <f t="shared" si="40"/>
        <v>0</v>
      </c>
      <c r="AE50" s="1659">
        <f t="shared" si="41"/>
        <v>0</v>
      </c>
      <c r="AF50" s="1659">
        <f t="shared" si="42"/>
        <v>0</v>
      </c>
      <c r="AG50" s="1659">
        <f t="shared" si="43"/>
        <v>0</v>
      </c>
      <c r="AH50" s="1659">
        <f t="shared" si="44"/>
        <v>0</v>
      </c>
      <c r="AI50" s="1659">
        <f t="shared" si="45"/>
        <v>0</v>
      </c>
      <c r="AJ50" s="1659">
        <f t="shared" si="46"/>
        <v>0</v>
      </c>
      <c r="AK50" s="1661">
        <f t="shared" si="47"/>
        <v>0</v>
      </c>
      <c r="AL50" s="1659">
        <f t="shared" si="48"/>
        <v>0</v>
      </c>
      <c r="AM50" s="1659">
        <f t="shared" si="48"/>
        <v>0</v>
      </c>
      <c r="AN50" s="1660">
        <f t="shared" si="49"/>
        <v>0</v>
      </c>
      <c r="AO50" s="1659">
        <f t="shared" si="50"/>
        <v>0</v>
      </c>
      <c r="AP50" s="1659">
        <f t="shared" si="51"/>
        <v>0</v>
      </c>
      <c r="AQ50" s="1532"/>
      <c r="AR50" s="1967" t="s">
        <v>1347</v>
      </c>
      <c r="AS50" s="1969" t="s">
        <v>262</v>
      </c>
      <c r="AT50" s="1970" t="s">
        <v>1348</v>
      </c>
      <c r="AU50" s="1974"/>
      <c r="AV50" s="1974"/>
      <c r="AW50" s="1974"/>
      <c r="AX50" s="1974"/>
      <c r="AY50" s="1974"/>
      <c r="AZ50" s="1974"/>
      <c r="BA50" s="1974"/>
      <c r="BB50" s="1975"/>
      <c r="BC50" s="1974"/>
      <c r="BD50" s="1974"/>
      <c r="BE50" s="1976"/>
      <c r="BF50" s="1974"/>
      <c r="BG50" s="1974"/>
      <c r="BI50" s="1967" t="s">
        <v>1347</v>
      </c>
      <c r="BJ50" s="1969" t="s">
        <v>262</v>
      </c>
      <c r="BK50" s="1970" t="s">
        <v>1348</v>
      </c>
      <c r="BL50" s="1974"/>
      <c r="BM50" s="1974"/>
      <c r="BN50" s="1974"/>
      <c r="BO50" s="1974"/>
      <c r="BP50" s="1974"/>
      <c r="BQ50" s="1974"/>
      <c r="BR50" s="1974"/>
      <c r="BS50" s="1975"/>
      <c r="BT50" s="1974"/>
      <c r="BU50" s="1974"/>
      <c r="BV50" s="1976"/>
      <c r="BW50" s="1974"/>
      <c r="BX50" s="1974"/>
    </row>
    <row r="51" spans="1:77" ht="13.5" hidden="1" customHeight="1">
      <c r="B51" s="1549" t="str">
        <f t="shared" si="31"/>
        <v>4.1.3</v>
      </c>
      <c r="C51" s="1550" t="str">
        <f t="shared" si="32"/>
        <v xml:space="preserve"> ダニ・カビ等</v>
      </c>
      <c r="D51" s="1621">
        <f t="shared" si="55"/>
        <v>0</v>
      </c>
      <c r="E51" s="1591">
        <f t="shared" si="55"/>
        <v>0</v>
      </c>
      <c r="G51" s="1591">
        <f t="shared" si="36"/>
        <v>0</v>
      </c>
      <c r="H51" s="1591">
        <f t="shared" si="36"/>
        <v>0</v>
      </c>
      <c r="I51" s="1591"/>
      <c r="J51" s="1591"/>
      <c r="K51" s="1516">
        <f>IF(スコア表示!X51=0,0,1)</f>
        <v>0</v>
      </c>
      <c r="L51" s="1516">
        <f>IF(スコア表示!AB51=0,0,1)</f>
        <v>0</v>
      </c>
      <c r="N51" s="1608">
        <f t="shared" si="56"/>
        <v>0.30759287650956207</v>
      </c>
      <c r="O51" s="1608">
        <f t="shared" si="56"/>
        <v>0.33333333333333331</v>
      </c>
      <c r="P51" s="1516"/>
      <c r="Q51" s="1516"/>
      <c r="R51" s="1516">
        <f>IF(スコア入力!R51="EB",重み_対象外!D51,U51)</f>
        <v>3.3084190021064976E-2</v>
      </c>
      <c r="S51" s="1516">
        <f>IF(スコア入力!Y51="EB",重み_対象外!E51,V51)</f>
        <v>9.0895250041470957E-5</v>
      </c>
      <c r="T51" s="1460"/>
      <c r="U51" s="1514">
        <f t="shared" si="57"/>
        <v>4.2277709985070459E-2</v>
      </c>
      <c r="V51" s="1514">
        <f t="shared" si="57"/>
        <v>9.0895250041470957E-5</v>
      </c>
      <c r="W51" s="1460"/>
      <c r="X51" s="1516">
        <f t="shared" si="18"/>
        <v>0.33681462140992169</v>
      </c>
      <c r="Y51" s="1516">
        <f t="shared" si="21"/>
        <v>6.9625761531766752E-3</v>
      </c>
      <c r="Z51" s="1471"/>
      <c r="AA51" s="1513" t="str">
        <f t="shared" si="37"/>
        <v>4.1.3</v>
      </c>
      <c r="AB51" s="1513" t="str">
        <f t="shared" si="38"/>
        <v xml:space="preserve"> Q1 4.1</v>
      </c>
      <c r="AC51" s="1513" t="str">
        <f t="shared" si="39"/>
        <v xml:space="preserve"> ダニ・カビ等</v>
      </c>
      <c r="AD51" s="1659">
        <f t="shared" si="40"/>
        <v>0.33333333333333331</v>
      </c>
      <c r="AE51" s="1659">
        <f t="shared" si="41"/>
        <v>0.33333333333333331</v>
      </c>
      <c r="AF51" s="1659">
        <f t="shared" si="42"/>
        <v>0.33333333333333331</v>
      </c>
      <c r="AG51" s="1659">
        <f t="shared" si="43"/>
        <v>0.33333333333333331</v>
      </c>
      <c r="AH51" s="1659">
        <f t="shared" si="44"/>
        <v>0.33333333333333331</v>
      </c>
      <c r="AI51" s="1659">
        <f t="shared" si="45"/>
        <v>0.5</v>
      </c>
      <c r="AJ51" s="1659">
        <f t="shared" si="46"/>
        <v>0.5</v>
      </c>
      <c r="AK51" s="1661">
        <f t="shared" si="47"/>
        <v>0.33333333333333331</v>
      </c>
      <c r="AL51" s="1659">
        <f t="shared" si="48"/>
        <v>0.33333333333333331</v>
      </c>
      <c r="AM51" s="1659">
        <f t="shared" si="48"/>
        <v>0.33333333333333331</v>
      </c>
      <c r="AN51" s="1660">
        <f t="shared" si="49"/>
        <v>0.33333333333333331</v>
      </c>
      <c r="AO51" s="1659">
        <f t="shared" si="50"/>
        <v>0.33333333333333331</v>
      </c>
      <c r="AP51" s="1659">
        <f t="shared" si="51"/>
        <v>0.33333333333333331</v>
      </c>
      <c r="AQ51" s="1532"/>
      <c r="AR51" s="1547" t="s">
        <v>1349</v>
      </c>
      <c r="AS51" s="1593" t="s">
        <v>262</v>
      </c>
      <c r="AT51" s="1964" t="s">
        <v>845</v>
      </c>
      <c r="AU51" s="1536">
        <v>0.33333333333333331</v>
      </c>
      <c r="AV51" s="1536">
        <v>0.33333333333333331</v>
      </c>
      <c r="AW51" s="1536">
        <v>0.33333333333333331</v>
      </c>
      <c r="AX51" s="1536">
        <v>0.33333333333333331</v>
      </c>
      <c r="AY51" s="1536">
        <v>0.33333333333333331</v>
      </c>
      <c r="AZ51" s="1536">
        <v>0.5</v>
      </c>
      <c r="BA51" s="1536">
        <v>0.5</v>
      </c>
      <c r="BB51" s="1536">
        <v>0.33333333333333331</v>
      </c>
      <c r="BC51" s="1536">
        <v>0.33333333333333331</v>
      </c>
      <c r="BD51" s="1536">
        <v>0.33333333333333331</v>
      </c>
      <c r="BE51" s="1536">
        <v>0.33333333333333331</v>
      </c>
      <c r="BF51" s="1536">
        <v>0.33333333333333331</v>
      </c>
      <c r="BG51" s="1536">
        <v>0.33333333333333331</v>
      </c>
      <c r="BI51" s="1547" t="s">
        <v>1349</v>
      </c>
      <c r="BJ51" s="1593" t="s">
        <v>262</v>
      </c>
      <c r="BK51" s="1964" t="s">
        <v>845</v>
      </c>
      <c r="BL51" s="1536">
        <v>0.33333333333333331</v>
      </c>
      <c r="BM51" s="1536">
        <v>0.33333333333333331</v>
      </c>
      <c r="BN51" s="1536">
        <v>0.33333333333333331</v>
      </c>
      <c r="BO51" s="1536">
        <v>0.33333333333333331</v>
      </c>
      <c r="BP51" s="1536">
        <v>0.33333333333333331</v>
      </c>
      <c r="BQ51" s="1536">
        <v>0.5</v>
      </c>
      <c r="BR51" s="1536">
        <v>0.5</v>
      </c>
      <c r="BS51" s="1536">
        <v>0.33333333333333331</v>
      </c>
      <c r="BT51" s="1536">
        <v>0.33333333333333331</v>
      </c>
      <c r="BU51" s="1536">
        <v>0.33333333333333331</v>
      </c>
      <c r="BV51" s="1536">
        <v>0.33333333333333331</v>
      </c>
      <c r="BW51" s="1536">
        <v>0.33333333333333331</v>
      </c>
      <c r="BX51" s="1536">
        <v>0.33333333333333331</v>
      </c>
    </row>
    <row r="52" spans="1:77" ht="13.5" hidden="1" customHeight="1">
      <c r="B52" s="1549" t="str">
        <f t="shared" si="31"/>
        <v>4.1.4</v>
      </c>
      <c r="C52" s="1550" t="str">
        <f t="shared" si="32"/>
        <v xml:space="preserve"> レジオネラ対策</v>
      </c>
      <c r="D52" s="1621">
        <f t="shared" si="55"/>
        <v>0</v>
      </c>
      <c r="E52" s="1591">
        <f t="shared" si="55"/>
        <v>0.5</v>
      </c>
      <c r="G52" s="1591">
        <f t="shared" si="36"/>
        <v>0</v>
      </c>
      <c r="H52" s="1591">
        <f t="shared" si="36"/>
        <v>0.33333333333333331</v>
      </c>
      <c r="I52" s="1591"/>
      <c r="J52" s="1591"/>
      <c r="K52" s="1516">
        <f>IF(スコア表示!X52=0,0,1)</f>
        <v>0</v>
      </c>
      <c r="L52" s="1516">
        <f>IF(スコア表示!AB52=0,0,1)</f>
        <v>1</v>
      </c>
      <c r="N52" s="1608">
        <f t="shared" si="56"/>
        <v>0.29933954594766304</v>
      </c>
      <c r="O52" s="1608">
        <f t="shared" si="56"/>
        <v>0.33333333333333331</v>
      </c>
      <c r="P52" s="1516"/>
      <c r="Q52" s="1516"/>
      <c r="R52" s="1516">
        <f>IF(スコア入力!R52="EB",重み_対象外!D52,U52)</f>
        <v>3.2196475195822458E-2</v>
      </c>
      <c r="S52" s="1516">
        <f>IF(スコア入力!Y52="EB",重み_対象外!E52,V52)</f>
        <v>9.0895250041470957E-5</v>
      </c>
      <c r="T52" s="1460"/>
      <c r="U52" s="1514">
        <f t="shared" si="57"/>
        <v>4.0966773241347343E-2</v>
      </c>
      <c r="V52" s="1514">
        <f t="shared" si="57"/>
        <v>9.0895250041470957E-5</v>
      </c>
      <c r="W52" s="1460"/>
      <c r="X52" s="1516">
        <f t="shared" si="18"/>
        <v>0.32637075718015668</v>
      </c>
      <c r="Y52" s="1516">
        <f t="shared" si="21"/>
        <v>6.9625761531766752E-3</v>
      </c>
      <c r="Z52" s="1471"/>
      <c r="AA52" s="1513" t="str">
        <f t="shared" si="37"/>
        <v>4.1.4</v>
      </c>
      <c r="AB52" s="1513" t="str">
        <f t="shared" si="38"/>
        <v xml:space="preserve"> Q1 4.1</v>
      </c>
      <c r="AC52" s="1513" t="str">
        <f t="shared" si="39"/>
        <v xml:space="preserve"> レジオネラ対策</v>
      </c>
      <c r="AD52" s="1659">
        <f t="shared" si="40"/>
        <v>0.33333333333333331</v>
      </c>
      <c r="AE52" s="1659">
        <f t="shared" si="41"/>
        <v>0.33333333333333331</v>
      </c>
      <c r="AF52" s="1659">
        <f t="shared" si="42"/>
        <v>0.33333333333333331</v>
      </c>
      <c r="AG52" s="1659">
        <f t="shared" si="43"/>
        <v>0.33333333333333331</v>
      </c>
      <c r="AH52" s="1659">
        <f t="shared" si="44"/>
        <v>0.33333333333333331</v>
      </c>
      <c r="AI52" s="1659">
        <f t="shared" si="45"/>
        <v>0</v>
      </c>
      <c r="AJ52" s="1659">
        <f t="shared" si="46"/>
        <v>0</v>
      </c>
      <c r="AK52" s="1661">
        <f t="shared" si="47"/>
        <v>0.33333333333333331</v>
      </c>
      <c r="AL52" s="1659">
        <f t="shared" si="48"/>
        <v>0.33333333333333331</v>
      </c>
      <c r="AM52" s="1659">
        <f t="shared" si="48"/>
        <v>0.33333333333333331</v>
      </c>
      <c r="AN52" s="1660">
        <f t="shared" si="49"/>
        <v>0.33333333333333331</v>
      </c>
      <c r="AO52" s="1659">
        <f t="shared" si="50"/>
        <v>0.33333333333333331</v>
      </c>
      <c r="AP52" s="1659">
        <f t="shared" si="51"/>
        <v>0.33333333333333331</v>
      </c>
      <c r="AQ52" s="1532"/>
      <c r="AR52" s="1547" t="s">
        <v>1350</v>
      </c>
      <c r="AS52" s="1593" t="s">
        <v>262</v>
      </c>
      <c r="AT52" s="1964" t="s">
        <v>265</v>
      </c>
      <c r="AU52" s="1536">
        <v>0.33333333333333331</v>
      </c>
      <c r="AV52" s="1536">
        <v>0.33333333333333331</v>
      </c>
      <c r="AW52" s="1536">
        <v>0.33333333333333331</v>
      </c>
      <c r="AX52" s="1536">
        <v>0.33333333333333331</v>
      </c>
      <c r="AY52" s="1536">
        <v>0.33333333333333331</v>
      </c>
      <c r="AZ52" s="1536"/>
      <c r="BA52" s="1536"/>
      <c r="BB52" s="1536">
        <v>0.33333333333333331</v>
      </c>
      <c r="BC52" s="1536">
        <v>0.33333333333333331</v>
      </c>
      <c r="BD52" s="1536">
        <v>0.33333333333333331</v>
      </c>
      <c r="BE52" s="1536">
        <v>0.33333333333333331</v>
      </c>
      <c r="BF52" s="1536">
        <v>0.33333333333333331</v>
      </c>
      <c r="BG52" s="1536">
        <v>0.33333333333333331</v>
      </c>
      <c r="BI52" s="1547" t="s">
        <v>1350</v>
      </c>
      <c r="BJ52" s="1593" t="s">
        <v>262</v>
      </c>
      <c r="BK52" s="1964" t="s">
        <v>265</v>
      </c>
      <c r="BL52" s="1536">
        <v>0.33333333333333331</v>
      </c>
      <c r="BM52" s="1536">
        <v>0.33333333333333331</v>
      </c>
      <c r="BN52" s="1536">
        <v>0.33333333333333331</v>
      </c>
      <c r="BO52" s="1536">
        <v>0.33333333333333331</v>
      </c>
      <c r="BP52" s="1536">
        <v>0.33333333333333331</v>
      </c>
      <c r="BQ52" s="1536"/>
      <c r="BR52" s="1536"/>
      <c r="BS52" s="1536">
        <v>0.33333333333333331</v>
      </c>
      <c r="BT52" s="1536">
        <v>0.33333333333333331</v>
      </c>
      <c r="BU52" s="1536">
        <v>0.33333333333333331</v>
      </c>
      <c r="BV52" s="1536">
        <v>0.33333333333333331</v>
      </c>
      <c r="BW52" s="1536">
        <v>0.33333333333333331</v>
      </c>
      <c r="BX52" s="1536">
        <v>0.33333333333333331</v>
      </c>
    </row>
    <row r="53" spans="1:77" ht="13.5" customHeight="1">
      <c r="B53" s="1521">
        <f t="shared" si="31"/>
        <v>4.2</v>
      </c>
      <c r="C53" s="1530" t="str">
        <f t="shared" si="32"/>
        <v>換気</v>
      </c>
      <c r="D53" s="1616">
        <f>IF(I$47=0,0,G53/I$47)</f>
        <v>0.32985639242903286</v>
      </c>
      <c r="E53" s="1591">
        <f>IF(J$47=0,0,H53/J$47)</f>
        <v>0.375</v>
      </c>
      <c r="G53" s="1591">
        <f t="shared" si="36"/>
        <v>0.32985639242903281</v>
      </c>
      <c r="H53" s="1591">
        <f t="shared" si="36"/>
        <v>0.37499999999999994</v>
      </c>
      <c r="I53" s="1591">
        <f>SUM(G54:G57)</f>
        <v>0.74522212417918898</v>
      </c>
      <c r="J53" s="1591">
        <f>SUM(H54:H57)</f>
        <v>0.75</v>
      </c>
      <c r="K53" s="1516">
        <f>IF(スコア表示!X53=0,0,1)</f>
        <v>1</v>
      </c>
      <c r="L53" s="1516">
        <f>IF(スコア表示!AB53=0,0,1)</f>
        <v>1</v>
      </c>
      <c r="N53" s="1613">
        <f>IF(P$47=0,0,P53/P$47)</f>
        <v>0.32985639242903281</v>
      </c>
      <c r="O53" s="1613">
        <f>IF(Q$47=0,0,Q53/Q$47)</f>
        <v>0.37499999999999994</v>
      </c>
      <c r="P53" s="1516">
        <f>SUM(R54:R57)</f>
        <v>7.6535592307534997E-2</v>
      </c>
      <c r="Q53" s="1516">
        <f>SUM(S54:S57)</f>
        <v>1.6361145007464775E-4</v>
      </c>
      <c r="R53" s="1516">
        <f>IF(スコア入力!R53="EB",重み_対象外!D53,U53)</f>
        <v>0</v>
      </c>
      <c r="S53" s="1516">
        <f>IF(スコア入力!Y53="EB",重み_対象外!E53,V53)</f>
        <v>0</v>
      </c>
      <c r="T53" s="1460"/>
      <c r="U53" s="1530"/>
      <c r="V53" s="1530"/>
      <c r="W53" s="1460"/>
      <c r="X53" s="1516">
        <f t="shared" si="18"/>
        <v>0.30208877284595304</v>
      </c>
      <c r="Y53" s="1516">
        <f t="shared" si="21"/>
        <v>7.8328981723237608E-3</v>
      </c>
      <c r="Z53" s="1471"/>
      <c r="AA53" s="1513">
        <f t="shared" si="37"/>
        <v>4.2</v>
      </c>
      <c r="AB53" s="1513" t="str">
        <f t="shared" si="38"/>
        <v xml:space="preserve"> Q1 4</v>
      </c>
      <c r="AC53" s="1513" t="str">
        <f t="shared" si="39"/>
        <v>換気</v>
      </c>
      <c r="AD53" s="1659">
        <f t="shared" si="40"/>
        <v>0.3</v>
      </c>
      <c r="AE53" s="1659">
        <f t="shared" si="41"/>
        <v>0.3</v>
      </c>
      <c r="AF53" s="1659">
        <f t="shared" si="42"/>
        <v>0.3</v>
      </c>
      <c r="AG53" s="1659">
        <f t="shared" si="43"/>
        <v>0.3</v>
      </c>
      <c r="AH53" s="1659">
        <f t="shared" si="44"/>
        <v>0.3</v>
      </c>
      <c r="AI53" s="1659">
        <f t="shared" si="45"/>
        <v>0.3</v>
      </c>
      <c r="AJ53" s="1659">
        <f t="shared" si="46"/>
        <v>0.4</v>
      </c>
      <c r="AK53" s="1661">
        <f t="shared" si="47"/>
        <v>0.3</v>
      </c>
      <c r="AL53" s="1659">
        <f t="shared" si="48"/>
        <v>0.3</v>
      </c>
      <c r="AM53" s="1659">
        <f t="shared" si="48"/>
        <v>0.3</v>
      </c>
      <c r="AN53" s="1660">
        <f t="shared" si="49"/>
        <v>0.375</v>
      </c>
      <c r="AO53" s="1659">
        <f t="shared" si="50"/>
        <v>0.375</v>
      </c>
      <c r="AP53" s="1659">
        <f t="shared" si="51"/>
        <v>0.375</v>
      </c>
      <c r="AQ53" s="1520"/>
      <c r="AR53" s="1547">
        <v>4.2</v>
      </c>
      <c r="AS53" s="1593" t="s">
        <v>261</v>
      </c>
      <c r="AT53" s="1637" t="s">
        <v>600</v>
      </c>
      <c r="AU53" s="1536">
        <v>0.3</v>
      </c>
      <c r="AV53" s="1536">
        <v>0.3</v>
      </c>
      <c r="AW53" s="1536">
        <v>0.3</v>
      </c>
      <c r="AX53" s="1536">
        <v>0.3</v>
      </c>
      <c r="AY53" s="1536">
        <v>0.3</v>
      </c>
      <c r="AZ53" s="1536">
        <v>0.3</v>
      </c>
      <c r="BA53" s="1536">
        <v>0.4</v>
      </c>
      <c r="BB53" s="1537">
        <v>0.3</v>
      </c>
      <c r="BC53" s="1536">
        <v>0.3</v>
      </c>
      <c r="BD53" s="1536">
        <v>0.3</v>
      </c>
      <c r="BE53" s="1538">
        <v>0.375</v>
      </c>
      <c r="BF53" s="1536">
        <v>0.375</v>
      </c>
      <c r="BG53" s="1536">
        <v>0.375</v>
      </c>
      <c r="BI53" s="1547">
        <v>4.2</v>
      </c>
      <c r="BJ53" s="1593" t="s">
        <v>261</v>
      </c>
      <c r="BK53" s="1637" t="s">
        <v>600</v>
      </c>
      <c r="BL53" s="1536">
        <v>0.3</v>
      </c>
      <c r="BM53" s="1536">
        <v>0.3</v>
      </c>
      <c r="BN53" s="1536">
        <v>0.3</v>
      </c>
      <c r="BO53" s="1536">
        <v>0.3</v>
      </c>
      <c r="BP53" s="1536">
        <v>0.3</v>
      </c>
      <c r="BQ53" s="1536">
        <v>0.3</v>
      </c>
      <c r="BR53" s="1536">
        <v>0.4</v>
      </c>
      <c r="BS53" s="1537">
        <v>0.3</v>
      </c>
      <c r="BT53" s="1536">
        <v>0.3</v>
      </c>
      <c r="BU53" s="1536">
        <v>0.3</v>
      </c>
      <c r="BV53" s="1538">
        <v>0.375</v>
      </c>
      <c r="BW53" s="1536">
        <v>0.375</v>
      </c>
      <c r="BX53" s="1536">
        <v>0.375</v>
      </c>
    </row>
    <row r="54" spans="1:77" ht="13.5" customHeight="1">
      <c r="B54" s="1521" t="str">
        <f t="shared" si="31"/>
        <v>4.2.1</v>
      </c>
      <c r="C54" s="1514" t="str">
        <f t="shared" si="32"/>
        <v>換気量</v>
      </c>
      <c r="D54" s="1621">
        <f t="shared" ref="D54:E57" si="58">IF(I$53&gt;0,G54/I$53,0)</f>
        <v>0.33794295592048401</v>
      </c>
      <c r="E54" s="1591">
        <f t="shared" si="58"/>
        <v>0.33333333333333331</v>
      </c>
      <c r="G54" s="1591">
        <f t="shared" si="36"/>
        <v>0.25184256746245715</v>
      </c>
      <c r="H54" s="1591">
        <f t="shared" si="36"/>
        <v>0.25</v>
      </c>
      <c r="I54" s="1591"/>
      <c r="J54" s="1591"/>
      <c r="K54" s="1516">
        <f>IF(スコア表示!X54=0,0,1)</f>
        <v>1</v>
      </c>
      <c r="L54" s="1516">
        <f>IF(スコア表示!AB54=0,0,1)</f>
        <v>1</v>
      </c>
      <c r="N54" s="1608">
        <f t="shared" ref="N54:O57" si="59">IF(P$53&gt;0,R54/P$53,0)</f>
        <v>0.25184256746245715</v>
      </c>
      <c r="O54" s="1608">
        <f t="shared" si="59"/>
        <v>0.25</v>
      </c>
      <c r="P54" s="1516"/>
      <c r="Q54" s="1516"/>
      <c r="R54" s="1516">
        <f>IF(スコア入力!R54="EB",重み_対象外!D54,U54)</f>
        <v>1.9274920068989499E-2</v>
      </c>
      <c r="S54" s="1516">
        <f>IF(スコア入力!Y54="EB",重み_対象外!E54,V54)</f>
        <v>4.0902862518661937E-5</v>
      </c>
      <c r="T54" s="1460"/>
      <c r="U54" s="1514">
        <f t="shared" ref="U54:V57" si="60">X$47*X$53*X54</f>
        <v>1.9274920068989499E-2</v>
      </c>
      <c r="V54" s="1514">
        <f t="shared" si="60"/>
        <v>4.0902862518661937E-5</v>
      </c>
      <c r="W54" s="1460"/>
      <c r="X54" s="1516">
        <f t="shared" si="18"/>
        <v>0.25522193211488253</v>
      </c>
      <c r="Y54" s="1516">
        <f t="shared" si="21"/>
        <v>5.2219321148825066E-3</v>
      </c>
      <c r="Z54" s="1471"/>
      <c r="AA54" s="1513" t="str">
        <f t="shared" si="37"/>
        <v>4.2.1</v>
      </c>
      <c r="AB54" s="1513" t="str">
        <f t="shared" si="38"/>
        <v xml:space="preserve"> Q1 4.2</v>
      </c>
      <c r="AC54" s="1513" t="str">
        <f t="shared" si="39"/>
        <v>換気量</v>
      </c>
      <c r="AD54" s="1659">
        <f t="shared" si="40"/>
        <v>0.25</v>
      </c>
      <c r="AE54" s="1659">
        <f t="shared" si="41"/>
        <v>0.25</v>
      </c>
      <c r="AF54" s="1659">
        <f t="shared" si="42"/>
        <v>0.33333333333333331</v>
      </c>
      <c r="AG54" s="1659">
        <f t="shared" si="43"/>
        <v>0.33333333333333331</v>
      </c>
      <c r="AH54" s="1659">
        <f t="shared" si="44"/>
        <v>0.33333333333333331</v>
      </c>
      <c r="AI54" s="1659">
        <f t="shared" si="45"/>
        <v>0.33333333333333331</v>
      </c>
      <c r="AJ54" s="1659">
        <f t="shared" si="46"/>
        <v>0.5</v>
      </c>
      <c r="AK54" s="1661">
        <f t="shared" si="47"/>
        <v>0.33333333333333331</v>
      </c>
      <c r="AL54" s="1659">
        <f t="shared" si="48"/>
        <v>0.25</v>
      </c>
      <c r="AM54" s="1659">
        <f t="shared" si="48"/>
        <v>0.25</v>
      </c>
      <c r="AN54" s="1660">
        <f t="shared" si="49"/>
        <v>0.25</v>
      </c>
      <c r="AO54" s="1659">
        <f t="shared" si="50"/>
        <v>0.25</v>
      </c>
      <c r="AP54" s="1659">
        <f t="shared" si="51"/>
        <v>0.25</v>
      </c>
      <c r="AQ54" s="1532"/>
      <c r="AR54" s="1547" t="s">
        <v>1351</v>
      </c>
      <c r="AS54" s="1593" t="s">
        <v>266</v>
      </c>
      <c r="AT54" s="1964" t="s">
        <v>267</v>
      </c>
      <c r="AU54" s="1536">
        <v>0.25</v>
      </c>
      <c r="AV54" s="1536">
        <v>0.25</v>
      </c>
      <c r="AW54" s="1536">
        <v>0.33333333333333331</v>
      </c>
      <c r="AX54" s="1536">
        <v>0.33333333333333331</v>
      </c>
      <c r="AY54" s="1536">
        <v>0.33333333333333331</v>
      </c>
      <c r="AZ54" s="1536">
        <v>0.33333333333333331</v>
      </c>
      <c r="BA54" s="1536">
        <v>0.5</v>
      </c>
      <c r="BB54" s="1536">
        <v>0.33333333333333331</v>
      </c>
      <c r="BC54" s="1536">
        <v>0.25</v>
      </c>
      <c r="BD54" s="1536">
        <v>0.25</v>
      </c>
      <c r="BE54" s="1538">
        <v>0.25</v>
      </c>
      <c r="BF54" s="1536">
        <v>0.25</v>
      </c>
      <c r="BG54" s="1536">
        <v>0.25</v>
      </c>
      <c r="BI54" s="1547" t="s">
        <v>1351</v>
      </c>
      <c r="BJ54" s="1593" t="s">
        <v>266</v>
      </c>
      <c r="BK54" s="1964" t="s">
        <v>267</v>
      </c>
      <c r="BL54" s="1536">
        <v>0.25</v>
      </c>
      <c r="BM54" s="1536">
        <v>0.25</v>
      </c>
      <c r="BN54" s="1536">
        <v>0.33333333333333331</v>
      </c>
      <c r="BO54" s="1536">
        <v>0.33333333333333331</v>
      </c>
      <c r="BP54" s="1536">
        <v>0.33333333333333331</v>
      </c>
      <c r="BQ54" s="1536">
        <v>0.33333333333333331</v>
      </c>
      <c r="BR54" s="1536">
        <v>0.5</v>
      </c>
      <c r="BS54" s="1536">
        <v>0.33333333333333331</v>
      </c>
      <c r="BT54" s="1536">
        <v>0.25</v>
      </c>
      <c r="BU54" s="1536">
        <v>0.25</v>
      </c>
      <c r="BV54" s="1538">
        <v>0.25</v>
      </c>
      <c r="BW54" s="1536">
        <v>0.25</v>
      </c>
      <c r="BX54" s="1536">
        <v>0.25</v>
      </c>
    </row>
    <row r="55" spans="1:77" ht="13.5" customHeight="1">
      <c r="B55" s="1521" t="str">
        <f t="shared" si="31"/>
        <v>4.2.2</v>
      </c>
      <c r="C55" s="1514" t="str">
        <f t="shared" si="32"/>
        <v>自然換気性能</v>
      </c>
      <c r="D55" s="1621">
        <f t="shared" si="58"/>
        <v>0.32411408815903198</v>
      </c>
      <c r="E55" s="1591">
        <f t="shared" si="58"/>
        <v>0.33333333333333331</v>
      </c>
      <c r="G55" s="1591">
        <f t="shared" si="36"/>
        <v>0.24153698925427475</v>
      </c>
      <c r="H55" s="1591">
        <f t="shared" si="36"/>
        <v>0.25</v>
      </c>
      <c r="I55" s="1591"/>
      <c r="J55" s="1591"/>
      <c r="K55" s="1516">
        <f>IF(スコア表示!X55=0,0,1)</f>
        <v>1</v>
      </c>
      <c r="L55" s="1516">
        <f>IF(スコア表示!AB55=0,0,1)</f>
        <v>1</v>
      </c>
      <c r="N55" s="1608">
        <f t="shared" si="59"/>
        <v>0.24153698925427475</v>
      </c>
      <c r="O55" s="1608">
        <f t="shared" si="59"/>
        <v>0.25</v>
      </c>
      <c r="P55" s="1516"/>
      <c r="Q55" s="1516"/>
      <c r="R55" s="1516">
        <f>IF(スコア入力!R55="EB",重み_対象外!D55,U55)</f>
        <v>1.8486176536754634E-2</v>
      </c>
      <c r="S55" s="1516">
        <f>IF(スコア入力!Y55="EB",重み_対象外!E55,V55)</f>
        <v>4.0902862518661937E-5</v>
      </c>
      <c r="T55" s="1460"/>
      <c r="U55" s="1514">
        <f t="shared" si="60"/>
        <v>1.8486176536754634E-2</v>
      </c>
      <c r="V55" s="1514">
        <f t="shared" si="60"/>
        <v>4.0902862518661937E-5</v>
      </c>
      <c r="W55" s="1460"/>
      <c r="X55" s="1516">
        <f t="shared" si="18"/>
        <v>0.24477806788511752</v>
      </c>
      <c r="Y55" s="1516">
        <f t="shared" si="21"/>
        <v>5.2219321148825066E-3</v>
      </c>
      <c r="Z55" s="1471"/>
      <c r="AA55" s="1513" t="str">
        <f t="shared" si="37"/>
        <v>4.2.2</v>
      </c>
      <c r="AB55" s="1513" t="str">
        <f t="shared" si="38"/>
        <v xml:space="preserve"> Q1 4.2</v>
      </c>
      <c r="AC55" s="1513" t="str">
        <f t="shared" si="39"/>
        <v>自然換気性能</v>
      </c>
      <c r="AD55" s="1659">
        <f t="shared" si="40"/>
        <v>0.25</v>
      </c>
      <c r="AE55" s="1659">
        <f t="shared" si="41"/>
        <v>0.25</v>
      </c>
      <c r="AF55" s="1659">
        <f t="shared" si="42"/>
        <v>0</v>
      </c>
      <c r="AG55" s="1659">
        <f t="shared" si="43"/>
        <v>0</v>
      </c>
      <c r="AH55" s="1659">
        <f t="shared" si="44"/>
        <v>0</v>
      </c>
      <c r="AI55" s="1659">
        <f t="shared" si="45"/>
        <v>0</v>
      </c>
      <c r="AJ55" s="1659">
        <f t="shared" si="46"/>
        <v>0</v>
      </c>
      <c r="AK55" s="1661">
        <f t="shared" si="47"/>
        <v>0</v>
      </c>
      <c r="AL55" s="1659">
        <f t="shared" si="48"/>
        <v>0.25</v>
      </c>
      <c r="AM55" s="1659">
        <f t="shared" si="48"/>
        <v>0.25</v>
      </c>
      <c r="AN55" s="1660">
        <f t="shared" si="49"/>
        <v>0.25</v>
      </c>
      <c r="AO55" s="1659">
        <f t="shared" si="50"/>
        <v>0.25</v>
      </c>
      <c r="AP55" s="1659">
        <f t="shared" si="51"/>
        <v>0.25</v>
      </c>
      <c r="AQ55" s="1532"/>
      <c r="AR55" s="1547" t="s">
        <v>1353</v>
      </c>
      <c r="AS55" s="1593" t="s">
        <v>266</v>
      </c>
      <c r="AT55" s="1964" t="s">
        <v>268</v>
      </c>
      <c r="AU55" s="1536">
        <v>0.25</v>
      </c>
      <c r="AV55" s="1536">
        <v>0.25</v>
      </c>
      <c r="AW55" s="1536"/>
      <c r="AX55" s="1536"/>
      <c r="AY55" s="1536"/>
      <c r="AZ55" s="1536"/>
      <c r="BA55" s="1536"/>
      <c r="BB55" s="1537"/>
      <c r="BC55" s="1536">
        <v>0.25</v>
      </c>
      <c r="BD55" s="1536">
        <v>0.25</v>
      </c>
      <c r="BE55" s="1538">
        <v>0.25</v>
      </c>
      <c r="BF55" s="1536">
        <v>0.25</v>
      </c>
      <c r="BG55" s="1536">
        <v>0.25</v>
      </c>
      <c r="BI55" s="1547" t="s">
        <v>1353</v>
      </c>
      <c r="BJ55" s="1593" t="s">
        <v>266</v>
      </c>
      <c r="BK55" s="1964" t="s">
        <v>268</v>
      </c>
      <c r="BL55" s="1536">
        <v>0.25</v>
      </c>
      <c r="BM55" s="1536">
        <v>0.25</v>
      </c>
      <c r="BN55" s="1536"/>
      <c r="BO55" s="1536"/>
      <c r="BP55" s="1536"/>
      <c r="BQ55" s="1536"/>
      <c r="BR55" s="1536"/>
      <c r="BS55" s="1537"/>
      <c r="BT55" s="1536">
        <v>0.25</v>
      </c>
      <c r="BU55" s="1536">
        <v>0.25</v>
      </c>
      <c r="BV55" s="1538">
        <v>0.25</v>
      </c>
      <c r="BW55" s="1536">
        <v>0.25</v>
      </c>
      <c r="BX55" s="1536">
        <v>0.25</v>
      </c>
    </row>
    <row r="56" spans="1:77" ht="13.5" customHeight="1">
      <c r="B56" s="1521" t="str">
        <f t="shared" si="31"/>
        <v>4.2.3</v>
      </c>
      <c r="C56" s="1514" t="str">
        <f t="shared" si="32"/>
        <v>取り入れ外気への配慮</v>
      </c>
      <c r="D56" s="1621">
        <f t="shared" si="58"/>
        <v>0.33794295592048401</v>
      </c>
      <c r="E56" s="1591">
        <f t="shared" si="58"/>
        <v>0.33333333333333331</v>
      </c>
      <c r="G56" s="1591">
        <f t="shared" si="36"/>
        <v>0.25184256746245715</v>
      </c>
      <c r="H56" s="1591">
        <f t="shared" si="36"/>
        <v>0.25</v>
      </c>
      <c r="I56" s="1591"/>
      <c r="J56" s="1591"/>
      <c r="K56" s="1516">
        <f>IF(スコア表示!X56=0,0,1)</f>
        <v>1</v>
      </c>
      <c r="L56" s="1516">
        <f>IF(スコア表示!AB56=0,0,1)</f>
        <v>1</v>
      </c>
      <c r="N56" s="1608">
        <f t="shared" si="59"/>
        <v>0.25184256746245715</v>
      </c>
      <c r="O56" s="1608">
        <f t="shared" si="59"/>
        <v>0.25</v>
      </c>
      <c r="P56" s="1516"/>
      <c r="Q56" s="1516"/>
      <c r="R56" s="1516">
        <f>IF(スコア入力!R56="EB",重み_対象外!D56,U56)</f>
        <v>1.9274920068989499E-2</v>
      </c>
      <c r="S56" s="1516">
        <f>IF(スコア入力!Y56="EB",重み_対象外!E56,V56)</f>
        <v>4.0902862518661937E-5</v>
      </c>
      <c r="T56" s="1460"/>
      <c r="U56" s="1514">
        <f t="shared" si="60"/>
        <v>1.9274920068989499E-2</v>
      </c>
      <c r="V56" s="1514">
        <f t="shared" si="60"/>
        <v>4.0902862518661937E-5</v>
      </c>
      <c r="W56" s="1460"/>
      <c r="X56" s="1516">
        <f t="shared" si="18"/>
        <v>0.25522193211488253</v>
      </c>
      <c r="Y56" s="1516">
        <f t="shared" si="21"/>
        <v>5.2219321148825066E-3</v>
      </c>
      <c r="Z56" s="1471"/>
      <c r="AA56" s="1513" t="str">
        <f t="shared" si="37"/>
        <v>4.2.3</v>
      </c>
      <c r="AB56" s="1513" t="str">
        <f t="shared" si="38"/>
        <v xml:space="preserve"> Q1 4.2</v>
      </c>
      <c r="AC56" s="1513" t="str">
        <f t="shared" si="39"/>
        <v>取り入れ外気への配慮</v>
      </c>
      <c r="AD56" s="1659">
        <f t="shared" si="40"/>
        <v>0.25</v>
      </c>
      <c r="AE56" s="1659">
        <f t="shared" si="41"/>
        <v>0.25</v>
      </c>
      <c r="AF56" s="1659">
        <f t="shared" si="42"/>
        <v>0.33333333333333331</v>
      </c>
      <c r="AG56" s="1659">
        <f t="shared" si="43"/>
        <v>0.33333333333333331</v>
      </c>
      <c r="AH56" s="1659">
        <f t="shared" si="44"/>
        <v>0.33333333333333331</v>
      </c>
      <c r="AI56" s="1659">
        <f t="shared" si="45"/>
        <v>0.33333333333333331</v>
      </c>
      <c r="AJ56" s="1659">
        <f t="shared" si="46"/>
        <v>0.5</v>
      </c>
      <c r="AK56" s="1661">
        <f t="shared" si="47"/>
        <v>0.33333333333333331</v>
      </c>
      <c r="AL56" s="1659">
        <f t="shared" si="48"/>
        <v>0.25</v>
      </c>
      <c r="AM56" s="1659">
        <f t="shared" si="48"/>
        <v>0.25</v>
      </c>
      <c r="AN56" s="1660">
        <f t="shared" si="49"/>
        <v>0.25</v>
      </c>
      <c r="AO56" s="1659">
        <f t="shared" si="50"/>
        <v>0.25</v>
      </c>
      <c r="AP56" s="1659">
        <f t="shared" si="51"/>
        <v>0.25</v>
      </c>
      <c r="AQ56" s="1532"/>
      <c r="AR56" s="1547" t="s">
        <v>1354</v>
      </c>
      <c r="AS56" s="1593" t="s">
        <v>266</v>
      </c>
      <c r="AT56" s="1964" t="s">
        <v>269</v>
      </c>
      <c r="AU56" s="1536">
        <v>0.25</v>
      </c>
      <c r="AV56" s="1536">
        <v>0.25</v>
      </c>
      <c r="AW56" s="1536">
        <v>0.33333333333333331</v>
      </c>
      <c r="AX56" s="1536">
        <v>0.33333333333333331</v>
      </c>
      <c r="AY56" s="1536">
        <v>0.33333333333333331</v>
      </c>
      <c r="AZ56" s="1536">
        <v>0.33333333333333331</v>
      </c>
      <c r="BA56" s="1536">
        <v>0.5</v>
      </c>
      <c r="BB56" s="1536">
        <v>0.33333333333333331</v>
      </c>
      <c r="BC56" s="1536">
        <v>0.25</v>
      </c>
      <c r="BD56" s="1536">
        <v>0.25</v>
      </c>
      <c r="BE56" s="1538">
        <v>0.25</v>
      </c>
      <c r="BF56" s="1536">
        <v>0.25</v>
      </c>
      <c r="BG56" s="1536">
        <v>0.25</v>
      </c>
      <c r="BI56" s="1547" t="s">
        <v>1354</v>
      </c>
      <c r="BJ56" s="1593" t="s">
        <v>266</v>
      </c>
      <c r="BK56" s="1964" t="s">
        <v>269</v>
      </c>
      <c r="BL56" s="1536">
        <v>0.25</v>
      </c>
      <c r="BM56" s="1536">
        <v>0.25</v>
      </c>
      <c r="BN56" s="1536">
        <v>0.33333333333333331</v>
      </c>
      <c r="BO56" s="1536">
        <v>0.33333333333333331</v>
      </c>
      <c r="BP56" s="1536">
        <v>0.33333333333333331</v>
      </c>
      <c r="BQ56" s="1536">
        <v>0.33333333333333331</v>
      </c>
      <c r="BR56" s="1536">
        <v>0.5</v>
      </c>
      <c r="BS56" s="1536">
        <v>0.33333333333333331</v>
      </c>
      <c r="BT56" s="1536">
        <v>0.25</v>
      </c>
      <c r="BU56" s="1536">
        <v>0.25</v>
      </c>
      <c r="BV56" s="1538">
        <v>0.25</v>
      </c>
      <c r="BW56" s="1536">
        <v>0.25</v>
      </c>
      <c r="BX56" s="1536">
        <v>0.25</v>
      </c>
    </row>
    <row r="57" spans="1:77" ht="13.5" hidden="1" customHeight="1">
      <c r="B57" s="1549" t="str">
        <f t="shared" si="31"/>
        <v>4.2.4</v>
      </c>
      <c r="C57" s="1550" t="str">
        <f t="shared" si="32"/>
        <v>給気計画</v>
      </c>
      <c r="D57" s="1621">
        <f t="shared" si="58"/>
        <v>0</v>
      </c>
      <c r="E57" s="1591">
        <f t="shared" si="58"/>
        <v>0</v>
      </c>
      <c r="G57" s="1591">
        <f t="shared" si="36"/>
        <v>0</v>
      </c>
      <c r="H57" s="1591">
        <f t="shared" si="36"/>
        <v>0</v>
      </c>
      <c r="I57" s="1591"/>
      <c r="J57" s="1591"/>
      <c r="K57" s="1516">
        <f>IF(スコア表示!X57=0,0,1)</f>
        <v>0</v>
      </c>
      <c r="L57" s="1516">
        <f>IF(スコア表示!AB57=0,0,1)</f>
        <v>0</v>
      </c>
      <c r="N57" s="1608">
        <f t="shared" si="59"/>
        <v>0.25477787582081102</v>
      </c>
      <c r="O57" s="1608">
        <f t="shared" si="59"/>
        <v>0.25</v>
      </c>
      <c r="P57" s="1516"/>
      <c r="Q57" s="1516"/>
      <c r="R57" s="1516">
        <f>IF(スコア入力!R57="EB",重み_対象外!D57,U57)</f>
        <v>1.9499575632801372E-2</v>
      </c>
      <c r="S57" s="1516">
        <f>IF(スコア入力!Y57="EB",重み_対象外!E57,V57)</f>
        <v>4.0902862518661937E-5</v>
      </c>
      <c r="T57" s="1460"/>
      <c r="U57" s="1514">
        <f t="shared" si="60"/>
        <v>1.8486176536754634E-2</v>
      </c>
      <c r="V57" s="1514">
        <f t="shared" si="60"/>
        <v>4.0902862518661937E-5</v>
      </c>
      <c r="W57" s="1460"/>
      <c r="X57" s="1516">
        <f t="shared" si="18"/>
        <v>0.24477806788511752</v>
      </c>
      <c r="Y57" s="1516">
        <f t="shared" si="21"/>
        <v>5.2219321148825066E-3</v>
      </c>
      <c r="Z57" s="1471"/>
      <c r="AA57" s="1513" t="str">
        <f t="shared" si="37"/>
        <v>4.2.4</v>
      </c>
      <c r="AB57" s="1513" t="str">
        <f t="shared" si="38"/>
        <v xml:space="preserve"> Q1 4.2</v>
      </c>
      <c r="AC57" s="1513" t="str">
        <f t="shared" si="39"/>
        <v>給気計画</v>
      </c>
      <c r="AD57" s="1659">
        <f t="shared" si="40"/>
        <v>0.25</v>
      </c>
      <c r="AE57" s="1659">
        <f t="shared" si="41"/>
        <v>0.25</v>
      </c>
      <c r="AF57" s="1659">
        <f t="shared" si="42"/>
        <v>0.33333333333333331</v>
      </c>
      <c r="AG57" s="1659">
        <f t="shared" si="43"/>
        <v>0.33333333333333331</v>
      </c>
      <c r="AH57" s="1659">
        <f t="shared" si="44"/>
        <v>0.33333333333333331</v>
      </c>
      <c r="AI57" s="1659">
        <f t="shared" si="45"/>
        <v>0.33333333333333331</v>
      </c>
      <c r="AJ57" s="1659">
        <f t="shared" si="46"/>
        <v>0</v>
      </c>
      <c r="AK57" s="1661">
        <f t="shared" si="47"/>
        <v>0.33333333333333331</v>
      </c>
      <c r="AL57" s="1659">
        <f t="shared" si="48"/>
        <v>0.25</v>
      </c>
      <c r="AM57" s="1659">
        <f t="shared" si="48"/>
        <v>0.25</v>
      </c>
      <c r="AN57" s="1660">
        <f t="shared" si="49"/>
        <v>0.25</v>
      </c>
      <c r="AO57" s="1659">
        <f t="shared" si="50"/>
        <v>0.25</v>
      </c>
      <c r="AP57" s="1659">
        <f t="shared" si="51"/>
        <v>0.25</v>
      </c>
      <c r="AQ57" s="1532"/>
      <c r="AR57" s="1547" t="s">
        <v>1355</v>
      </c>
      <c r="AS57" s="1593" t="s">
        <v>266</v>
      </c>
      <c r="AT57" s="1964" t="s">
        <v>1356</v>
      </c>
      <c r="AU57" s="1536">
        <v>0.25</v>
      </c>
      <c r="AV57" s="1536">
        <v>0.25</v>
      </c>
      <c r="AW57" s="1536">
        <v>0.33333333333333331</v>
      </c>
      <c r="AX57" s="1536">
        <v>0.33333333333333331</v>
      </c>
      <c r="AY57" s="1536">
        <v>0.33333333333333331</v>
      </c>
      <c r="AZ57" s="1536">
        <v>0.33333333333333331</v>
      </c>
      <c r="BA57" s="1536"/>
      <c r="BB57" s="1536">
        <v>0.33333333333333331</v>
      </c>
      <c r="BC57" s="1536">
        <v>0.25</v>
      </c>
      <c r="BD57" s="1536">
        <v>0.25</v>
      </c>
      <c r="BE57" s="1538">
        <v>0.25</v>
      </c>
      <c r="BF57" s="1536">
        <v>0.25</v>
      </c>
      <c r="BG57" s="1536">
        <v>0.25</v>
      </c>
      <c r="BI57" s="1547" t="s">
        <v>1355</v>
      </c>
      <c r="BJ57" s="1593" t="s">
        <v>266</v>
      </c>
      <c r="BK57" s="1964" t="s">
        <v>1356</v>
      </c>
      <c r="BL57" s="1536">
        <v>0.25</v>
      </c>
      <c r="BM57" s="1536">
        <v>0.25</v>
      </c>
      <c r="BN57" s="1536">
        <v>0.33333333333333331</v>
      </c>
      <c r="BO57" s="1536">
        <v>0.33333333333333331</v>
      </c>
      <c r="BP57" s="1536">
        <v>0.33333333333333331</v>
      </c>
      <c r="BQ57" s="1536">
        <v>0.33333333333333331</v>
      </c>
      <c r="BR57" s="1536"/>
      <c r="BS57" s="1536">
        <v>0.33333333333333331</v>
      </c>
      <c r="BT57" s="1536">
        <v>0.25</v>
      </c>
      <c r="BU57" s="1536">
        <v>0.25</v>
      </c>
      <c r="BV57" s="1538">
        <v>0.25</v>
      </c>
      <c r="BW57" s="1536">
        <v>0.25</v>
      </c>
      <c r="BX57" s="1536">
        <v>0.25</v>
      </c>
    </row>
    <row r="58" spans="1:77" ht="13.5" customHeight="1">
      <c r="B58" s="1521">
        <f t="shared" si="31"/>
        <v>4.3</v>
      </c>
      <c r="C58" s="1530" t="str">
        <f t="shared" si="32"/>
        <v>運用管理</v>
      </c>
      <c r="D58" s="1616">
        <f>IF(I$47=0,0,G58/I$47)</f>
        <v>0.20658388914499176</v>
      </c>
      <c r="E58" s="1591">
        <f>IF(J$47=0,0,H58/J$47)</f>
        <v>0</v>
      </c>
      <c r="G58" s="1591">
        <f t="shared" si="36"/>
        <v>0.20658388914499173</v>
      </c>
      <c r="H58" s="1591">
        <f t="shared" si="36"/>
        <v>0</v>
      </c>
      <c r="I58" s="1591">
        <f>G59+G60</f>
        <v>1</v>
      </c>
      <c r="J58" s="1591">
        <f>H59+H60</f>
        <v>0</v>
      </c>
      <c r="K58" s="1516">
        <f>IF(スコア表示!X58=0,0,1)</f>
        <v>1</v>
      </c>
      <c r="L58" s="1516">
        <f>IF(スコア表示!AB58=0,0,1)</f>
        <v>0</v>
      </c>
      <c r="N58" s="1613">
        <f>IF(P$47=0,0,P58/P$47)</f>
        <v>0.20658388914499173</v>
      </c>
      <c r="O58" s="1613">
        <f>IF(Q$47=0,0,Q58/Q$47)</f>
        <v>0</v>
      </c>
      <c r="P58" s="1516">
        <f>R59+R60</f>
        <v>4.7933042014056966E-2</v>
      </c>
      <c r="Q58" s="1516">
        <f>S59+S60</f>
        <v>0</v>
      </c>
      <c r="R58" s="1516">
        <f>IF(スコア入力!R58="EB",重み_対象外!D58,U58)</f>
        <v>0</v>
      </c>
      <c r="S58" s="1516">
        <f>IF(スコア入力!Y58="EB",重み_対象外!E58,V58)</f>
        <v>0</v>
      </c>
      <c r="T58" s="1460"/>
      <c r="U58" s="1530"/>
      <c r="V58" s="1530"/>
      <c r="W58" s="1460"/>
      <c r="X58" s="1516">
        <f t="shared" si="18"/>
        <v>0.19582245430809403</v>
      </c>
      <c r="Y58" s="1516">
        <f t="shared" si="21"/>
        <v>0</v>
      </c>
      <c r="Z58" s="1471"/>
      <c r="AA58" s="1513">
        <f t="shared" si="37"/>
        <v>4.3</v>
      </c>
      <c r="AB58" s="1513" t="str">
        <f t="shared" si="38"/>
        <v xml:space="preserve"> Q1 4</v>
      </c>
      <c r="AC58" s="1513" t="str">
        <f t="shared" si="39"/>
        <v>運用管理</v>
      </c>
      <c r="AD58" s="1659">
        <f t="shared" si="40"/>
        <v>0.2</v>
      </c>
      <c r="AE58" s="1659">
        <f t="shared" si="41"/>
        <v>0.2</v>
      </c>
      <c r="AF58" s="1659">
        <f t="shared" si="42"/>
        <v>0.2</v>
      </c>
      <c r="AG58" s="1659">
        <f t="shared" si="43"/>
        <v>0.2</v>
      </c>
      <c r="AH58" s="1659">
        <f t="shared" si="44"/>
        <v>0.2</v>
      </c>
      <c r="AI58" s="1659">
        <f t="shared" si="45"/>
        <v>0.2</v>
      </c>
      <c r="AJ58" s="1659">
        <f t="shared" si="46"/>
        <v>0</v>
      </c>
      <c r="AK58" s="1661">
        <f t="shared" si="47"/>
        <v>0.2</v>
      </c>
      <c r="AL58" s="1659">
        <f t="shared" si="48"/>
        <v>0.2</v>
      </c>
      <c r="AM58" s="1659">
        <f t="shared" si="48"/>
        <v>0.2</v>
      </c>
      <c r="AN58" s="1660">
        <f t="shared" si="49"/>
        <v>0</v>
      </c>
      <c r="AO58" s="1659">
        <f t="shared" si="50"/>
        <v>0</v>
      </c>
      <c r="AP58" s="1659">
        <f t="shared" si="51"/>
        <v>0</v>
      </c>
      <c r="AQ58" s="1520"/>
      <c r="AR58" s="1547">
        <v>4.3</v>
      </c>
      <c r="AS58" s="1593" t="s">
        <v>261</v>
      </c>
      <c r="AT58" s="1637" t="s">
        <v>608</v>
      </c>
      <c r="AU58" s="1536">
        <v>0.2</v>
      </c>
      <c r="AV58" s="1536">
        <v>0.2</v>
      </c>
      <c r="AW58" s="1536">
        <v>0.2</v>
      </c>
      <c r="AX58" s="1536">
        <v>0.2</v>
      </c>
      <c r="AY58" s="1536">
        <v>0.2</v>
      </c>
      <c r="AZ58" s="1536">
        <v>0.2</v>
      </c>
      <c r="BA58" s="1536"/>
      <c r="BB58" s="1537">
        <v>0.2</v>
      </c>
      <c r="BC58" s="1536">
        <v>0.2</v>
      </c>
      <c r="BD58" s="1536">
        <v>0.2</v>
      </c>
      <c r="BE58" s="1538"/>
      <c r="BF58" s="1536"/>
      <c r="BG58" s="1536"/>
      <c r="BI58" s="1547">
        <v>4.3</v>
      </c>
      <c r="BJ58" s="1593" t="s">
        <v>261</v>
      </c>
      <c r="BK58" s="1637" t="s">
        <v>608</v>
      </c>
      <c r="BL58" s="1536">
        <v>0.2</v>
      </c>
      <c r="BM58" s="1536">
        <v>0.2</v>
      </c>
      <c r="BN58" s="1536">
        <v>0.2</v>
      </c>
      <c r="BO58" s="1536">
        <v>0.2</v>
      </c>
      <c r="BP58" s="1536">
        <v>0.2</v>
      </c>
      <c r="BQ58" s="1536">
        <v>0.2</v>
      </c>
      <c r="BR58" s="1536"/>
      <c r="BS58" s="1537">
        <v>0.2</v>
      </c>
      <c r="BT58" s="1536">
        <v>0.2</v>
      </c>
      <c r="BU58" s="1536">
        <v>0.2</v>
      </c>
      <c r="BV58" s="1538"/>
      <c r="BW58" s="1536"/>
      <c r="BX58" s="1536"/>
    </row>
    <row r="59" spans="1:77" ht="13.5" customHeight="1">
      <c r="B59" s="1521" t="str">
        <f t="shared" si="31"/>
        <v>4.3.1</v>
      </c>
      <c r="C59" s="1514" t="str">
        <f t="shared" si="32"/>
        <v>CO2の監視</v>
      </c>
      <c r="D59" s="1621">
        <f>IF(I$58&gt;0,G59/I$58,0)</f>
        <v>0.5</v>
      </c>
      <c r="E59" s="1591">
        <f>IF(J$58&gt;0,H59/J$58,0)</f>
        <v>0</v>
      </c>
      <c r="G59" s="1591">
        <f t="shared" si="36"/>
        <v>0.5</v>
      </c>
      <c r="H59" s="1591">
        <f t="shared" si="36"/>
        <v>0</v>
      </c>
      <c r="I59" s="1591"/>
      <c r="J59" s="1591"/>
      <c r="K59" s="1516">
        <f>IF(スコア表示!X59=0,0,1)</f>
        <v>1</v>
      </c>
      <c r="L59" s="1516">
        <f>IF(スコア表示!AB59=0,0,1)</f>
        <v>1</v>
      </c>
      <c r="N59" s="1608">
        <f>IF(P$58&gt;0,R59/P$58,0)</f>
        <v>0.5</v>
      </c>
      <c r="O59" s="1608">
        <f>IF(Q$58&gt;0,S59/Q$58,0)</f>
        <v>0</v>
      </c>
      <c r="P59" s="1516"/>
      <c r="Q59" s="1516"/>
      <c r="R59" s="1516">
        <f>IF(スコア入力!R59="EB",重み_対象外!D59,U59)</f>
        <v>2.3966521007028483E-2</v>
      </c>
      <c r="S59" s="1516">
        <f>IF(スコア入力!Y59="EB",重み_対象外!E59,V59)</f>
        <v>0</v>
      </c>
      <c r="T59" s="1460"/>
      <c r="U59" s="1514">
        <f>X$47*X$58*X59</f>
        <v>2.3966521007028483E-2</v>
      </c>
      <c r="V59" s="1514">
        <f>Y$47*Y$58*Y59</f>
        <v>0</v>
      </c>
      <c r="W59" s="1460"/>
      <c r="X59" s="1516">
        <f t="shared" si="18"/>
        <v>0.48955613577023505</v>
      </c>
      <c r="Y59" s="1516">
        <f t="shared" si="21"/>
        <v>0</v>
      </c>
      <c r="Z59" s="1471"/>
      <c r="AA59" s="1513" t="str">
        <f t="shared" si="37"/>
        <v>4.3.1</v>
      </c>
      <c r="AB59" s="1513" t="str">
        <f t="shared" si="38"/>
        <v xml:space="preserve"> Q1 4.3</v>
      </c>
      <c r="AC59" s="1513" t="str">
        <f t="shared" si="39"/>
        <v>CO2の監視</v>
      </c>
      <c r="AD59" s="1659">
        <f t="shared" si="40"/>
        <v>0.5</v>
      </c>
      <c r="AE59" s="1659">
        <f t="shared" si="41"/>
        <v>0.5</v>
      </c>
      <c r="AF59" s="1659">
        <f t="shared" si="42"/>
        <v>0.5</v>
      </c>
      <c r="AG59" s="1659">
        <f t="shared" si="43"/>
        <v>0.5</v>
      </c>
      <c r="AH59" s="1659">
        <f t="shared" si="44"/>
        <v>0</v>
      </c>
      <c r="AI59" s="1659">
        <f t="shared" si="45"/>
        <v>0</v>
      </c>
      <c r="AJ59" s="1659">
        <f t="shared" si="46"/>
        <v>0</v>
      </c>
      <c r="AK59" s="1661">
        <f t="shared" si="47"/>
        <v>0.5</v>
      </c>
      <c r="AL59" s="1659">
        <f t="shared" si="48"/>
        <v>0.5</v>
      </c>
      <c r="AM59" s="1659">
        <f t="shared" si="48"/>
        <v>0.5</v>
      </c>
      <c r="AN59" s="1660">
        <f t="shared" si="49"/>
        <v>0</v>
      </c>
      <c r="AO59" s="1659">
        <f t="shared" si="50"/>
        <v>0</v>
      </c>
      <c r="AP59" s="1659">
        <f t="shared" si="51"/>
        <v>0</v>
      </c>
      <c r="AQ59" s="1532"/>
      <c r="AR59" s="1547" t="s">
        <v>1357</v>
      </c>
      <c r="AS59" s="1593" t="s">
        <v>270</v>
      </c>
      <c r="AT59" s="1964" t="s">
        <v>1358</v>
      </c>
      <c r="AU59" s="1536">
        <v>0.5</v>
      </c>
      <c r="AV59" s="1536">
        <v>0.5</v>
      </c>
      <c r="AW59" s="1536">
        <v>0.5</v>
      </c>
      <c r="AX59" s="1536">
        <v>0.5</v>
      </c>
      <c r="AY59" s="1536"/>
      <c r="AZ59" s="1536"/>
      <c r="BA59" s="1536"/>
      <c r="BB59" s="1537">
        <v>0.5</v>
      </c>
      <c r="BC59" s="1536">
        <v>0.5</v>
      </c>
      <c r="BD59" s="1536">
        <v>0.5</v>
      </c>
      <c r="BE59" s="1538"/>
      <c r="BF59" s="1536"/>
      <c r="BG59" s="1536"/>
      <c r="BI59" s="1547" t="s">
        <v>1357</v>
      </c>
      <c r="BJ59" s="1593" t="s">
        <v>270</v>
      </c>
      <c r="BK59" s="1964" t="s">
        <v>1358</v>
      </c>
      <c r="BL59" s="1536">
        <v>0.5</v>
      </c>
      <c r="BM59" s="1536">
        <v>0.5</v>
      </c>
      <c r="BN59" s="1536">
        <v>0.5</v>
      </c>
      <c r="BO59" s="1536">
        <v>0.5</v>
      </c>
      <c r="BP59" s="1536"/>
      <c r="BQ59" s="1536"/>
      <c r="BR59" s="1536"/>
      <c r="BS59" s="1537">
        <v>0.5</v>
      </c>
      <c r="BT59" s="1536">
        <v>0.5</v>
      </c>
      <c r="BU59" s="1536">
        <v>0.5</v>
      </c>
      <c r="BV59" s="1538"/>
      <c r="BW59" s="1536"/>
      <c r="BX59" s="1536"/>
    </row>
    <row r="60" spans="1:77" ht="13.5" customHeight="1">
      <c r="B60" s="1521" t="str">
        <f t="shared" si="31"/>
        <v>4.3.2</v>
      </c>
      <c r="C60" s="1514" t="str">
        <f t="shared" si="32"/>
        <v>喫煙の制御</v>
      </c>
      <c r="D60" s="1621">
        <f>IF(I$58&gt;0,G60/I$58,0)</f>
        <v>0.5</v>
      </c>
      <c r="E60" s="1591">
        <f>IF(J$58&gt;0,H60/J$58,0)</f>
        <v>0</v>
      </c>
      <c r="G60" s="1591">
        <f t="shared" si="36"/>
        <v>0.5</v>
      </c>
      <c r="H60" s="1591">
        <f t="shared" si="36"/>
        <v>0</v>
      </c>
      <c r="I60" s="1591"/>
      <c r="J60" s="1591"/>
      <c r="K60" s="1516">
        <f>IF(スコア表示!X60=0,0,1)</f>
        <v>1</v>
      </c>
      <c r="L60" s="1516">
        <f>IF(スコア表示!AB60=0,0,1)</f>
        <v>1</v>
      </c>
      <c r="N60" s="1608">
        <f>IF(P$58&gt;0,R60/P$58,0)</f>
        <v>0.5</v>
      </c>
      <c r="O60" s="1608">
        <f>IF(Q$58&gt;0,S60/Q$58,0)</f>
        <v>0</v>
      </c>
      <c r="P60" s="1516"/>
      <c r="Q60" s="1516"/>
      <c r="R60" s="1516">
        <f>IF(スコア入力!R60="EB",重み_対象外!D60,U60)</f>
        <v>2.3966521007028483E-2</v>
      </c>
      <c r="S60" s="1516">
        <f>IF(スコア入力!Y60="EB",重み_対象外!E60,V60)</f>
        <v>0</v>
      </c>
      <c r="T60" s="1460"/>
      <c r="U60" s="1514">
        <f>X$47*X$58*X60</f>
        <v>2.3966521007028483E-2</v>
      </c>
      <c r="V60" s="1514">
        <f>Y$47*Y$58*Y60</f>
        <v>0</v>
      </c>
      <c r="W60" s="1460"/>
      <c r="X60" s="1516">
        <f t="shared" si="18"/>
        <v>0.48955613577023505</v>
      </c>
      <c r="Y60" s="1516">
        <f t="shared" si="21"/>
        <v>0</v>
      </c>
      <c r="Z60" s="1471"/>
      <c r="AA60" s="1513" t="str">
        <f t="shared" si="37"/>
        <v>4.3.2</v>
      </c>
      <c r="AB60" s="1513" t="str">
        <f t="shared" si="38"/>
        <v xml:space="preserve"> Q1 4.3</v>
      </c>
      <c r="AC60" s="1513" t="str">
        <f t="shared" si="39"/>
        <v>喫煙の制御</v>
      </c>
      <c r="AD60" s="1659">
        <f t="shared" si="40"/>
        <v>0.5</v>
      </c>
      <c r="AE60" s="1659">
        <f t="shared" si="41"/>
        <v>0.5</v>
      </c>
      <c r="AF60" s="1659">
        <f t="shared" si="42"/>
        <v>0.5</v>
      </c>
      <c r="AG60" s="1659">
        <f t="shared" si="43"/>
        <v>0.5</v>
      </c>
      <c r="AH60" s="1659">
        <f t="shared" si="44"/>
        <v>1</v>
      </c>
      <c r="AI60" s="1659">
        <f t="shared" si="45"/>
        <v>1</v>
      </c>
      <c r="AJ60" s="1659">
        <f t="shared" si="46"/>
        <v>0</v>
      </c>
      <c r="AK60" s="1661">
        <f t="shared" si="47"/>
        <v>0.5</v>
      </c>
      <c r="AL60" s="1659">
        <f t="shared" si="48"/>
        <v>0.5</v>
      </c>
      <c r="AM60" s="1659">
        <f t="shared" si="48"/>
        <v>0.5</v>
      </c>
      <c r="AN60" s="1660">
        <f t="shared" si="49"/>
        <v>0</v>
      </c>
      <c r="AO60" s="1659">
        <f t="shared" si="50"/>
        <v>0</v>
      </c>
      <c r="AP60" s="1659">
        <f t="shared" si="51"/>
        <v>0</v>
      </c>
      <c r="AQ60" s="1532"/>
      <c r="AR60" s="1547" t="s">
        <v>1359</v>
      </c>
      <c r="AS60" s="1593" t="s">
        <v>270</v>
      </c>
      <c r="AT60" s="1964" t="s">
        <v>1360</v>
      </c>
      <c r="AU60" s="1536">
        <v>0.5</v>
      </c>
      <c r="AV60" s="1536">
        <v>0.5</v>
      </c>
      <c r="AW60" s="1536">
        <v>0.5</v>
      </c>
      <c r="AX60" s="1536">
        <v>0.5</v>
      </c>
      <c r="AY60" s="1536">
        <v>1</v>
      </c>
      <c r="AZ60" s="1536">
        <v>1</v>
      </c>
      <c r="BA60" s="1536"/>
      <c r="BB60" s="1537">
        <v>0.5</v>
      </c>
      <c r="BC60" s="1536">
        <v>0.5</v>
      </c>
      <c r="BD60" s="1536">
        <v>0.5</v>
      </c>
      <c r="BE60" s="1538"/>
      <c r="BF60" s="1536"/>
      <c r="BG60" s="1536"/>
      <c r="BI60" s="1547" t="s">
        <v>1359</v>
      </c>
      <c r="BJ60" s="1593" t="s">
        <v>270</v>
      </c>
      <c r="BK60" s="1964" t="s">
        <v>1360</v>
      </c>
      <c r="BL60" s="1536">
        <v>0.5</v>
      </c>
      <c r="BM60" s="1536">
        <v>0.5</v>
      </c>
      <c r="BN60" s="1536">
        <v>0.5</v>
      </c>
      <c r="BO60" s="1536">
        <v>0.5</v>
      </c>
      <c r="BP60" s="1536">
        <v>1</v>
      </c>
      <c r="BQ60" s="1536">
        <v>1</v>
      </c>
      <c r="BR60" s="1536"/>
      <c r="BS60" s="1537">
        <v>0.5</v>
      </c>
      <c r="BT60" s="1536">
        <v>0.5</v>
      </c>
      <c r="BU60" s="1536">
        <v>0.5</v>
      </c>
      <c r="BV60" s="1538"/>
      <c r="BW60" s="1536"/>
      <c r="BX60" s="1536"/>
    </row>
    <row r="61" spans="1:77" s="1505" customFormat="1" ht="13.5" customHeight="1">
      <c r="A61"/>
      <c r="B61" s="1502" t="str">
        <f t="shared" si="31"/>
        <v>Q2</v>
      </c>
      <c r="C61" s="1497" t="str">
        <f t="shared" si="32"/>
        <v>サービス性能</v>
      </c>
      <c r="D61" s="1956">
        <f>IF(I$8=0,0,G61/I$8)</f>
        <v>0.3</v>
      </c>
      <c r="E61" s="1957">
        <f>IF(J$8=0,0,H61/J$8)</f>
        <v>0</v>
      </c>
      <c r="F61"/>
      <c r="G61" s="1957">
        <f t="shared" si="36"/>
        <v>0.3</v>
      </c>
      <c r="H61" s="1957">
        <f t="shared" si="36"/>
        <v>0</v>
      </c>
      <c r="I61" s="1957">
        <f>G62+G75+G97</f>
        <v>1</v>
      </c>
      <c r="J61" s="1957">
        <f>H62+H75+H97</f>
        <v>1</v>
      </c>
      <c r="K61" s="1500">
        <f>IF(スコア表示!X61=0,0,1)</f>
        <v>1</v>
      </c>
      <c r="L61" s="1500">
        <f>IF(スコア表示!AB61=0,0,1)</f>
        <v>0</v>
      </c>
      <c r="M61"/>
      <c r="N61" s="1606">
        <f>IF(P$8=0,0,R61/P$8)</f>
        <v>0.3</v>
      </c>
      <c r="O61" s="1606">
        <f>IF(Q$8=0,0,S61/Q$8)</f>
        <v>0</v>
      </c>
      <c r="P61" s="1500">
        <f>R62+R75+R97</f>
        <v>0.99815937118666032</v>
      </c>
      <c r="Q61" s="1500">
        <f>S62+S75+S97</f>
        <v>1.1098310030063605E-2</v>
      </c>
      <c r="R61" s="1500">
        <f>IF(スコア入力!R61="EB",重み_対象外!D61,U61)</f>
        <v>0.3</v>
      </c>
      <c r="S61" s="1500">
        <f>IF(スコア入力!Y61="EB",重み_対象外!E61,V61)</f>
        <v>0</v>
      </c>
      <c r="T61" s="1460"/>
      <c r="U61" s="1653">
        <f>X61</f>
        <v>0.3</v>
      </c>
      <c r="V61" s="1653">
        <f>Y61</f>
        <v>0</v>
      </c>
      <c r="W61" s="1460"/>
      <c r="X61" s="1500">
        <f t="shared" si="18"/>
        <v>0.3</v>
      </c>
      <c r="Y61" s="1500">
        <f t="shared" si="21"/>
        <v>0</v>
      </c>
      <c r="Z61" s="1540"/>
      <c r="AA61" s="1502" t="str">
        <f t="shared" si="37"/>
        <v>Q2</v>
      </c>
      <c r="AB61" s="1502" t="str">
        <f t="shared" si="38"/>
        <v xml:space="preserve"> Q</v>
      </c>
      <c r="AC61" s="1502" t="str">
        <f t="shared" si="39"/>
        <v>サービス性能</v>
      </c>
      <c r="AD61" s="1654">
        <f t="shared" si="40"/>
        <v>0.3</v>
      </c>
      <c r="AE61" s="1654">
        <f t="shared" si="41"/>
        <v>0.3</v>
      </c>
      <c r="AF61" s="1654">
        <f t="shared" si="42"/>
        <v>0.3</v>
      </c>
      <c r="AG61" s="1654">
        <f t="shared" si="43"/>
        <v>0.3</v>
      </c>
      <c r="AH61" s="1654">
        <f t="shared" si="44"/>
        <v>0.3</v>
      </c>
      <c r="AI61" s="1654">
        <f t="shared" si="45"/>
        <v>0.3</v>
      </c>
      <c r="AJ61" s="1654">
        <f t="shared" si="46"/>
        <v>0.3</v>
      </c>
      <c r="AK61" s="1654">
        <f t="shared" si="47"/>
        <v>0.3</v>
      </c>
      <c r="AL61" s="1654">
        <f t="shared" si="48"/>
        <v>0.3</v>
      </c>
      <c r="AM61" s="1654">
        <f t="shared" si="48"/>
        <v>0.3</v>
      </c>
      <c r="AN61" s="1655">
        <f t="shared" si="49"/>
        <v>0</v>
      </c>
      <c r="AO61" s="1654">
        <f t="shared" si="50"/>
        <v>0</v>
      </c>
      <c r="AP61" s="1654">
        <f t="shared" si="51"/>
        <v>0</v>
      </c>
      <c r="AQ61" s="1504"/>
      <c r="AR61" s="1497" t="s">
        <v>1361</v>
      </c>
      <c r="AS61" s="1959" t="s">
        <v>229</v>
      </c>
      <c r="AT61" s="1958" t="s">
        <v>1362</v>
      </c>
      <c r="AU61" s="1960">
        <v>0.3</v>
      </c>
      <c r="AV61" s="1960">
        <v>0.3</v>
      </c>
      <c r="AW61" s="1960">
        <v>0.3</v>
      </c>
      <c r="AX61" s="1960">
        <v>0.3</v>
      </c>
      <c r="AY61" s="1960">
        <v>0.3</v>
      </c>
      <c r="AZ61" s="1960">
        <v>0.3</v>
      </c>
      <c r="BA61" s="1960">
        <v>0.3</v>
      </c>
      <c r="BB61" s="1960">
        <v>0.3</v>
      </c>
      <c r="BC61" s="1960">
        <v>0.3</v>
      </c>
      <c r="BD61" s="1960">
        <v>0.3</v>
      </c>
      <c r="BE61" s="1961"/>
      <c r="BF61" s="1960"/>
      <c r="BG61" s="1960"/>
      <c r="BH61"/>
      <c r="BI61" s="1497" t="s">
        <v>1361</v>
      </c>
      <c r="BJ61" s="1959" t="s">
        <v>229</v>
      </c>
      <c r="BK61" s="1958" t="s">
        <v>1362</v>
      </c>
      <c r="BL61" s="1960">
        <v>0.3</v>
      </c>
      <c r="BM61" s="1960">
        <v>0.3</v>
      </c>
      <c r="BN61" s="1960">
        <v>0.3</v>
      </c>
      <c r="BO61" s="1960">
        <v>0.3</v>
      </c>
      <c r="BP61" s="1960">
        <v>0.3</v>
      </c>
      <c r="BQ61" s="1960">
        <v>0.3</v>
      </c>
      <c r="BR61" s="1960">
        <v>0.3</v>
      </c>
      <c r="BS61" s="1960">
        <v>0.3</v>
      </c>
      <c r="BT61" s="1960">
        <v>0.3</v>
      </c>
      <c r="BU61" s="1960">
        <v>0.3</v>
      </c>
      <c r="BV61" s="1961"/>
      <c r="BW61" s="1960"/>
      <c r="BX61" s="1960"/>
      <c r="BY61"/>
    </row>
    <row r="62" spans="1:77" s="1505" customFormat="1" ht="13.5" customHeight="1">
      <c r="A62"/>
      <c r="B62" s="1506">
        <f t="shared" si="31"/>
        <v>1</v>
      </c>
      <c r="C62" s="1541" t="str">
        <f t="shared" si="32"/>
        <v>機能性</v>
      </c>
      <c r="D62" s="1962">
        <f>IF(I$61=0,0,G62/I$61)</f>
        <v>0.40073760919006418</v>
      </c>
      <c r="E62" s="1643">
        <f>IF(J$61=0,0,H62/J$61)</f>
        <v>3.9312039312039311E-2</v>
      </c>
      <c r="F62"/>
      <c r="G62" s="1643">
        <f t="shared" si="36"/>
        <v>0.40073760919006418</v>
      </c>
      <c r="H62" s="1643">
        <f t="shared" si="36"/>
        <v>3.9312039312039311E-2</v>
      </c>
      <c r="I62" s="1643">
        <f>G63+G67+G71</f>
        <v>1.0000000000000002</v>
      </c>
      <c r="J62" s="1643">
        <f>H63+H67+H71</f>
        <v>0.4</v>
      </c>
      <c r="K62" s="1509">
        <f>IF(スコア表示!X62=0,0,1)</f>
        <v>1</v>
      </c>
      <c r="L62" s="1509">
        <f>IF(スコア表示!AB62=0,0,1)</f>
        <v>1</v>
      </c>
      <c r="M62"/>
      <c r="N62" s="1607">
        <f>IF(P$61=0,0,R62/P$61)</f>
        <v>0.40073760919006418</v>
      </c>
      <c r="O62" s="1607">
        <f>IF(Q$61=0,0,S62/Q$61)</f>
        <v>3.9312039312039311E-2</v>
      </c>
      <c r="P62" s="1610">
        <f>SUM(R63:R74)</f>
        <v>0.40000000000000008</v>
      </c>
      <c r="Q62" s="1610">
        <f>SUM(S63:S74)</f>
        <v>4.362972001990606E-4</v>
      </c>
      <c r="R62" s="1509">
        <f>IF(スコア入力!R62="EB",重み_対象外!D62,U62)</f>
        <v>0.40000000000000008</v>
      </c>
      <c r="S62" s="1509">
        <f>IF(スコア入力!Y62="EB",重み_対象外!E62,V62)</f>
        <v>4.362972001990606E-4</v>
      </c>
      <c r="T62" s="1460"/>
      <c r="U62" s="1507">
        <f>SUM(U63:U74)</f>
        <v>0.40000000000000008</v>
      </c>
      <c r="V62" s="1507">
        <f>SUM(V63:V70)</f>
        <v>4.362972001990606E-4</v>
      </c>
      <c r="W62" s="1460"/>
      <c r="X62" s="1509">
        <f t="shared" si="18"/>
        <v>0.40000000000000008</v>
      </c>
      <c r="Y62" s="1509">
        <v>1</v>
      </c>
      <c r="Z62" s="1542"/>
      <c r="AA62" s="1506">
        <f t="shared" si="37"/>
        <v>1</v>
      </c>
      <c r="AB62" s="1506" t="str">
        <f t="shared" si="38"/>
        <v xml:space="preserve"> Q2</v>
      </c>
      <c r="AC62" s="1506" t="str">
        <f t="shared" si="39"/>
        <v>機能性</v>
      </c>
      <c r="AD62" s="1665">
        <f t="shared" si="40"/>
        <v>0.4</v>
      </c>
      <c r="AE62" s="1665">
        <f t="shared" si="41"/>
        <v>0.4</v>
      </c>
      <c r="AF62" s="1665">
        <f t="shared" si="42"/>
        <v>0.4</v>
      </c>
      <c r="AG62" s="1665">
        <f t="shared" si="43"/>
        <v>0.4</v>
      </c>
      <c r="AH62" s="1665">
        <f t="shared" si="44"/>
        <v>0.4</v>
      </c>
      <c r="AI62" s="1665">
        <f t="shared" si="45"/>
        <v>0.4</v>
      </c>
      <c r="AJ62" s="1665">
        <f t="shared" si="46"/>
        <v>0.4</v>
      </c>
      <c r="AK62" s="1662">
        <f t="shared" si="47"/>
        <v>0.4</v>
      </c>
      <c r="AL62" s="1665">
        <f t="shared" si="48"/>
        <v>0.4</v>
      </c>
      <c r="AM62" s="1665">
        <f t="shared" si="48"/>
        <v>0.4</v>
      </c>
      <c r="AN62" s="1666">
        <f t="shared" si="49"/>
        <v>0</v>
      </c>
      <c r="AO62" s="1665">
        <f t="shared" si="50"/>
        <v>0</v>
      </c>
      <c r="AP62" s="1665">
        <f t="shared" si="51"/>
        <v>0</v>
      </c>
      <c r="AQ62" s="1512"/>
      <c r="AR62" s="1541">
        <v>1</v>
      </c>
      <c r="AS62" s="1644" t="s">
        <v>271</v>
      </c>
      <c r="AT62" s="1680" t="s">
        <v>272</v>
      </c>
      <c r="AU62" s="1979">
        <v>0.4</v>
      </c>
      <c r="AV62" s="1979">
        <v>0.4</v>
      </c>
      <c r="AW62" s="1979">
        <v>0.4</v>
      </c>
      <c r="AX62" s="1979">
        <v>0.4</v>
      </c>
      <c r="AY62" s="1979">
        <v>0.4</v>
      </c>
      <c r="AZ62" s="1979">
        <v>0.4</v>
      </c>
      <c r="BA62" s="1979">
        <v>0.4</v>
      </c>
      <c r="BB62" s="1981">
        <v>0.4</v>
      </c>
      <c r="BC62" s="1979">
        <v>0.4</v>
      </c>
      <c r="BD62" s="1979">
        <v>0.4</v>
      </c>
      <c r="BE62" s="1980"/>
      <c r="BF62" s="1979"/>
      <c r="BG62" s="1979"/>
      <c r="BH62"/>
      <c r="BI62" s="1541">
        <v>1</v>
      </c>
      <c r="BJ62" s="1644" t="s">
        <v>271</v>
      </c>
      <c r="BK62" s="1680" t="s">
        <v>272</v>
      </c>
      <c r="BL62" s="1979">
        <v>0.4</v>
      </c>
      <c r="BM62" s="1979">
        <v>0.4</v>
      </c>
      <c r="BN62" s="1979">
        <v>0.4</v>
      </c>
      <c r="BO62" s="1979">
        <v>0.4</v>
      </c>
      <c r="BP62" s="1979">
        <v>0.4</v>
      </c>
      <c r="BQ62" s="1979">
        <v>0.4</v>
      </c>
      <c r="BR62" s="1979">
        <v>0.4</v>
      </c>
      <c r="BS62" s="1981">
        <v>0.4</v>
      </c>
      <c r="BT62" s="1979">
        <v>0.4</v>
      </c>
      <c r="BU62" s="1979">
        <v>0.4</v>
      </c>
      <c r="BV62" s="1980"/>
      <c r="BW62" s="1979"/>
      <c r="BX62" s="1979"/>
      <c r="BY62"/>
    </row>
    <row r="63" spans="1:77" ht="13.5" customHeight="1">
      <c r="B63" s="1521">
        <f t="shared" si="31"/>
        <v>1.1000000000000001</v>
      </c>
      <c r="C63" s="1514" t="str">
        <f t="shared" si="32"/>
        <v>機能性・使いやすさ</v>
      </c>
      <c r="D63" s="1616">
        <f>IF(I$62=0,0,G63/I$62)</f>
        <v>0.4</v>
      </c>
      <c r="E63" s="1591">
        <f>IF(J$62=0,0,H63/J$62)</f>
        <v>0</v>
      </c>
      <c r="G63" s="1591">
        <f t="shared" si="36"/>
        <v>0.40000000000000013</v>
      </c>
      <c r="H63" s="1591">
        <f t="shared" si="36"/>
        <v>0</v>
      </c>
      <c r="I63" s="1591">
        <f>SUM(G64:G66)</f>
        <v>0.99999999999999989</v>
      </c>
      <c r="J63" s="1591">
        <f>SUM(H64:H66)</f>
        <v>0</v>
      </c>
      <c r="K63" s="1516">
        <f>IF(スコア表示!X63=0,0,1)</f>
        <v>1</v>
      </c>
      <c r="L63" s="1516">
        <f>IF(スコア表示!AB63=0,0,1)</f>
        <v>0</v>
      </c>
      <c r="N63" s="1613">
        <f>IF(P$62=0,0,P63/P$62)</f>
        <v>0.40000000000000013</v>
      </c>
      <c r="O63" s="1613">
        <f>IF(Q$62=0,0,Q63/Q$62)</f>
        <v>0.60000000000000009</v>
      </c>
      <c r="P63" s="1516">
        <f>SUM(R64:R66)</f>
        <v>0.16000000000000009</v>
      </c>
      <c r="Q63" s="1516">
        <f>SUM(S64:S66)</f>
        <v>2.6177832011943638E-4</v>
      </c>
      <c r="R63" s="1516">
        <f>IF(スコア入力!R63="EB",重み_対象外!D63,U63)</f>
        <v>0</v>
      </c>
      <c r="S63" s="1516">
        <f>IF(スコア入力!Y63="EB",重み_対象外!E63,V63)</f>
        <v>0</v>
      </c>
      <c r="T63" s="1460"/>
      <c r="U63" s="1514"/>
      <c r="V63" s="1514"/>
      <c r="W63" s="1460"/>
      <c r="X63" s="1516">
        <f t="shared" si="18"/>
        <v>0.40000000000000008</v>
      </c>
      <c r="Y63" s="1516">
        <f t="shared" si="21"/>
        <v>1.2532637075718016E-2</v>
      </c>
      <c r="Z63" s="1544"/>
      <c r="AA63" s="1513">
        <f t="shared" si="37"/>
        <v>1.1000000000000001</v>
      </c>
      <c r="AB63" s="1513" t="str">
        <f t="shared" si="38"/>
        <v xml:space="preserve"> Q2 1</v>
      </c>
      <c r="AC63" s="1513" t="str">
        <f t="shared" si="39"/>
        <v>機能性・使いやすさ</v>
      </c>
      <c r="AD63" s="1659">
        <f t="shared" si="40"/>
        <v>0.4</v>
      </c>
      <c r="AE63" s="1659">
        <f t="shared" si="41"/>
        <v>0.4</v>
      </c>
      <c r="AF63" s="1659">
        <f t="shared" si="42"/>
        <v>0.4</v>
      </c>
      <c r="AG63" s="1659">
        <f t="shared" si="43"/>
        <v>0.4</v>
      </c>
      <c r="AH63" s="1659">
        <f t="shared" si="44"/>
        <v>0.4</v>
      </c>
      <c r="AI63" s="1659">
        <f t="shared" si="45"/>
        <v>0.4</v>
      </c>
      <c r="AJ63" s="1659">
        <f t="shared" si="46"/>
        <v>0.4</v>
      </c>
      <c r="AK63" s="1663">
        <f t="shared" si="47"/>
        <v>0.4</v>
      </c>
      <c r="AL63" s="1659">
        <f t="shared" si="48"/>
        <v>0.4</v>
      </c>
      <c r="AM63" s="1659">
        <f t="shared" si="48"/>
        <v>0.4</v>
      </c>
      <c r="AN63" s="1660">
        <f t="shared" si="49"/>
        <v>0.6</v>
      </c>
      <c r="AO63" s="1659">
        <f t="shared" si="50"/>
        <v>0.6</v>
      </c>
      <c r="AP63" s="1659">
        <f t="shared" si="51"/>
        <v>0.6</v>
      </c>
      <c r="AQ63" s="1520"/>
      <c r="AR63" s="1547">
        <v>1.1000000000000001</v>
      </c>
      <c r="AS63" s="1593" t="s">
        <v>273</v>
      </c>
      <c r="AT63" s="1964" t="s">
        <v>370</v>
      </c>
      <c r="AU63" s="1523">
        <v>0.4</v>
      </c>
      <c r="AV63" s="1523">
        <v>0.4</v>
      </c>
      <c r="AW63" s="1523">
        <v>0.4</v>
      </c>
      <c r="AX63" s="1523">
        <v>0.4</v>
      </c>
      <c r="AY63" s="1523">
        <v>0.4</v>
      </c>
      <c r="AZ63" s="1523">
        <v>0.4</v>
      </c>
      <c r="BA63" s="1523">
        <v>0.4</v>
      </c>
      <c r="BB63" s="1524">
        <v>0.4</v>
      </c>
      <c r="BC63" s="1523">
        <v>0.4</v>
      </c>
      <c r="BD63" s="1523">
        <v>0.4</v>
      </c>
      <c r="BE63" s="1523">
        <v>0.6</v>
      </c>
      <c r="BF63" s="1523">
        <v>0.6</v>
      </c>
      <c r="BG63" s="1523">
        <v>0.6</v>
      </c>
      <c r="BI63" s="1547">
        <v>1.1000000000000001</v>
      </c>
      <c r="BJ63" s="1593" t="s">
        <v>273</v>
      </c>
      <c r="BK63" s="1964" t="s">
        <v>370</v>
      </c>
      <c r="BL63" s="1523">
        <v>0.4</v>
      </c>
      <c r="BM63" s="1523">
        <v>0.4</v>
      </c>
      <c r="BN63" s="1523">
        <v>0.4</v>
      </c>
      <c r="BO63" s="1523">
        <v>0.4</v>
      </c>
      <c r="BP63" s="1523">
        <v>0.4</v>
      </c>
      <c r="BQ63" s="1523">
        <v>0.4</v>
      </c>
      <c r="BR63" s="1523">
        <v>0.4</v>
      </c>
      <c r="BS63" s="1524">
        <v>0.4</v>
      </c>
      <c r="BT63" s="1523">
        <v>0.4</v>
      </c>
      <c r="BU63" s="1523">
        <v>0.4</v>
      </c>
      <c r="BV63" s="1523">
        <v>0.6</v>
      </c>
      <c r="BW63" s="1523">
        <v>0.6</v>
      </c>
      <c r="BX63" s="1523">
        <v>0.6</v>
      </c>
    </row>
    <row r="64" spans="1:77" ht="13.5" customHeight="1">
      <c r="B64" s="1521" t="str">
        <f t="shared" si="31"/>
        <v>1.1.1</v>
      </c>
      <c r="C64" s="1514" t="str">
        <f t="shared" si="32"/>
        <v>広さ・収納性</v>
      </c>
      <c r="D64" s="1621">
        <f t="shared" ref="D64:E66" si="61">IF(I$63&gt;0,G64/I$63,0)</f>
        <v>0.32637075718015668</v>
      </c>
      <c r="E64" s="1591">
        <f t="shared" si="61"/>
        <v>0</v>
      </c>
      <c r="G64" s="1591">
        <f t="shared" si="36"/>
        <v>0.32637075718015662</v>
      </c>
      <c r="H64" s="1591">
        <f t="shared" si="36"/>
        <v>0</v>
      </c>
      <c r="I64" s="1591"/>
      <c r="J64" s="1591"/>
      <c r="K64" s="1516">
        <f>IF(スコア表示!X64=0,0,1)</f>
        <v>1</v>
      </c>
      <c r="L64" s="1516">
        <f>IF(スコア表示!AB64=0,0,1)</f>
        <v>1</v>
      </c>
      <c r="N64" s="1608">
        <f t="shared" ref="N64:O66" si="62">IF(P$63&gt;0,R64/P$63,0)</f>
        <v>0.32637075718015662</v>
      </c>
      <c r="O64" s="1608">
        <f t="shared" si="62"/>
        <v>0</v>
      </c>
      <c r="P64" s="1516"/>
      <c r="Q64" s="1516"/>
      <c r="R64" s="1516">
        <f>IF(スコア入力!R64="EB",重み_対象外!D64,U64)</f>
        <v>5.221932114882509E-2</v>
      </c>
      <c r="S64" s="1516">
        <f>IF(スコア入力!Y64="EB",重み_対象外!E64,V64)</f>
        <v>0</v>
      </c>
      <c r="T64" s="1460"/>
      <c r="U64" s="1514">
        <f t="shared" ref="U64:V66" si="63">X$62*X$63*X64</f>
        <v>5.221932114882509E-2</v>
      </c>
      <c r="V64" s="1514">
        <f t="shared" si="63"/>
        <v>0</v>
      </c>
      <c r="W64" s="1460"/>
      <c r="X64" s="1516">
        <f t="shared" si="18"/>
        <v>0.32637075718015668</v>
      </c>
      <c r="Y64" s="1516">
        <f t="shared" si="21"/>
        <v>0</v>
      </c>
      <c r="Z64" s="1545"/>
      <c r="AA64" s="1513" t="str">
        <f t="shared" si="37"/>
        <v>1.1.1</v>
      </c>
      <c r="AB64" s="1513" t="str">
        <f t="shared" si="38"/>
        <v xml:space="preserve"> Q2 1.1</v>
      </c>
      <c r="AC64" s="1513" t="str">
        <f t="shared" si="39"/>
        <v>広さ・収納性</v>
      </c>
      <c r="AD64" s="1659">
        <f t="shared" si="40"/>
        <v>0.33333333333333331</v>
      </c>
      <c r="AE64" s="1659">
        <f t="shared" si="41"/>
        <v>0</v>
      </c>
      <c r="AF64" s="1659">
        <f t="shared" si="42"/>
        <v>0</v>
      </c>
      <c r="AG64" s="1659">
        <f t="shared" si="43"/>
        <v>0</v>
      </c>
      <c r="AH64" s="1659">
        <f t="shared" si="44"/>
        <v>0</v>
      </c>
      <c r="AI64" s="1659">
        <f t="shared" si="45"/>
        <v>0</v>
      </c>
      <c r="AJ64" s="1659">
        <f t="shared" si="46"/>
        <v>0</v>
      </c>
      <c r="AK64" s="1663">
        <f t="shared" si="47"/>
        <v>0</v>
      </c>
      <c r="AL64" s="1659">
        <f t="shared" si="48"/>
        <v>0.33333333333333331</v>
      </c>
      <c r="AM64" s="1659">
        <f t="shared" si="48"/>
        <v>0</v>
      </c>
      <c r="AN64" s="1519">
        <f t="shared" si="49"/>
        <v>1</v>
      </c>
      <c r="AO64" s="1518">
        <f t="shared" si="50"/>
        <v>0.5</v>
      </c>
      <c r="AP64" s="1518">
        <f t="shared" si="51"/>
        <v>0</v>
      </c>
      <c r="AQ64" s="1532"/>
      <c r="AR64" s="1547" t="s">
        <v>1363</v>
      </c>
      <c r="AS64" s="1593" t="s">
        <v>274</v>
      </c>
      <c r="AT64" s="1964" t="s">
        <v>275</v>
      </c>
      <c r="AU64" s="1523">
        <v>0.33333333333333331</v>
      </c>
      <c r="AV64" s="1523"/>
      <c r="AW64" s="1523"/>
      <c r="AX64" s="1523"/>
      <c r="AY64" s="1523"/>
      <c r="AZ64" s="1523"/>
      <c r="BA64" s="1523"/>
      <c r="BB64" s="1524"/>
      <c r="BC64" s="1523">
        <v>0.33333333333333331</v>
      </c>
      <c r="BD64" s="1523"/>
      <c r="BE64" s="1525">
        <v>1</v>
      </c>
      <c r="BF64" s="1523">
        <v>0.5</v>
      </c>
      <c r="BG64" s="1523"/>
      <c r="BI64" s="1547" t="s">
        <v>1363</v>
      </c>
      <c r="BJ64" s="1593" t="s">
        <v>274</v>
      </c>
      <c r="BK64" s="1964" t="s">
        <v>275</v>
      </c>
      <c r="BL64" s="1523">
        <v>0.33333333333333331</v>
      </c>
      <c r="BM64" s="1523"/>
      <c r="BN64" s="1523"/>
      <c r="BO64" s="1523"/>
      <c r="BP64" s="1523"/>
      <c r="BQ64" s="1523"/>
      <c r="BR64" s="1523"/>
      <c r="BS64" s="1524"/>
      <c r="BT64" s="1523">
        <v>0.33333333333333331</v>
      </c>
      <c r="BU64" s="1523"/>
      <c r="BV64" s="1525">
        <v>1</v>
      </c>
      <c r="BW64" s="1523">
        <v>0.5</v>
      </c>
      <c r="BX64" s="1523"/>
    </row>
    <row r="65" spans="1:77" ht="13.5" customHeight="1">
      <c r="B65" s="1521" t="str">
        <f t="shared" si="31"/>
        <v>1.1.2</v>
      </c>
      <c r="C65" s="1514" t="str">
        <f t="shared" si="32"/>
        <v>高度情報通信設備対応</v>
      </c>
      <c r="D65" s="1621">
        <f t="shared" si="61"/>
        <v>0.32637075718015668</v>
      </c>
      <c r="E65" s="1591">
        <f t="shared" si="61"/>
        <v>0</v>
      </c>
      <c r="G65" s="1591">
        <f t="shared" si="36"/>
        <v>0.32637075718015662</v>
      </c>
      <c r="H65" s="1591">
        <f t="shared" si="36"/>
        <v>0</v>
      </c>
      <c r="I65" s="1591"/>
      <c r="J65" s="1591"/>
      <c r="K65" s="1516">
        <f>IF(スコア表示!X65=0,0,1)</f>
        <v>1</v>
      </c>
      <c r="L65" s="1516">
        <f>IF(スコア表示!AB65=0,0,1)</f>
        <v>0</v>
      </c>
      <c r="N65" s="1608">
        <f t="shared" si="62"/>
        <v>0.32637075718015662</v>
      </c>
      <c r="O65" s="1608">
        <f t="shared" si="62"/>
        <v>1</v>
      </c>
      <c r="P65" s="1516"/>
      <c r="Q65" s="1516"/>
      <c r="R65" s="1516">
        <f>IF(スコア入力!R65="EB",重み_対象外!D65,U65)</f>
        <v>5.221932114882509E-2</v>
      </c>
      <c r="S65" s="1516">
        <f>IF(スコア入力!Y65="EB",重み_対象外!E65,V65)</f>
        <v>2.6177832011943638E-4</v>
      </c>
      <c r="T65" s="1460"/>
      <c r="U65" s="1514">
        <f t="shared" si="63"/>
        <v>5.221932114882509E-2</v>
      </c>
      <c r="V65" s="1514">
        <f t="shared" si="63"/>
        <v>2.6177832011943638E-4</v>
      </c>
      <c r="W65" s="1460"/>
      <c r="X65" s="1516">
        <f t="shared" si="18"/>
        <v>0.32637075718015668</v>
      </c>
      <c r="Y65" s="1516">
        <f t="shared" si="21"/>
        <v>2.0887728459530026E-2</v>
      </c>
      <c r="Z65" s="1545"/>
      <c r="AA65" s="1513" t="str">
        <f t="shared" si="37"/>
        <v>1.1.2</v>
      </c>
      <c r="AB65" s="1513" t="str">
        <f t="shared" si="38"/>
        <v xml:space="preserve"> Q2 1.1</v>
      </c>
      <c r="AC65" s="1513" t="str">
        <f t="shared" si="39"/>
        <v>高度情報通信設備対応</v>
      </c>
      <c r="AD65" s="1659">
        <f t="shared" si="40"/>
        <v>0.33333333333333331</v>
      </c>
      <c r="AE65" s="1659">
        <f t="shared" si="41"/>
        <v>0</v>
      </c>
      <c r="AF65" s="1659">
        <f t="shared" si="42"/>
        <v>0</v>
      </c>
      <c r="AG65" s="1659">
        <f t="shared" si="43"/>
        <v>0</v>
      </c>
      <c r="AH65" s="1659">
        <f t="shared" si="44"/>
        <v>0</v>
      </c>
      <c r="AI65" s="1659">
        <f t="shared" si="45"/>
        <v>0</v>
      </c>
      <c r="AJ65" s="1659">
        <f t="shared" si="46"/>
        <v>0</v>
      </c>
      <c r="AK65" s="1663">
        <f t="shared" si="47"/>
        <v>0</v>
      </c>
      <c r="AL65" s="1659">
        <f t="shared" si="48"/>
        <v>0.33333333333333331</v>
      </c>
      <c r="AM65" s="1659">
        <f t="shared" si="48"/>
        <v>0</v>
      </c>
      <c r="AN65" s="1519">
        <f t="shared" si="49"/>
        <v>0</v>
      </c>
      <c r="AO65" s="1518">
        <f t="shared" si="50"/>
        <v>0.5</v>
      </c>
      <c r="AP65" s="1518">
        <f t="shared" si="51"/>
        <v>1</v>
      </c>
      <c r="AQ65" s="1532"/>
      <c r="AR65" s="1547" t="s">
        <v>1364</v>
      </c>
      <c r="AS65" s="1593" t="s">
        <v>274</v>
      </c>
      <c r="AT65" s="1964" t="s">
        <v>1365</v>
      </c>
      <c r="AU65" s="1523">
        <v>0.33333333333333331</v>
      </c>
      <c r="AV65" s="1523"/>
      <c r="AW65" s="1523"/>
      <c r="AX65" s="1523"/>
      <c r="AY65" s="1523"/>
      <c r="AZ65" s="1523"/>
      <c r="BA65" s="1523"/>
      <c r="BB65" s="1524"/>
      <c r="BC65" s="1523">
        <v>0.33333333333333331</v>
      </c>
      <c r="BD65" s="1523"/>
      <c r="BE65" s="1525"/>
      <c r="BF65" s="1523">
        <v>0.5</v>
      </c>
      <c r="BG65" s="1523">
        <v>1</v>
      </c>
      <c r="BI65" s="1547" t="s">
        <v>1364</v>
      </c>
      <c r="BJ65" s="1593" t="s">
        <v>274</v>
      </c>
      <c r="BK65" s="1964" t="s">
        <v>1365</v>
      </c>
      <c r="BL65" s="1523">
        <v>0.33333333333333331</v>
      </c>
      <c r="BM65" s="1523"/>
      <c r="BN65" s="1523"/>
      <c r="BO65" s="1523"/>
      <c r="BP65" s="1523"/>
      <c r="BQ65" s="1523"/>
      <c r="BR65" s="1523"/>
      <c r="BS65" s="1524"/>
      <c r="BT65" s="1523">
        <v>0.33333333333333331</v>
      </c>
      <c r="BU65" s="1523"/>
      <c r="BV65" s="1525"/>
      <c r="BW65" s="1523">
        <v>0.5</v>
      </c>
      <c r="BX65" s="1523">
        <v>1</v>
      </c>
    </row>
    <row r="66" spans="1:77" ht="13.5" customHeight="1">
      <c r="B66" s="1521" t="str">
        <f t="shared" si="31"/>
        <v>1.1.3</v>
      </c>
      <c r="C66" s="1514" t="str">
        <f t="shared" si="32"/>
        <v>バリアフリー計画</v>
      </c>
      <c r="D66" s="1621">
        <f t="shared" si="61"/>
        <v>0.3472584856396867</v>
      </c>
      <c r="E66" s="1591">
        <f t="shared" si="61"/>
        <v>0</v>
      </c>
      <c r="G66" s="1591">
        <f t="shared" si="36"/>
        <v>0.34725848563968664</v>
      </c>
      <c r="H66" s="1591">
        <f t="shared" si="36"/>
        <v>0</v>
      </c>
      <c r="I66" s="1591"/>
      <c r="J66" s="1591"/>
      <c r="K66" s="1516">
        <f>IF(スコア表示!X66=0,0,1)</f>
        <v>1</v>
      </c>
      <c r="L66" s="1516">
        <f>IF(スコア表示!AB66=0,0,1)</f>
        <v>0</v>
      </c>
      <c r="N66" s="1608">
        <f t="shared" si="62"/>
        <v>0.34725848563968664</v>
      </c>
      <c r="O66" s="1608">
        <f t="shared" si="62"/>
        <v>0</v>
      </c>
      <c r="P66" s="1516"/>
      <c r="Q66" s="1516"/>
      <c r="R66" s="1516">
        <f>IF(スコア入力!R66="EB",重み_対象外!D66,U66)</f>
        <v>5.5561357702349892E-2</v>
      </c>
      <c r="S66" s="1516">
        <f>IF(スコア入力!Y66="EB",重み_対象外!E66,V66)</f>
        <v>0</v>
      </c>
      <c r="T66" s="1460"/>
      <c r="U66" s="1514">
        <f t="shared" si="63"/>
        <v>5.5561357702349892E-2</v>
      </c>
      <c r="V66" s="1514">
        <f t="shared" si="63"/>
        <v>0</v>
      </c>
      <c r="W66" s="1460"/>
      <c r="X66" s="1516">
        <f t="shared" si="18"/>
        <v>0.3472584856396867</v>
      </c>
      <c r="Y66" s="1516">
        <f t="shared" si="21"/>
        <v>0</v>
      </c>
      <c r="Z66" s="1545"/>
      <c r="AA66" s="1513" t="str">
        <f t="shared" si="37"/>
        <v>1.1.3</v>
      </c>
      <c r="AB66" s="1513" t="str">
        <f t="shared" si="38"/>
        <v xml:space="preserve"> Q2 1.1</v>
      </c>
      <c r="AC66" s="1513" t="str">
        <f t="shared" si="39"/>
        <v>バリアフリー計画</v>
      </c>
      <c r="AD66" s="1659">
        <f t="shared" si="40"/>
        <v>0.33333333333333331</v>
      </c>
      <c r="AE66" s="1659">
        <f t="shared" si="41"/>
        <v>1</v>
      </c>
      <c r="AF66" s="1659">
        <f t="shared" si="42"/>
        <v>1</v>
      </c>
      <c r="AG66" s="1659">
        <f t="shared" si="43"/>
        <v>1</v>
      </c>
      <c r="AH66" s="1659">
        <f t="shared" si="44"/>
        <v>1</v>
      </c>
      <c r="AI66" s="1659">
        <f t="shared" si="45"/>
        <v>1</v>
      </c>
      <c r="AJ66" s="1659">
        <f t="shared" si="46"/>
        <v>1</v>
      </c>
      <c r="AK66" s="1663">
        <f t="shared" si="47"/>
        <v>1</v>
      </c>
      <c r="AL66" s="1659">
        <f t="shared" si="48"/>
        <v>0.33333333333333331</v>
      </c>
      <c r="AM66" s="1659">
        <f t="shared" si="48"/>
        <v>1</v>
      </c>
      <c r="AN66" s="1519">
        <f t="shared" si="49"/>
        <v>0</v>
      </c>
      <c r="AO66" s="1518">
        <f t="shared" si="50"/>
        <v>0</v>
      </c>
      <c r="AP66" s="1518">
        <f t="shared" si="51"/>
        <v>0</v>
      </c>
      <c r="AQ66" s="1532"/>
      <c r="AR66" s="1547" t="s">
        <v>1366</v>
      </c>
      <c r="AS66" s="1593" t="s">
        <v>274</v>
      </c>
      <c r="AT66" s="1964" t="s">
        <v>276</v>
      </c>
      <c r="AU66" s="1523">
        <v>0.33333333333333331</v>
      </c>
      <c r="AV66" s="1523">
        <v>1</v>
      </c>
      <c r="AW66" s="1523">
        <v>1</v>
      </c>
      <c r="AX66" s="1523">
        <v>1</v>
      </c>
      <c r="AY66" s="1523">
        <v>1</v>
      </c>
      <c r="AZ66" s="1523">
        <v>1</v>
      </c>
      <c r="BA66" s="1523">
        <v>1</v>
      </c>
      <c r="BB66" s="1524">
        <v>1</v>
      </c>
      <c r="BC66" s="1523">
        <v>0.33333333333333331</v>
      </c>
      <c r="BD66" s="1523">
        <v>1</v>
      </c>
      <c r="BE66" s="1525"/>
      <c r="BF66" s="1523"/>
      <c r="BG66" s="1523"/>
      <c r="BI66" s="1547" t="s">
        <v>1366</v>
      </c>
      <c r="BJ66" s="1593" t="s">
        <v>274</v>
      </c>
      <c r="BK66" s="1964" t="s">
        <v>276</v>
      </c>
      <c r="BL66" s="1523">
        <v>0.33333333333333331</v>
      </c>
      <c r="BM66" s="1523">
        <v>1</v>
      </c>
      <c r="BN66" s="1523">
        <v>1</v>
      </c>
      <c r="BO66" s="1523">
        <v>1</v>
      </c>
      <c r="BP66" s="1523">
        <v>1</v>
      </c>
      <c r="BQ66" s="1523">
        <v>1</v>
      </c>
      <c r="BR66" s="1523">
        <v>1</v>
      </c>
      <c r="BS66" s="1524">
        <v>1</v>
      </c>
      <c r="BT66" s="1523">
        <v>0.33333333333333331</v>
      </c>
      <c r="BU66" s="1523">
        <v>1</v>
      </c>
      <c r="BV66" s="1525"/>
      <c r="BW66" s="1523"/>
      <c r="BX66" s="1523"/>
    </row>
    <row r="67" spans="1:77" ht="13.5" customHeight="1">
      <c r="B67" s="1521">
        <f t="shared" si="31"/>
        <v>1.2</v>
      </c>
      <c r="C67" s="1514" t="str">
        <f t="shared" si="32"/>
        <v>心理性・快適性</v>
      </c>
      <c r="D67" s="1616">
        <f>IF(I$62=0,0,G67/I$62)</f>
        <v>0.29999999999999993</v>
      </c>
      <c r="E67" s="1591">
        <f>IF(J$62=0,0,H67/J$62)</f>
        <v>1</v>
      </c>
      <c r="G67" s="1591">
        <f t="shared" si="36"/>
        <v>0.3</v>
      </c>
      <c r="H67" s="1591">
        <f t="shared" si="36"/>
        <v>0.4</v>
      </c>
      <c r="I67" s="1591">
        <f>G68+G69+G70</f>
        <v>1</v>
      </c>
      <c r="J67" s="1591">
        <f>H68+H69+H70</f>
        <v>1</v>
      </c>
      <c r="K67" s="1516">
        <f>IF(スコア表示!X67=0,0,1)</f>
        <v>1</v>
      </c>
      <c r="L67" s="1516">
        <f>IF(スコア表示!AB67=0,0,1)</f>
        <v>1</v>
      </c>
      <c r="N67" s="1613">
        <f>IF(P$62=0,0,P67/P$62)</f>
        <v>0.3</v>
      </c>
      <c r="O67" s="1613">
        <f>IF(Q$62=0,0,Q67/Q$62)</f>
        <v>0.4</v>
      </c>
      <c r="P67" s="1516">
        <f>R68+R69+R70</f>
        <v>0.12000000000000002</v>
      </c>
      <c r="Q67" s="1516">
        <f>S68+S69+S70</f>
        <v>1.7451888007962425E-4</v>
      </c>
      <c r="R67" s="1516">
        <f>IF(スコア入力!R67="EB",重み_対象外!D67,U67)</f>
        <v>0</v>
      </c>
      <c r="S67" s="1516">
        <f>IF(スコア入力!Y67="EB",重み_対象外!E67,V67)</f>
        <v>0</v>
      </c>
      <c r="T67" s="1460"/>
      <c r="U67" s="1514"/>
      <c r="V67" s="1514"/>
      <c r="W67" s="1460"/>
      <c r="X67" s="1516">
        <f t="shared" si="18"/>
        <v>0.3</v>
      </c>
      <c r="Y67" s="1516">
        <f t="shared" si="21"/>
        <v>8.3550913838120102E-3</v>
      </c>
      <c r="Z67" s="1544"/>
      <c r="AA67" s="1513">
        <f t="shared" si="37"/>
        <v>1.2</v>
      </c>
      <c r="AB67" s="1513" t="str">
        <f t="shared" si="38"/>
        <v xml:space="preserve"> Q2 1</v>
      </c>
      <c r="AC67" s="1513" t="str">
        <f t="shared" si="39"/>
        <v>心理性・快適性</v>
      </c>
      <c r="AD67" s="1659">
        <f t="shared" si="40"/>
        <v>0.3</v>
      </c>
      <c r="AE67" s="1659">
        <f t="shared" si="41"/>
        <v>0.3</v>
      </c>
      <c r="AF67" s="1659">
        <f t="shared" si="42"/>
        <v>0.3</v>
      </c>
      <c r="AG67" s="1659">
        <f t="shared" si="43"/>
        <v>0.3</v>
      </c>
      <c r="AH67" s="1659">
        <f t="shared" si="44"/>
        <v>0.3</v>
      </c>
      <c r="AI67" s="1659">
        <f t="shared" si="45"/>
        <v>0.3</v>
      </c>
      <c r="AJ67" s="1659">
        <f t="shared" si="46"/>
        <v>0.3</v>
      </c>
      <c r="AK67" s="1663">
        <f t="shared" si="47"/>
        <v>0.3</v>
      </c>
      <c r="AL67" s="1659">
        <f t="shared" si="48"/>
        <v>0.3</v>
      </c>
      <c r="AM67" s="1659">
        <f t="shared" si="48"/>
        <v>0.3</v>
      </c>
      <c r="AN67" s="1519">
        <f t="shared" si="49"/>
        <v>0.4</v>
      </c>
      <c r="AO67" s="1518">
        <f t="shared" si="50"/>
        <v>0.4</v>
      </c>
      <c r="AP67" s="1518">
        <f t="shared" si="51"/>
        <v>0.4</v>
      </c>
      <c r="AQ67" s="1520"/>
      <c r="AR67" s="1547">
        <v>1.2</v>
      </c>
      <c r="AS67" s="1593" t="s">
        <v>273</v>
      </c>
      <c r="AT67" s="1964" t="s">
        <v>622</v>
      </c>
      <c r="AU67" s="1523">
        <v>0.3</v>
      </c>
      <c r="AV67" s="1523">
        <v>0.3</v>
      </c>
      <c r="AW67" s="1523">
        <v>0.3</v>
      </c>
      <c r="AX67" s="1523">
        <v>0.3</v>
      </c>
      <c r="AY67" s="1523">
        <v>0.3</v>
      </c>
      <c r="AZ67" s="1523">
        <v>0.3</v>
      </c>
      <c r="BA67" s="1523">
        <v>0.3</v>
      </c>
      <c r="BB67" s="1524">
        <v>0.3</v>
      </c>
      <c r="BC67" s="1523">
        <v>0.3</v>
      </c>
      <c r="BD67" s="1523">
        <v>0.3</v>
      </c>
      <c r="BE67" s="1523">
        <v>0.4</v>
      </c>
      <c r="BF67" s="1523">
        <v>0.4</v>
      </c>
      <c r="BG67" s="1523">
        <v>0.4</v>
      </c>
      <c r="BI67" s="1547">
        <v>1.2</v>
      </c>
      <c r="BJ67" s="1593" t="s">
        <v>273</v>
      </c>
      <c r="BK67" s="1964" t="s">
        <v>622</v>
      </c>
      <c r="BL67" s="1523">
        <v>0.3</v>
      </c>
      <c r="BM67" s="1523">
        <v>0.3</v>
      </c>
      <c r="BN67" s="1523">
        <v>0.3</v>
      </c>
      <c r="BO67" s="1523">
        <v>0.3</v>
      </c>
      <c r="BP67" s="1523">
        <v>0.3</v>
      </c>
      <c r="BQ67" s="1523">
        <v>0.3</v>
      </c>
      <c r="BR67" s="1523">
        <v>0.3</v>
      </c>
      <c r="BS67" s="1524">
        <v>0.3</v>
      </c>
      <c r="BT67" s="1523">
        <v>0.3</v>
      </c>
      <c r="BU67" s="1523">
        <v>0.3</v>
      </c>
      <c r="BV67" s="1523">
        <v>0.4</v>
      </c>
      <c r="BW67" s="1523">
        <v>0.4</v>
      </c>
      <c r="BX67" s="1523">
        <v>0.4</v>
      </c>
    </row>
    <row r="68" spans="1:77" ht="13.5" customHeight="1">
      <c r="B68" s="1521" t="str">
        <f t="shared" si="31"/>
        <v>1.2.1</v>
      </c>
      <c r="C68" s="1514" t="str">
        <f t="shared" si="32"/>
        <v>広さ感・景観</v>
      </c>
      <c r="D68" s="1621">
        <f t="shared" ref="D68:E70" si="64">IF(I$67&gt;0,G68/I$67,0)</f>
        <v>0.32637075718015668</v>
      </c>
      <c r="E68" s="1591">
        <f t="shared" si="64"/>
        <v>0.5</v>
      </c>
      <c r="G68" s="1591">
        <f t="shared" si="36"/>
        <v>0.32637075718015668</v>
      </c>
      <c r="H68" s="1591">
        <f t="shared" si="36"/>
        <v>0.5</v>
      </c>
      <c r="I68" s="1591"/>
      <c r="J68" s="1591"/>
      <c r="K68" s="1516">
        <f>IF(スコア表示!X68=0,0,1)</f>
        <v>1</v>
      </c>
      <c r="L68" s="1516">
        <f>IF(スコア表示!AB68=0,0,1)</f>
        <v>1</v>
      </c>
      <c r="N68" s="1608">
        <f t="shared" ref="N68:O70" si="65">IF(P$67&gt;0,R68/P$67,0)</f>
        <v>0.32637075718015668</v>
      </c>
      <c r="O68" s="1608">
        <f t="shared" si="65"/>
        <v>0.5</v>
      </c>
      <c r="P68" s="1516"/>
      <c r="Q68" s="1516"/>
      <c r="R68" s="1516">
        <f>IF(スコア入力!R68="EB",重み_対象外!D68,U68)</f>
        <v>3.9164490861618807E-2</v>
      </c>
      <c r="S68" s="1516">
        <f>IF(スコア入力!Y68="EB",重み_対象外!E68,V68)</f>
        <v>8.7259440039812124E-5</v>
      </c>
      <c r="T68" s="1460"/>
      <c r="U68" s="1514">
        <f t="shared" ref="U68:V70" si="66">X$62*X$67*X68</f>
        <v>3.9164490861618807E-2</v>
      </c>
      <c r="V68" s="1514">
        <f t="shared" si="66"/>
        <v>8.7259440039812124E-5</v>
      </c>
      <c r="W68" s="1460"/>
      <c r="X68" s="1516">
        <f t="shared" si="18"/>
        <v>0.32637075718015668</v>
      </c>
      <c r="Y68" s="1516">
        <f t="shared" si="21"/>
        <v>1.0443864229765013E-2</v>
      </c>
      <c r="Z68" s="1545"/>
      <c r="AA68" s="1513" t="str">
        <f t="shared" si="37"/>
        <v>1.2.1</v>
      </c>
      <c r="AB68" s="1513" t="str">
        <f t="shared" si="38"/>
        <v xml:space="preserve"> Q2 1.2</v>
      </c>
      <c r="AC68" s="1513" t="str">
        <f t="shared" si="39"/>
        <v>広さ感・景観</v>
      </c>
      <c r="AD68" s="1659">
        <f t="shared" si="40"/>
        <v>0.33333333333333331</v>
      </c>
      <c r="AE68" s="1659">
        <f t="shared" si="41"/>
        <v>0.5</v>
      </c>
      <c r="AF68" s="1659">
        <f t="shared" si="42"/>
        <v>0.33333333333333331</v>
      </c>
      <c r="AG68" s="1659">
        <f t="shared" si="43"/>
        <v>0.5</v>
      </c>
      <c r="AH68" s="1659">
        <f t="shared" si="44"/>
        <v>0</v>
      </c>
      <c r="AI68" s="1659">
        <f t="shared" si="45"/>
        <v>0</v>
      </c>
      <c r="AJ68" s="1659">
        <f t="shared" si="46"/>
        <v>0</v>
      </c>
      <c r="AK68" s="1663">
        <f t="shared" si="47"/>
        <v>0</v>
      </c>
      <c r="AL68" s="1659">
        <f t="shared" si="48"/>
        <v>0.33333333333333331</v>
      </c>
      <c r="AM68" s="1659">
        <f t="shared" si="48"/>
        <v>0.5</v>
      </c>
      <c r="AN68" s="1660">
        <f t="shared" si="49"/>
        <v>0.5</v>
      </c>
      <c r="AO68" s="1660">
        <f t="shared" si="50"/>
        <v>0.5</v>
      </c>
      <c r="AP68" s="1660">
        <f t="shared" si="51"/>
        <v>0.5</v>
      </c>
      <c r="AQ68" s="1532"/>
      <c r="AR68" s="1547" t="s">
        <v>1367</v>
      </c>
      <c r="AS68" s="1593" t="s">
        <v>277</v>
      </c>
      <c r="AT68" s="1964" t="s">
        <v>278</v>
      </c>
      <c r="AU68" s="1523">
        <v>0.33333333333333331</v>
      </c>
      <c r="AV68" s="1523">
        <v>0.5</v>
      </c>
      <c r="AW68" s="1523">
        <v>0.33333333333333331</v>
      </c>
      <c r="AX68" s="1523">
        <v>0.5</v>
      </c>
      <c r="AY68" s="1523"/>
      <c r="AZ68" s="1523"/>
      <c r="BA68" s="1523"/>
      <c r="BB68" s="1524"/>
      <c r="BC68" s="1523">
        <v>0.33333333333333331</v>
      </c>
      <c r="BD68" s="1523">
        <v>0.5</v>
      </c>
      <c r="BE68" s="1525">
        <v>0.5</v>
      </c>
      <c r="BF68" s="1525">
        <v>0.5</v>
      </c>
      <c r="BG68" s="1525">
        <v>0.5</v>
      </c>
      <c r="BI68" s="1547" t="s">
        <v>1367</v>
      </c>
      <c r="BJ68" s="1593" t="s">
        <v>277</v>
      </c>
      <c r="BK68" s="1964" t="s">
        <v>278</v>
      </c>
      <c r="BL68" s="1523">
        <v>0.33333333333333331</v>
      </c>
      <c r="BM68" s="1523">
        <v>0.5</v>
      </c>
      <c r="BN68" s="1523">
        <v>0.33333333333333331</v>
      </c>
      <c r="BO68" s="1523">
        <v>0.5</v>
      </c>
      <c r="BP68" s="1523"/>
      <c r="BQ68" s="1523"/>
      <c r="BR68" s="1523"/>
      <c r="BS68" s="1524"/>
      <c r="BT68" s="1523">
        <v>0.33333333333333331</v>
      </c>
      <c r="BU68" s="1523">
        <v>0.5</v>
      </c>
      <c r="BV68" s="1525">
        <v>0.5</v>
      </c>
      <c r="BW68" s="1525">
        <v>0.5</v>
      </c>
      <c r="BX68" s="1525">
        <v>0.5</v>
      </c>
    </row>
    <row r="69" spans="1:77" ht="13.5" customHeight="1">
      <c r="B69" s="1521" t="str">
        <f t="shared" si="31"/>
        <v>1.2.2</v>
      </c>
      <c r="C69" s="1514" t="str">
        <f t="shared" si="32"/>
        <v>リフレッシュスペース</v>
      </c>
      <c r="D69" s="1621">
        <f t="shared" si="64"/>
        <v>0.32637075718015668</v>
      </c>
      <c r="E69" s="1591">
        <f t="shared" si="64"/>
        <v>0</v>
      </c>
      <c r="G69" s="1591">
        <f t="shared" si="36"/>
        <v>0.32637075718015668</v>
      </c>
      <c r="H69" s="1591">
        <f t="shared" si="36"/>
        <v>0</v>
      </c>
      <c r="I69" s="1591"/>
      <c r="J69" s="1591"/>
      <c r="K69" s="1516">
        <f>IF(スコア表示!X69=0,0,1)</f>
        <v>1</v>
      </c>
      <c r="L69" s="1516">
        <f>IF(スコア表示!AB69=0,0,1)</f>
        <v>1</v>
      </c>
      <c r="N69" s="1608">
        <f t="shared" si="65"/>
        <v>0.32637075718015668</v>
      </c>
      <c r="O69" s="1608">
        <f t="shared" si="65"/>
        <v>0</v>
      </c>
      <c r="P69" s="1516"/>
      <c r="Q69" s="1516"/>
      <c r="R69" s="1516">
        <f>IF(スコア入力!R69="EB",重み_対象外!D69,U69)</f>
        <v>3.9164490861618807E-2</v>
      </c>
      <c r="S69" s="1516">
        <f>IF(スコア入力!Y69="EB",重み_対象外!E69,V69)</f>
        <v>0</v>
      </c>
      <c r="T69" s="1460"/>
      <c r="U69" s="1514">
        <f t="shared" si="66"/>
        <v>3.9164490861618807E-2</v>
      </c>
      <c r="V69" s="1514">
        <f t="shared" si="66"/>
        <v>0</v>
      </c>
      <c r="W69" s="1460"/>
      <c r="X69" s="1516">
        <f t="shared" si="18"/>
        <v>0.32637075718015668</v>
      </c>
      <c r="Y69" s="1516">
        <f t="shared" si="21"/>
        <v>0</v>
      </c>
      <c r="Z69" s="1545"/>
      <c r="AA69" s="1513" t="str">
        <f t="shared" si="37"/>
        <v>1.2.2</v>
      </c>
      <c r="AB69" s="1513" t="str">
        <f t="shared" si="38"/>
        <v xml:space="preserve"> Q2 1.2</v>
      </c>
      <c r="AC69" s="1513" t="str">
        <f t="shared" si="39"/>
        <v>リフレッシュスペース</v>
      </c>
      <c r="AD69" s="1659">
        <f t="shared" si="40"/>
        <v>0.33333333333333331</v>
      </c>
      <c r="AE69" s="1659">
        <f t="shared" si="41"/>
        <v>0</v>
      </c>
      <c r="AF69" s="1659">
        <f t="shared" si="42"/>
        <v>0.33333333333333331</v>
      </c>
      <c r="AG69" s="1659">
        <f t="shared" si="43"/>
        <v>0</v>
      </c>
      <c r="AH69" s="1659">
        <f t="shared" si="44"/>
        <v>0</v>
      </c>
      <c r="AI69" s="1659">
        <f t="shared" si="45"/>
        <v>0</v>
      </c>
      <c r="AJ69" s="1659">
        <f t="shared" si="46"/>
        <v>0</v>
      </c>
      <c r="AK69" s="1663">
        <f t="shared" si="47"/>
        <v>0</v>
      </c>
      <c r="AL69" s="1659">
        <f t="shared" si="48"/>
        <v>0.33333333333333331</v>
      </c>
      <c r="AM69" s="1659">
        <f t="shared" si="48"/>
        <v>0</v>
      </c>
      <c r="AN69" s="1660">
        <f t="shared" si="49"/>
        <v>0</v>
      </c>
      <c r="AO69" s="1660">
        <f t="shared" si="50"/>
        <v>0</v>
      </c>
      <c r="AP69" s="1660">
        <f t="shared" si="51"/>
        <v>0</v>
      </c>
      <c r="AQ69" s="1532"/>
      <c r="AR69" s="1547" t="s">
        <v>1368</v>
      </c>
      <c r="AS69" s="1593" t="s">
        <v>277</v>
      </c>
      <c r="AT69" s="1964" t="s">
        <v>279</v>
      </c>
      <c r="AU69" s="1523">
        <v>0.33333333333333331</v>
      </c>
      <c r="AV69" s="1523"/>
      <c r="AW69" s="1523">
        <v>0.33333333333333331</v>
      </c>
      <c r="AX69" s="1523"/>
      <c r="AY69" s="1523"/>
      <c r="AZ69" s="1523"/>
      <c r="BA69" s="1523"/>
      <c r="BB69" s="1524"/>
      <c r="BC69" s="1523">
        <v>0.33333333333333331</v>
      </c>
      <c r="BD69" s="1523"/>
      <c r="BE69" s="1525"/>
      <c r="BF69" s="1525"/>
      <c r="BG69" s="1525"/>
      <c r="BI69" s="1547" t="s">
        <v>1368</v>
      </c>
      <c r="BJ69" s="1593" t="s">
        <v>277</v>
      </c>
      <c r="BK69" s="1964" t="s">
        <v>279</v>
      </c>
      <c r="BL69" s="1523">
        <v>0.33333333333333331</v>
      </c>
      <c r="BM69" s="1523"/>
      <c r="BN69" s="1523">
        <v>0.33333333333333331</v>
      </c>
      <c r="BO69" s="1523"/>
      <c r="BP69" s="1523"/>
      <c r="BQ69" s="1523"/>
      <c r="BR69" s="1523"/>
      <c r="BS69" s="1524"/>
      <c r="BT69" s="1523">
        <v>0.33333333333333331</v>
      </c>
      <c r="BU69" s="1523"/>
      <c r="BV69" s="1525"/>
      <c r="BW69" s="1525"/>
      <c r="BX69" s="1525"/>
    </row>
    <row r="70" spans="1:77" ht="13.5" customHeight="1">
      <c r="B70" s="1521" t="str">
        <f t="shared" si="31"/>
        <v>1.2.3</v>
      </c>
      <c r="C70" s="1514" t="str">
        <f t="shared" si="32"/>
        <v>内装計画</v>
      </c>
      <c r="D70" s="1621">
        <f t="shared" si="64"/>
        <v>0.3472584856396867</v>
      </c>
      <c r="E70" s="1591">
        <f t="shared" si="64"/>
        <v>0.5</v>
      </c>
      <c r="G70" s="1591">
        <f t="shared" si="36"/>
        <v>0.3472584856396867</v>
      </c>
      <c r="H70" s="1591">
        <f t="shared" si="36"/>
        <v>0.5</v>
      </c>
      <c r="I70" s="1591"/>
      <c r="J70" s="1591"/>
      <c r="K70" s="1516">
        <f>IF(スコア表示!X70=0,0,1)</f>
        <v>1</v>
      </c>
      <c r="L70" s="1516">
        <f>IF(スコア表示!AB70=0,0,1)</f>
        <v>1</v>
      </c>
      <c r="N70" s="1608">
        <f t="shared" si="65"/>
        <v>0.3472584856396867</v>
      </c>
      <c r="O70" s="1608">
        <f t="shared" si="65"/>
        <v>0.5</v>
      </c>
      <c r="P70" s="1516"/>
      <c r="Q70" s="1516"/>
      <c r="R70" s="1516">
        <f>IF(スコア入力!R70="EB",重み_対象外!D70,U70)</f>
        <v>4.1671018276762409E-2</v>
      </c>
      <c r="S70" s="1516">
        <f>IF(スコア入力!Y70="EB",重み_対象外!E70,V70)</f>
        <v>8.7259440039812124E-5</v>
      </c>
      <c r="T70" s="1460"/>
      <c r="U70" s="1514">
        <f t="shared" si="66"/>
        <v>4.1671018276762409E-2</v>
      </c>
      <c r="V70" s="1514">
        <f t="shared" si="66"/>
        <v>8.7259440039812124E-5</v>
      </c>
      <c r="W70" s="1460"/>
      <c r="X70" s="1516">
        <f t="shared" si="18"/>
        <v>0.3472584856396867</v>
      </c>
      <c r="Y70" s="1516">
        <f t="shared" si="21"/>
        <v>1.0443864229765013E-2</v>
      </c>
      <c r="Z70" s="1545"/>
      <c r="AA70" s="1513" t="str">
        <f t="shared" si="37"/>
        <v>1.2.3</v>
      </c>
      <c r="AB70" s="1513" t="str">
        <f t="shared" si="38"/>
        <v xml:space="preserve"> Q2 1.2</v>
      </c>
      <c r="AC70" s="1513" t="str">
        <f t="shared" si="39"/>
        <v>内装計画</v>
      </c>
      <c r="AD70" s="1659">
        <f t="shared" si="40"/>
        <v>0.33333333333333331</v>
      </c>
      <c r="AE70" s="1659">
        <f t="shared" si="41"/>
        <v>0.5</v>
      </c>
      <c r="AF70" s="1659">
        <f t="shared" si="42"/>
        <v>0.33333333333333331</v>
      </c>
      <c r="AG70" s="1659">
        <f t="shared" si="43"/>
        <v>0.5</v>
      </c>
      <c r="AH70" s="1659">
        <f t="shared" si="44"/>
        <v>1</v>
      </c>
      <c r="AI70" s="1659">
        <f t="shared" si="45"/>
        <v>1</v>
      </c>
      <c r="AJ70" s="1659">
        <f t="shared" si="46"/>
        <v>1</v>
      </c>
      <c r="AK70" s="1663">
        <f t="shared" si="47"/>
        <v>1</v>
      </c>
      <c r="AL70" s="1659">
        <f t="shared" si="48"/>
        <v>0.33333333333333331</v>
      </c>
      <c r="AM70" s="1659">
        <f t="shared" si="48"/>
        <v>0.5</v>
      </c>
      <c r="AN70" s="1660">
        <f t="shared" si="49"/>
        <v>0.5</v>
      </c>
      <c r="AO70" s="1660">
        <f t="shared" si="50"/>
        <v>0.5</v>
      </c>
      <c r="AP70" s="1660">
        <f t="shared" si="51"/>
        <v>0.5</v>
      </c>
      <c r="AQ70" s="1532"/>
      <c r="AR70" s="1547" t="s">
        <v>1369</v>
      </c>
      <c r="AS70" s="1593" t="s">
        <v>277</v>
      </c>
      <c r="AT70" s="1964" t="s">
        <v>280</v>
      </c>
      <c r="AU70" s="1523">
        <v>0.33333333333333331</v>
      </c>
      <c r="AV70" s="1523">
        <v>0.5</v>
      </c>
      <c r="AW70" s="1523">
        <v>0.33333333333333331</v>
      </c>
      <c r="AX70" s="1523">
        <v>0.5</v>
      </c>
      <c r="AY70" s="1523">
        <v>1</v>
      </c>
      <c r="AZ70" s="1523">
        <v>1</v>
      </c>
      <c r="BA70" s="1523">
        <v>1</v>
      </c>
      <c r="BB70" s="1524">
        <v>1</v>
      </c>
      <c r="BC70" s="1523">
        <v>0.33333333333333331</v>
      </c>
      <c r="BD70" s="1523">
        <v>0.5</v>
      </c>
      <c r="BE70" s="1525">
        <v>0.5</v>
      </c>
      <c r="BF70" s="1525">
        <v>0.5</v>
      </c>
      <c r="BG70" s="1525">
        <v>0.5</v>
      </c>
      <c r="BI70" s="1547" t="s">
        <v>1369</v>
      </c>
      <c r="BJ70" s="1593" t="s">
        <v>277</v>
      </c>
      <c r="BK70" s="1964" t="s">
        <v>280</v>
      </c>
      <c r="BL70" s="1523">
        <v>0.33333333333333331</v>
      </c>
      <c r="BM70" s="1523">
        <v>0.5</v>
      </c>
      <c r="BN70" s="1523">
        <v>0.33333333333333331</v>
      </c>
      <c r="BO70" s="1523">
        <v>0.5</v>
      </c>
      <c r="BP70" s="1523">
        <v>1</v>
      </c>
      <c r="BQ70" s="1523">
        <v>1</v>
      </c>
      <c r="BR70" s="1523">
        <v>1</v>
      </c>
      <c r="BS70" s="1524">
        <v>1</v>
      </c>
      <c r="BT70" s="1523">
        <v>0.33333333333333331</v>
      </c>
      <c r="BU70" s="1523">
        <v>0.5</v>
      </c>
      <c r="BV70" s="1525">
        <v>0.5</v>
      </c>
      <c r="BW70" s="1525">
        <v>0.5</v>
      </c>
      <c r="BX70" s="1525">
        <v>0.5</v>
      </c>
    </row>
    <row r="71" spans="1:77" ht="13.5" customHeight="1">
      <c r="B71" s="1521">
        <f t="shared" si="31"/>
        <v>1.3</v>
      </c>
      <c r="C71" s="1514" t="str">
        <f t="shared" si="32"/>
        <v>維持管理</v>
      </c>
      <c r="D71" s="1616">
        <f>IF(I$62=0,0,G71/I$62)</f>
        <v>0.29999999999999993</v>
      </c>
      <c r="E71" s="1591">
        <f>IF(J$62=0,0,H71/J$62)</f>
        <v>0</v>
      </c>
      <c r="G71" s="1591">
        <f t="shared" si="36"/>
        <v>0.3</v>
      </c>
      <c r="H71" s="1591">
        <f t="shared" si="36"/>
        <v>0</v>
      </c>
      <c r="I71" s="1591">
        <f>G72+G73+G74</f>
        <v>1</v>
      </c>
      <c r="J71" s="1591">
        <f>H72+H73+H74</f>
        <v>0</v>
      </c>
      <c r="K71" s="1516">
        <f>IF(スコア表示!X71=0,0,1)</f>
        <v>1</v>
      </c>
      <c r="L71" s="1516">
        <f>IF(スコア表示!AB71=0,0,1)</f>
        <v>0</v>
      </c>
      <c r="N71" s="1608">
        <f>IF(P$62=0,0,P71/P$62)</f>
        <v>0.3</v>
      </c>
      <c r="O71" s="1608">
        <f>IF(Q$62=0,0,Q71/Q$62)</f>
        <v>0</v>
      </c>
      <c r="P71" s="1516">
        <f>SUM(R72:R74)</f>
        <v>0.12000000000000002</v>
      </c>
      <c r="Q71" s="1516">
        <f>SUM(S72:S74)</f>
        <v>0</v>
      </c>
      <c r="R71" s="1516">
        <f>IF(スコア入力!R71="EB",重み_対象外!D71,U71)</f>
        <v>0</v>
      </c>
      <c r="S71" s="1516">
        <f>IF(スコア入力!Y71="EB",重み_対象外!E71,V71)</f>
        <v>0</v>
      </c>
      <c r="T71" s="1460"/>
      <c r="U71" s="1514"/>
      <c r="V71" s="1514"/>
      <c r="W71" s="1460"/>
      <c r="X71" s="1516">
        <f t="shared" si="18"/>
        <v>0.3</v>
      </c>
      <c r="Y71" s="1516">
        <f t="shared" si="21"/>
        <v>0</v>
      </c>
      <c r="Z71" s="1545"/>
      <c r="AA71" s="1513">
        <f t="shared" si="37"/>
        <v>1.3</v>
      </c>
      <c r="AB71" s="1513" t="str">
        <f t="shared" si="38"/>
        <v xml:space="preserve"> Q2 1</v>
      </c>
      <c r="AC71" s="1513" t="str">
        <f t="shared" si="39"/>
        <v>維持管理</v>
      </c>
      <c r="AD71" s="1659">
        <f t="shared" si="40"/>
        <v>0.3</v>
      </c>
      <c r="AE71" s="1659">
        <f t="shared" si="41"/>
        <v>0.3</v>
      </c>
      <c r="AF71" s="1659">
        <f t="shared" si="42"/>
        <v>0.3</v>
      </c>
      <c r="AG71" s="1659">
        <f t="shared" si="43"/>
        <v>0.3</v>
      </c>
      <c r="AH71" s="1659">
        <f t="shared" si="44"/>
        <v>0.3</v>
      </c>
      <c r="AI71" s="1659">
        <f t="shared" si="45"/>
        <v>0.3</v>
      </c>
      <c r="AJ71" s="1659">
        <f t="shared" si="46"/>
        <v>0.3</v>
      </c>
      <c r="AK71" s="1663">
        <f t="shared" si="47"/>
        <v>0.3</v>
      </c>
      <c r="AL71" s="1659">
        <f t="shared" si="48"/>
        <v>0.3</v>
      </c>
      <c r="AM71" s="1659">
        <f t="shared" si="48"/>
        <v>0.3</v>
      </c>
      <c r="AN71" s="1660">
        <f t="shared" si="49"/>
        <v>0</v>
      </c>
      <c r="AO71" s="1660">
        <f t="shared" si="50"/>
        <v>0</v>
      </c>
      <c r="AP71" s="1660">
        <f t="shared" si="51"/>
        <v>0</v>
      </c>
      <c r="AQ71" s="1532"/>
      <c r="AR71" s="1547">
        <v>1.3</v>
      </c>
      <c r="AS71" s="1593" t="s">
        <v>273</v>
      </c>
      <c r="AT71" s="1964" t="s">
        <v>281</v>
      </c>
      <c r="AU71" s="1523">
        <v>0.3</v>
      </c>
      <c r="AV71" s="1523">
        <v>0.3</v>
      </c>
      <c r="AW71" s="1523">
        <v>0.3</v>
      </c>
      <c r="AX71" s="1523">
        <v>0.3</v>
      </c>
      <c r="AY71" s="1523">
        <v>0.3</v>
      </c>
      <c r="AZ71" s="1523">
        <v>0.3</v>
      </c>
      <c r="BA71" s="1523">
        <v>0.3</v>
      </c>
      <c r="BB71" s="1524">
        <v>0.3</v>
      </c>
      <c r="BC71" s="1523">
        <v>0.3</v>
      </c>
      <c r="BD71" s="1523">
        <v>0.3</v>
      </c>
      <c r="BE71" s="1525"/>
      <c r="BF71" s="1525"/>
      <c r="BG71" s="1525"/>
      <c r="BI71" s="1547">
        <v>1.3</v>
      </c>
      <c r="BJ71" s="1593" t="s">
        <v>273</v>
      </c>
      <c r="BK71" s="1964" t="s">
        <v>281</v>
      </c>
      <c r="BL71" s="1523">
        <v>0.3</v>
      </c>
      <c r="BM71" s="1523">
        <v>0.3</v>
      </c>
      <c r="BN71" s="1523">
        <v>0.3</v>
      </c>
      <c r="BO71" s="1523">
        <v>0.3</v>
      </c>
      <c r="BP71" s="1523">
        <v>0.3</v>
      </c>
      <c r="BQ71" s="1523">
        <v>0.3</v>
      </c>
      <c r="BR71" s="1523">
        <v>0.3</v>
      </c>
      <c r="BS71" s="1524">
        <v>0.3</v>
      </c>
      <c r="BT71" s="1523">
        <v>0.3</v>
      </c>
      <c r="BU71" s="1523">
        <v>0.3</v>
      </c>
      <c r="BV71" s="1525"/>
      <c r="BW71" s="1525"/>
      <c r="BX71" s="1525"/>
    </row>
    <row r="72" spans="1:77" ht="13.5" customHeight="1">
      <c r="B72" s="1521" t="str">
        <f t="shared" si="31"/>
        <v>1.3.1</v>
      </c>
      <c r="C72" s="1514" t="str">
        <f t="shared" si="32"/>
        <v>維持管理に配慮した設計</v>
      </c>
      <c r="D72" s="1621">
        <f t="shared" ref="D72:E74" si="67">IF(I$71&gt;0,G72/I$71,0)</f>
        <v>0.5</v>
      </c>
      <c r="E72" s="1621">
        <f t="shared" si="67"/>
        <v>0</v>
      </c>
      <c r="G72" s="1591">
        <f t="shared" si="36"/>
        <v>0.5</v>
      </c>
      <c r="H72" s="1591">
        <f t="shared" si="36"/>
        <v>0</v>
      </c>
      <c r="I72" s="1591"/>
      <c r="J72" s="1591"/>
      <c r="K72" s="1516">
        <f>IF(スコア表示!X72=0,0,1)</f>
        <v>1</v>
      </c>
      <c r="L72" s="1516">
        <f>IF(スコア表示!AB72=0,0,1)</f>
        <v>0</v>
      </c>
      <c r="N72" s="1608">
        <f t="shared" ref="N72:O74" si="68">IF(P$71&gt;0,R72/P$71,0)</f>
        <v>0.5</v>
      </c>
      <c r="O72" s="1608">
        <f t="shared" si="68"/>
        <v>0</v>
      </c>
      <c r="P72" s="1516"/>
      <c r="Q72" s="1516"/>
      <c r="R72" s="1516">
        <f>IF(スコア入力!R72="EB",重み_対象外!D72,U72)</f>
        <v>6.0000000000000012E-2</v>
      </c>
      <c r="S72" s="1516">
        <f>IF(スコア入力!Y72="EB",重み_対象外!E72,V72)</f>
        <v>0</v>
      </c>
      <c r="T72" s="1460"/>
      <c r="U72" s="1514">
        <f t="shared" ref="U72:V74" si="69">X$62*X$71*X72</f>
        <v>6.0000000000000012E-2</v>
      </c>
      <c r="V72" s="1514">
        <f t="shared" si="69"/>
        <v>0</v>
      </c>
      <c r="W72" s="1460"/>
      <c r="X72" s="1516">
        <f t="shared" si="18"/>
        <v>0.5</v>
      </c>
      <c r="Y72" s="1516">
        <f t="shared" si="21"/>
        <v>0</v>
      </c>
      <c r="Z72" s="1545"/>
      <c r="AA72" s="1513" t="str">
        <f t="shared" si="37"/>
        <v>1.3.1</v>
      </c>
      <c r="AB72" s="1513" t="str">
        <f t="shared" si="38"/>
        <v xml:space="preserve"> Q2 1.3</v>
      </c>
      <c r="AC72" s="1513" t="str">
        <f t="shared" si="39"/>
        <v>維持管理に配慮した設計</v>
      </c>
      <c r="AD72" s="1659">
        <f t="shared" si="40"/>
        <v>0.5</v>
      </c>
      <c r="AE72" s="1659">
        <f t="shared" si="41"/>
        <v>0.5</v>
      </c>
      <c r="AF72" s="1659">
        <f t="shared" si="42"/>
        <v>0.5</v>
      </c>
      <c r="AG72" s="1659">
        <f t="shared" si="43"/>
        <v>0.5</v>
      </c>
      <c r="AH72" s="1659">
        <f t="shared" si="44"/>
        <v>0.5</v>
      </c>
      <c r="AI72" s="1659">
        <f t="shared" si="45"/>
        <v>0.5</v>
      </c>
      <c r="AJ72" s="1659">
        <f t="shared" si="46"/>
        <v>0.5</v>
      </c>
      <c r="AK72" s="1663">
        <f t="shared" si="47"/>
        <v>0.5</v>
      </c>
      <c r="AL72" s="1659">
        <f t="shared" si="48"/>
        <v>0.5</v>
      </c>
      <c r="AM72" s="1659">
        <f t="shared" si="48"/>
        <v>0.5</v>
      </c>
      <c r="AN72" s="1660">
        <f t="shared" si="49"/>
        <v>0</v>
      </c>
      <c r="AO72" s="1660">
        <f t="shared" si="50"/>
        <v>0</v>
      </c>
      <c r="AP72" s="1660">
        <f t="shared" si="51"/>
        <v>0</v>
      </c>
      <c r="AQ72" s="1532"/>
      <c r="AR72" s="1547" t="s">
        <v>282</v>
      </c>
      <c r="AS72" s="1593" t="s">
        <v>283</v>
      </c>
      <c r="AT72" s="1964" t="s">
        <v>761</v>
      </c>
      <c r="AU72" s="1523">
        <v>0.5</v>
      </c>
      <c r="AV72" s="1523">
        <v>0.5</v>
      </c>
      <c r="AW72" s="1523">
        <v>0.5</v>
      </c>
      <c r="AX72" s="1523">
        <v>0.5</v>
      </c>
      <c r="AY72" s="1523">
        <v>0.5</v>
      </c>
      <c r="AZ72" s="1523">
        <v>0.5</v>
      </c>
      <c r="BA72" s="1523">
        <v>0.5</v>
      </c>
      <c r="BB72" s="1524">
        <v>0.5</v>
      </c>
      <c r="BC72" s="1523">
        <v>0.5</v>
      </c>
      <c r="BD72" s="1523">
        <v>0.5</v>
      </c>
      <c r="BE72" s="1525"/>
      <c r="BF72" s="1525"/>
      <c r="BG72" s="1525"/>
      <c r="BI72" s="1547" t="s">
        <v>282</v>
      </c>
      <c r="BJ72" s="1593" t="s">
        <v>283</v>
      </c>
      <c r="BK72" s="1964" t="s">
        <v>761</v>
      </c>
      <c r="BL72" s="1523">
        <v>0.5</v>
      </c>
      <c r="BM72" s="1523">
        <v>0.5</v>
      </c>
      <c r="BN72" s="1523">
        <v>0.5</v>
      </c>
      <c r="BO72" s="1523">
        <v>0.5</v>
      </c>
      <c r="BP72" s="1523">
        <v>0.5</v>
      </c>
      <c r="BQ72" s="1523">
        <v>0.5</v>
      </c>
      <c r="BR72" s="1523">
        <v>0.5</v>
      </c>
      <c r="BS72" s="1524">
        <v>0.5</v>
      </c>
      <c r="BT72" s="1523">
        <v>0.5</v>
      </c>
      <c r="BU72" s="1523">
        <v>0.5</v>
      </c>
      <c r="BV72" s="1525"/>
      <c r="BW72" s="1525"/>
      <c r="BX72" s="1525"/>
    </row>
    <row r="73" spans="1:77" ht="13.5" customHeight="1">
      <c r="B73" s="1521" t="str">
        <f t="shared" ref="B73:B104" si="70">AA73</f>
        <v>1.3.2</v>
      </c>
      <c r="C73" s="1514" t="str">
        <f t="shared" ref="C73:C104" si="71">AC73</f>
        <v>維持管理用機能の確保</v>
      </c>
      <c r="D73" s="1621">
        <f t="shared" si="67"/>
        <v>0.5</v>
      </c>
      <c r="E73" s="1621">
        <f t="shared" si="67"/>
        <v>0</v>
      </c>
      <c r="G73" s="1591">
        <f t="shared" ref="G73:H104" si="72">K73*N73</f>
        <v>0.5</v>
      </c>
      <c r="H73" s="1591">
        <f t="shared" si="72"/>
        <v>0</v>
      </c>
      <c r="I73" s="1591"/>
      <c r="J73" s="1591"/>
      <c r="K73" s="1516">
        <f>IF(スコア表示!X73=0,0,1)</f>
        <v>1</v>
      </c>
      <c r="L73" s="1516">
        <f>IF(スコア表示!AB73=0,0,1)</f>
        <v>0</v>
      </c>
      <c r="N73" s="1608">
        <f t="shared" si="68"/>
        <v>0.5</v>
      </c>
      <c r="O73" s="1608">
        <f t="shared" si="68"/>
        <v>0</v>
      </c>
      <c r="P73" s="1516"/>
      <c r="Q73" s="1516"/>
      <c r="R73" s="1516">
        <f>IF(スコア入力!R73="EB",重み_対象外!D73,U73)</f>
        <v>6.0000000000000012E-2</v>
      </c>
      <c r="S73" s="1516">
        <f>IF(スコア入力!Y73="EB",重み_対象外!E73,V73)</f>
        <v>0</v>
      </c>
      <c r="T73" s="1460"/>
      <c r="U73" s="1514">
        <f t="shared" si="69"/>
        <v>6.0000000000000012E-2</v>
      </c>
      <c r="V73" s="1514">
        <f t="shared" si="69"/>
        <v>0</v>
      </c>
      <c r="W73" s="1460"/>
      <c r="X73" s="1516">
        <f t="shared" si="18"/>
        <v>0.5</v>
      </c>
      <c r="Y73" s="1516">
        <f t="shared" si="21"/>
        <v>0</v>
      </c>
      <c r="Z73" s="1545"/>
      <c r="AA73" s="1513" t="str">
        <f t="shared" si="37"/>
        <v>1.3.2</v>
      </c>
      <c r="AB73" s="1513" t="str">
        <f t="shared" si="38"/>
        <v xml:space="preserve"> Q2 1.3</v>
      </c>
      <c r="AC73" s="1513" t="str">
        <f t="shared" si="39"/>
        <v>維持管理用機能の確保</v>
      </c>
      <c r="AD73" s="1659">
        <f t="shared" si="40"/>
        <v>0.5</v>
      </c>
      <c r="AE73" s="1659">
        <f t="shared" si="41"/>
        <v>0.5</v>
      </c>
      <c r="AF73" s="1659">
        <f t="shared" si="42"/>
        <v>0.5</v>
      </c>
      <c r="AG73" s="1659">
        <f t="shared" si="43"/>
        <v>0.5</v>
      </c>
      <c r="AH73" s="1659">
        <f t="shared" si="44"/>
        <v>0.5</v>
      </c>
      <c r="AI73" s="1659">
        <f t="shared" si="45"/>
        <v>0.5</v>
      </c>
      <c r="AJ73" s="1659">
        <f t="shared" si="46"/>
        <v>0.5</v>
      </c>
      <c r="AK73" s="1663">
        <f t="shared" si="47"/>
        <v>0.5</v>
      </c>
      <c r="AL73" s="1659">
        <f t="shared" si="48"/>
        <v>0.5</v>
      </c>
      <c r="AM73" s="1659">
        <f t="shared" si="48"/>
        <v>0.5</v>
      </c>
      <c r="AN73" s="1660">
        <f t="shared" si="49"/>
        <v>0</v>
      </c>
      <c r="AO73" s="1660">
        <f t="shared" si="50"/>
        <v>0</v>
      </c>
      <c r="AP73" s="1660">
        <f t="shared" si="51"/>
        <v>0</v>
      </c>
      <c r="AQ73" s="1532"/>
      <c r="AR73" s="1547" t="s">
        <v>284</v>
      </c>
      <c r="AS73" s="1593" t="s">
        <v>283</v>
      </c>
      <c r="AT73" s="1964" t="s">
        <v>371</v>
      </c>
      <c r="AU73" s="1523">
        <v>0.5</v>
      </c>
      <c r="AV73" s="1523">
        <v>0.5</v>
      </c>
      <c r="AW73" s="1523">
        <v>0.5</v>
      </c>
      <c r="AX73" s="1523">
        <v>0.5</v>
      </c>
      <c r="AY73" s="1523">
        <v>0.5</v>
      </c>
      <c r="AZ73" s="1523">
        <v>0.5</v>
      </c>
      <c r="BA73" s="1523">
        <v>0.5</v>
      </c>
      <c r="BB73" s="1524">
        <v>0.5</v>
      </c>
      <c r="BC73" s="1523">
        <v>0.5</v>
      </c>
      <c r="BD73" s="1523">
        <v>0.5</v>
      </c>
      <c r="BE73" s="1525"/>
      <c r="BF73" s="1525"/>
      <c r="BG73" s="1525"/>
      <c r="BI73" s="1547" t="s">
        <v>284</v>
      </c>
      <c r="BJ73" s="1593" t="s">
        <v>283</v>
      </c>
      <c r="BK73" s="1964" t="s">
        <v>371</v>
      </c>
      <c r="BL73" s="1523">
        <v>0.5</v>
      </c>
      <c r="BM73" s="1523">
        <v>0.5</v>
      </c>
      <c r="BN73" s="1523">
        <v>0.5</v>
      </c>
      <c r="BO73" s="1523">
        <v>0.5</v>
      </c>
      <c r="BP73" s="1523">
        <v>0.5</v>
      </c>
      <c r="BQ73" s="1523">
        <v>0.5</v>
      </c>
      <c r="BR73" s="1523">
        <v>0.5</v>
      </c>
      <c r="BS73" s="1524">
        <v>0.5</v>
      </c>
      <c r="BT73" s="1523">
        <v>0.5</v>
      </c>
      <c r="BU73" s="1523">
        <v>0.5</v>
      </c>
      <c r="BV73" s="1525"/>
      <c r="BW73" s="1525"/>
      <c r="BX73" s="1525"/>
    </row>
    <row r="74" spans="1:77" s="1667" customFormat="1" ht="13.5" hidden="1" customHeight="1">
      <c r="A74"/>
      <c r="B74" s="1521">
        <f t="shared" si="70"/>
        <v>0</v>
      </c>
      <c r="C74" s="1514">
        <f t="shared" si="71"/>
        <v>0</v>
      </c>
      <c r="D74" s="1621">
        <f t="shared" si="67"/>
        <v>0</v>
      </c>
      <c r="E74" s="1621">
        <f t="shared" si="67"/>
        <v>0</v>
      </c>
      <c r="F74"/>
      <c r="G74" s="1591">
        <f t="shared" si="72"/>
        <v>0</v>
      </c>
      <c r="H74" s="1591">
        <f t="shared" si="72"/>
        <v>0</v>
      </c>
      <c r="I74" s="1591"/>
      <c r="J74" s="1591"/>
      <c r="K74" s="1516">
        <f>IF(スコア表示!X74=0,0,1)</f>
        <v>1</v>
      </c>
      <c r="L74" s="1516">
        <f>IF(スコア表示!AB74=0,0,1)</f>
        <v>0</v>
      </c>
      <c r="M74"/>
      <c r="N74" s="1608">
        <f t="shared" si="68"/>
        <v>0</v>
      </c>
      <c r="O74" s="1608">
        <f t="shared" si="68"/>
        <v>0</v>
      </c>
      <c r="P74" s="1516"/>
      <c r="Q74" s="1516"/>
      <c r="R74" s="1516">
        <f>IF(スコア入力!R74="EB",重み_対象外!D74,U74)</f>
        <v>0</v>
      </c>
      <c r="S74" s="1516">
        <f>IF(スコア入力!Y74="EB",重み_対象外!E74,V74)</f>
        <v>0</v>
      </c>
      <c r="T74" s="1460"/>
      <c r="U74" s="1514">
        <f t="shared" si="69"/>
        <v>0</v>
      </c>
      <c r="V74" s="1514">
        <f t="shared" si="69"/>
        <v>0</v>
      </c>
      <c r="W74" s="1460"/>
      <c r="X74" s="1516">
        <f t="shared" ref="X74:X141" si="73">SUMPRODUCT($AD$7:$AM$7,AD74:AM74)</f>
        <v>0</v>
      </c>
      <c r="Y74" s="1516">
        <f t="shared" ref="Y74:Y141" si="74">(AN$7*AN74)+(AO$7*AO74)+(AP$7*AP74)</f>
        <v>0</v>
      </c>
      <c r="Z74" s="1545"/>
      <c r="AA74" s="1513">
        <f t="shared" ref="AA74:AA83" si="75">IF($AA$3=1,AR74,BI74)</f>
        <v>0</v>
      </c>
      <c r="AB74" s="1513" t="str">
        <f t="shared" ref="AB74:AB83" si="76">IF($AA$3=1,AS74,BJ74)</f>
        <v>0</v>
      </c>
      <c r="AC74" s="1513">
        <f t="shared" ref="AC74:AC83" si="77">IF($AA$3=1,AT74,BK74)</f>
        <v>0</v>
      </c>
      <c r="AD74" s="1659">
        <f t="shared" ref="AD74:AD83" si="78">IF($AA$3=1,AU74,BL74)</f>
        <v>0</v>
      </c>
      <c r="AE74" s="1659">
        <f t="shared" ref="AE74:AE83" si="79">IF($AA$3=1,AV74,BM74)</f>
        <v>0</v>
      </c>
      <c r="AF74" s="1659">
        <f t="shared" ref="AF74:AF83" si="80">IF($AA$3=1,AW74,BN74)</f>
        <v>0</v>
      </c>
      <c r="AG74" s="1659">
        <f t="shared" ref="AG74:AG83" si="81">IF($AA$3=1,AX74,BO74)</f>
        <v>0</v>
      </c>
      <c r="AH74" s="1659">
        <f t="shared" ref="AH74:AH83" si="82">IF($AA$3=1,AY74,BP74)</f>
        <v>0</v>
      </c>
      <c r="AI74" s="1659">
        <f t="shared" ref="AI74:AI83" si="83">IF($AA$3=1,AZ74,BQ74)</f>
        <v>0</v>
      </c>
      <c r="AJ74" s="1659">
        <f t="shared" ref="AJ74:AJ83" si="84">IF($AA$3=1,BA74,BR74)</f>
        <v>0</v>
      </c>
      <c r="AK74" s="1663">
        <f t="shared" ref="AK74:AK83" si="85">IF($AA$3=1,BB74,BS74)</f>
        <v>0</v>
      </c>
      <c r="AL74" s="1659">
        <f t="shared" ref="AL74:AM83" si="86">IF($AA$3=1,BC74,BT74)</f>
        <v>0</v>
      </c>
      <c r="AM74" s="1659">
        <f t="shared" si="86"/>
        <v>0</v>
      </c>
      <c r="AN74" s="1660">
        <f t="shared" ref="AN74:AN83" si="87">IF($AA$3=1,BE74,BV74)</f>
        <v>0</v>
      </c>
      <c r="AO74" s="1660">
        <f t="shared" ref="AO74:AO83" si="88">IF($AA$3=1,BF74,BW74)</f>
        <v>0</v>
      </c>
      <c r="AP74" s="1660">
        <f t="shared" ref="AP74:AP83" si="89">IF($AA$3=1,BG74,BX74)</f>
        <v>0</v>
      </c>
      <c r="AQ74" s="1532"/>
      <c r="AR74" s="1547">
        <v>0</v>
      </c>
      <c r="AS74" s="1593" t="s">
        <v>1370</v>
      </c>
      <c r="AT74" s="1964"/>
      <c r="AU74" s="1523"/>
      <c r="AV74" s="1523"/>
      <c r="AW74" s="1523"/>
      <c r="AX74" s="1523"/>
      <c r="AY74" s="1523"/>
      <c r="AZ74" s="1523"/>
      <c r="BA74" s="1523"/>
      <c r="BB74" s="1721"/>
      <c r="BC74" s="1523"/>
      <c r="BD74" s="1523"/>
      <c r="BE74" s="1525"/>
      <c r="BF74" s="1525"/>
      <c r="BG74" s="1525"/>
      <c r="BH74"/>
      <c r="BI74" s="1547">
        <v>0</v>
      </c>
      <c r="BJ74" s="1593" t="s">
        <v>1370</v>
      </c>
      <c r="BK74" s="1964"/>
      <c r="BL74" s="1523"/>
      <c r="BM74" s="1523"/>
      <c r="BN74" s="1523"/>
      <c r="BO74" s="1523"/>
      <c r="BP74" s="1523"/>
      <c r="BQ74" s="1523"/>
      <c r="BR74" s="1523"/>
      <c r="BS74" s="1721"/>
      <c r="BT74" s="1523"/>
      <c r="BU74" s="1523"/>
      <c r="BV74" s="1525"/>
      <c r="BW74" s="1525"/>
      <c r="BX74" s="1525"/>
      <c r="BY74"/>
    </row>
    <row r="75" spans="1:77" s="1505" customFormat="1" ht="13.5" customHeight="1">
      <c r="A75"/>
      <c r="B75" s="1506">
        <f t="shared" si="70"/>
        <v>2</v>
      </c>
      <c r="C75" s="1528" t="str">
        <f t="shared" si="71"/>
        <v>耐用性・信頼性</v>
      </c>
      <c r="D75" s="1962">
        <f>IF(I$61=0,0,G75/I$61)</f>
        <v>0.30055320689254822</v>
      </c>
      <c r="E75" s="1643">
        <f>IF(J$61=0,0,H75/J$61)</f>
        <v>0</v>
      </c>
      <c r="F75"/>
      <c r="G75" s="1643">
        <f t="shared" si="72"/>
        <v>0.30055320689254822</v>
      </c>
      <c r="H75" s="1643">
        <f t="shared" si="72"/>
        <v>0</v>
      </c>
      <c r="I75" s="1643">
        <f>G76+G79++G86+G90</f>
        <v>0.99999999999999967</v>
      </c>
      <c r="J75" s="1643">
        <f>H76+H79++H86+H90</f>
        <v>0</v>
      </c>
      <c r="K75" s="1509">
        <f>IF(スコア表示!X75=0,0,1)</f>
        <v>1</v>
      </c>
      <c r="L75" s="1509">
        <f>IF(スコア表示!AB75=0,0,1)</f>
        <v>0</v>
      </c>
      <c r="M75"/>
      <c r="N75" s="1607">
        <f>IF(P$61=0,0,R75/P$61)</f>
        <v>0.30055320689254822</v>
      </c>
      <c r="O75" s="1607">
        <f>IF(Q$61=0,0,S75/Q$61)</f>
        <v>0</v>
      </c>
      <c r="P75" s="1610">
        <f>SUM(R76:R95)</f>
        <v>0.30000000000000016</v>
      </c>
      <c r="Q75" s="1610">
        <f>SUM(S76:S95)</f>
        <v>0</v>
      </c>
      <c r="R75" s="1509">
        <f>IF(スコア入力!R75="EB",重み_対象外!D75,U75)</f>
        <v>0.30000000000000016</v>
      </c>
      <c r="S75" s="1509">
        <f>IF(スコア入力!Y75="EB",重み_対象外!E75,V75)</f>
        <v>0</v>
      </c>
      <c r="T75" s="1460"/>
      <c r="U75" s="1507">
        <f>SUM(U76:U95)</f>
        <v>0.30000000000000016</v>
      </c>
      <c r="V75" s="1507">
        <f>SUM(V76:V95)</f>
        <v>0</v>
      </c>
      <c r="W75" s="1460"/>
      <c r="X75" s="1509">
        <f t="shared" si="73"/>
        <v>0.3</v>
      </c>
      <c r="Y75" s="1509">
        <v>1</v>
      </c>
      <c r="Z75" s="1542"/>
      <c r="AA75" s="1506">
        <f t="shared" si="75"/>
        <v>2</v>
      </c>
      <c r="AB75" s="1506" t="str">
        <f t="shared" si="76"/>
        <v xml:space="preserve"> Q2</v>
      </c>
      <c r="AC75" s="1506" t="str">
        <f t="shared" si="77"/>
        <v>耐用性・信頼性</v>
      </c>
      <c r="AD75" s="1656">
        <f t="shared" si="78"/>
        <v>0.3</v>
      </c>
      <c r="AE75" s="1656">
        <f t="shared" si="79"/>
        <v>0.3</v>
      </c>
      <c r="AF75" s="1656">
        <f t="shared" si="80"/>
        <v>0.3</v>
      </c>
      <c r="AG75" s="1656">
        <f t="shared" si="81"/>
        <v>0.3</v>
      </c>
      <c r="AH75" s="1656">
        <f t="shared" si="82"/>
        <v>0.3</v>
      </c>
      <c r="AI75" s="1656">
        <f t="shared" si="83"/>
        <v>0.3</v>
      </c>
      <c r="AJ75" s="1656">
        <f t="shared" si="84"/>
        <v>0.3</v>
      </c>
      <c r="AK75" s="1668">
        <f t="shared" si="85"/>
        <v>0.3</v>
      </c>
      <c r="AL75" s="1656">
        <f t="shared" si="86"/>
        <v>0.3</v>
      </c>
      <c r="AM75" s="1656">
        <f t="shared" si="86"/>
        <v>0.3</v>
      </c>
      <c r="AN75" s="1658">
        <f t="shared" si="87"/>
        <v>0</v>
      </c>
      <c r="AO75" s="1656">
        <f t="shared" si="88"/>
        <v>0</v>
      </c>
      <c r="AP75" s="1656">
        <f t="shared" si="89"/>
        <v>0</v>
      </c>
      <c r="AQ75" s="1512"/>
      <c r="AR75" s="1541">
        <v>2</v>
      </c>
      <c r="AS75" s="1644" t="s">
        <v>271</v>
      </c>
      <c r="AT75" s="1687" t="s">
        <v>372</v>
      </c>
      <c r="AU75" s="1611">
        <v>0.3</v>
      </c>
      <c r="AV75" s="1611">
        <v>0.3</v>
      </c>
      <c r="AW75" s="1611">
        <v>0.3</v>
      </c>
      <c r="AX75" s="1611">
        <v>0.3</v>
      </c>
      <c r="AY75" s="1611">
        <v>0.3</v>
      </c>
      <c r="AZ75" s="1611">
        <v>0.3</v>
      </c>
      <c r="BA75" s="1611">
        <v>0.3</v>
      </c>
      <c r="BB75" s="1611">
        <v>0.3</v>
      </c>
      <c r="BC75" s="1611">
        <v>0.3</v>
      </c>
      <c r="BD75" s="1611">
        <v>0.3</v>
      </c>
      <c r="BE75" s="1963"/>
      <c r="BF75" s="1611"/>
      <c r="BG75" s="1611"/>
      <c r="BH75"/>
      <c r="BI75" s="1541">
        <v>2</v>
      </c>
      <c r="BJ75" s="1644" t="s">
        <v>271</v>
      </c>
      <c r="BK75" s="1687" t="s">
        <v>372</v>
      </c>
      <c r="BL75" s="1611">
        <v>0.3</v>
      </c>
      <c r="BM75" s="1611">
        <v>0.3</v>
      </c>
      <c r="BN75" s="1611">
        <v>0.3</v>
      </c>
      <c r="BO75" s="1611">
        <v>0.3</v>
      </c>
      <c r="BP75" s="1611">
        <v>0.3</v>
      </c>
      <c r="BQ75" s="1611">
        <v>0.3</v>
      </c>
      <c r="BR75" s="1611">
        <v>0.3</v>
      </c>
      <c r="BS75" s="1611">
        <v>0.3</v>
      </c>
      <c r="BT75" s="1611">
        <v>0.3</v>
      </c>
      <c r="BU75" s="1611">
        <v>0.3</v>
      </c>
      <c r="BV75" s="1963"/>
      <c r="BW75" s="1611"/>
      <c r="BX75" s="1611"/>
      <c r="BY75"/>
    </row>
    <row r="76" spans="1:77" ht="13.5" customHeight="1">
      <c r="B76" s="1513">
        <f t="shared" si="70"/>
        <v>2.1</v>
      </c>
      <c r="C76" s="1547" t="str">
        <f t="shared" si="71"/>
        <v>耐震･免震</v>
      </c>
      <c r="D76" s="1616">
        <f>IF(I$75=0,0,G76/I$75)</f>
        <v>0.5</v>
      </c>
      <c r="E76" s="1591">
        <f>IF(J$75=0,0,H76/J$75)</f>
        <v>0</v>
      </c>
      <c r="G76" s="1591">
        <f t="shared" si="72"/>
        <v>0.49999999999999983</v>
      </c>
      <c r="H76" s="1591">
        <f t="shared" si="72"/>
        <v>0</v>
      </c>
      <c r="I76" s="1591">
        <f>SUM(G77:G78)</f>
        <v>1</v>
      </c>
      <c r="J76" s="1591">
        <f>SUM(H77:H78)</f>
        <v>0</v>
      </c>
      <c r="K76" s="1516">
        <f>IF(スコア表示!X76=0,0,1)</f>
        <v>1</v>
      </c>
      <c r="L76" s="1516">
        <f>IF(スコア表示!AB76=0,0,1)</f>
        <v>0</v>
      </c>
      <c r="N76" s="1613">
        <f>IF(P$75=0,0,P76/P$75)</f>
        <v>0.49999999999999983</v>
      </c>
      <c r="O76" s="1613">
        <f>IF(Q$75=0,0,Q76/Q$75)</f>
        <v>0</v>
      </c>
      <c r="P76" s="1516">
        <f>SUM(R77:R78)</f>
        <v>0.15000000000000002</v>
      </c>
      <c r="Q76" s="1516">
        <f>SUM(S77:S78)</f>
        <v>0</v>
      </c>
      <c r="R76" s="1516">
        <f>IF(スコア入力!R76="EB",重み_対象外!D76,U76)</f>
        <v>0</v>
      </c>
      <c r="S76" s="1516">
        <f>IF(スコア入力!Y76="EB",重み_対象外!E76,V76)</f>
        <v>0</v>
      </c>
      <c r="T76" s="1460"/>
      <c r="U76" s="1530"/>
      <c r="V76" s="1530"/>
      <c r="W76" s="1460"/>
      <c r="X76" s="1516">
        <f t="shared" si="73"/>
        <v>0.5</v>
      </c>
      <c r="Y76" s="1516">
        <f t="shared" si="74"/>
        <v>0</v>
      </c>
      <c r="Z76" s="1544"/>
      <c r="AA76" s="1513">
        <f t="shared" si="75"/>
        <v>2.1</v>
      </c>
      <c r="AB76" s="1513" t="str">
        <f t="shared" si="76"/>
        <v xml:space="preserve"> Q2 2</v>
      </c>
      <c r="AC76" s="1513" t="str">
        <f t="shared" si="77"/>
        <v>耐震･免震</v>
      </c>
      <c r="AD76" s="1659">
        <f t="shared" si="78"/>
        <v>0.5</v>
      </c>
      <c r="AE76" s="1659">
        <f t="shared" si="79"/>
        <v>0.5</v>
      </c>
      <c r="AF76" s="1659">
        <f t="shared" si="80"/>
        <v>0.5</v>
      </c>
      <c r="AG76" s="1659">
        <f t="shared" si="81"/>
        <v>0.5</v>
      </c>
      <c r="AH76" s="1659">
        <f t="shared" si="82"/>
        <v>0.5</v>
      </c>
      <c r="AI76" s="1659">
        <f t="shared" si="83"/>
        <v>0.5</v>
      </c>
      <c r="AJ76" s="1659">
        <f t="shared" si="84"/>
        <v>0.5</v>
      </c>
      <c r="AK76" s="1661">
        <f t="shared" si="85"/>
        <v>0.5</v>
      </c>
      <c r="AL76" s="1659">
        <f t="shared" si="86"/>
        <v>0.5</v>
      </c>
      <c r="AM76" s="1659">
        <f t="shared" si="86"/>
        <v>0.5</v>
      </c>
      <c r="AN76" s="1660">
        <f t="shared" si="87"/>
        <v>0</v>
      </c>
      <c r="AO76" s="1659">
        <f t="shared" si="88"/>
        <v>0</v>
      </c>
      <c r="AP76" s="1659">
        <f t="shared" si="89"/>
        <v>0</v>
      </c>
      <c r="AQ76" s="1520"/>
      <c r="AR76" s="1547">
        <v>2.1</v>
      </c>
      <c r="AS76" s="1593" t="s">
        <v>286</v>
      </c>
      <c r="AT76" s="1637" t="s">
        <v>635</v>
      </c>
      <c r="AU76" s="1523">
        <v>0.5</v>
      </c>
      <c r="AV76" s="1523">
        <v>0.5</v>
      </c>
      <c r="AW76" s="1523">
        <v>0.5</v>
      </c>
      <c r="AX76" s="1523">
        <v>0.5</v>
      </c>
      <c r="AY76" s="1523">
        <v>0.5</v>
      </c>
      <c r="AZ76" s="1523">
        <v>0.5</v>
      </c>
      <c r="BA76" s="1523">
        <v>0.5</v>
      </c>
      <c r="BB76" s="1524">
        <v>0.5</v>
      </c>
      <c r="BC76" s="1523">
        <v>0.5</v>
      </c>
      <c r="BD76" s="1523">
        <v>0.5</v>
      </c>
      <c r="BE76" s="1525"/>
      <c r="BF76" s="1523"/>
      <c r="BG76" s="1523"/>
      <c r="BI76" s="1547">
        <v>2.1</v>
      </c>
      <c r="BJ76" s="1593" t="s">
        <v>286</v>
      </c>
      <c r="BK76" s="1637" t="s">
        <v>635</v>
      </c>
      <c r="BL76" s="1523">
        <v>0.5</v>
      </c>
      <c r="BM76" s="1523">
        <v>0.5</v>
      </c>
      <c r="BN76" s="1523">
        <v>0.5</v>
      </c>
      <c r="BO76" s="1523">
        <v>0.5</v>
      </c>
      <c r="BP76" s="1523">
        <v>0.5</v>
      </c>
      <c r="BQ76" s="1523">
        <v>0.5</v>
      </c>
      <c r="BR76" s="1523">
        <v>0.5</v>
      </c>
      <c r="BS76" s="1524">
        <v>0.5</v>
      </c>
      <c r="BT76" s="1523">
        <v>0.5</v>
      </c>
      <c r="BU76" s="1523">
        <v>0.5</v>
      </c>
      <c r="BV76" s="1525"/>
      <c r="BW76" s="1523"/>
      <c r="BX76" s="1523"/>
    </row>
    <row r="77" spans="1:77" ht="13.5" customHeight="1">
      <c r="B77" s="1521" t="str">
        <f t="shared" si="70"/>
        <v>2.1.1</v>
      </c>
      <c r="C77" s="1514" t="str">
        <f t="shared" si="71"/>
        <v>耐震性</v>
      </c>
      <c r="D77" s="1621">
        <f>IF(I$76&gt;0,G77/I$76,0)</f>
        <v>0.8</v>
      </c>
      <c r="E77" s="1591">
        <f>IF(J$76&gt;0,H77/J$76,0)</f>
        <v>0</v>
      </c>
      <c r="G77" s="1591">
        <f t="shared" si="72"/>
        <v>0.8</v>
      </c>
      <c r="H77" s="1591">
        <f t="shared" si="72"/>
        <v>0</v>
      </c>
      <c r="I77" s="1591"/>
      <c r="J77" s="1591"/>
      <c r="K77" s="1516">
        <f>IF(スコア表示!X77=0,0,1)</f>
        <v>1</v>
      </c>
      <c r="L77" s="1516">
        <f>IF(スコア表示!AB77=0,0,1)</f>
        <v>0</v>
      </c>
      <c r="N77" s="1608">
        <f>IF(P$76&gt;0,R77/P$76,0)</f>
        <v>0.8</v>
      </c>
      <c r="O77" s="1608">
        <f>IF(Q$76&gt;0,S77/Q$76,0)</f>
        <v>0</v>
      </c>
      <c r="P77" s="1516"/>
      <c r="Q77" s="1516"/>
      <c r="R77" s="1516">
        <f>IF(スコア入力!R77="EB",重み_対象外!D77,U77)</f>
        <v>0.12000000000000002</v>
      </c>
      <c r="S77" s="1516">
        <f>IF(スコア入力!Y77="EB",重み_対象外!E77,V77)</f>
        <v>0</v>
      </c>
      <c r="T77" s="1460"/>
      <c r="U77" s="1514">
        <f>X$75*X$76*X77</f>
        <v>0.12000000000000002</v>
      </c>
      <c r="V77" s="1514">
        <f>Y$75*Y$76*Y77</f>
        <v>0</v>
      </c>
      <c r="W77" s="1460"/>
      <c r="X77" s="1516">
        <f t="shared" si="73"/>
        <v>0.80000000000000016</v>
      </c>
      <c r="Y77" s="1516">
        <f t="shared" si="74"/>
        <v>0</v>
      </c>
      <c r="Z77" s="1545"/>
      <c r="AA77" s="1513" t="str">
        <f t="shared" si="75"/>
        <v>2.1.1</v>
      </c>
      <c r="AB77" s="1513" t="str">
        <f t="shared" si="76"/>
        <v xml:space="preserve"> Q2 2.1</v>
      </c>
      <c r="AC77" s="1513" t="str">
        <f t="shared" si="77"/>
        <v>耐震性</v>
      </c>
      <c r="AD77" s="1659">
        <f t="shared" si="78"/>
        <v>0.8</v>
      </c>
      <c r="AE77" s="1659">
        <f t="shared" si="79"/>
        <v>0.8</v>
      </c>
      <c r="AF77" s="1659">
        <f t="shared" si="80"/>
        <v>0.8</v>
      </c>
      <c r="AG77" s="1659">
        <f t="shared" si="81"/>
        <v>0.8</v>
      </c>
      <c r="AH77" s="1659">
        <f t="shared" si="82"/>
        <v>0.8</v>
      </c>
      <c r="AI77" s="1659">
        <f t="shared" si="83"/>
        <v>0.8</v>
      </c>
      <c r="AJ77" s="1659">
        <f t="shared" si="84"/>
        <v>0.8</v>
      </c>
      <c r="AK77" s="1661">
        <f t="shared" si="85"/>
        <v>0.8</v>
      </c>
      <c r="AL77" s="1659">
        <f t="shared" si="86"/>
        <v>0.8</v>
      </c>
      <c r="AM77" s="1659">
        <f t="shared" si="86"/>
        <v>0.8</v>
      </c>
      <c r="AN77" s="1660">
        <f t="shared" si="87"/>
        <v>0</v>
      </c>
      <c r="AO77" s="1659">
        <f t="shared" si="88"/>
        <v>0</v>
      </c>
      <c r="AP77" s="1659">
        <f t="shared" si="89"/>
        <v>0</v>
      </c>
      <c r="AQ77" s="1532"/>
      <c r="AR77" s="1547" t="s">
        <v>1371</v>
      </c>
      <c r="AS77" s="1593" t="s">
        <v>287</v>
      </c>
      <c r="AT77" s="1964" t="s">
        <v>288</v>
      </c>
      <c r="AU77" s="1523">
        <v>0.8</v>
      </c>
      <c r="AV77" s="1523">
        <v>0.8</v>
      </c>
      <c r="AW77" s="1523">
        <v>0.8</v>
      </c>
      <c r="AX77" s="1523">
        <v>0.8</v>
      </c>
      <c r="AY77" s="1523">
        <v>0.8</v>
      </c>
      <c r="AZ77" s="1523">
        <v>0.8</v>
      </c>
      <c r="BA77" s="1523">
        <v>0.8</v>
      </c>
      <c r="BB77" s="1524">
        <v>0.8</v>
      </c>
      <c r="BC77" s="1523">
        <v>0.8</v>
      </c>
      <c r="BD77" s="1523">
        <v>0.8</v>
      </c>
      <c r="BE77" s="1525"/>
      <c r="BF77" s="1523"/>
      <c r="BG77" s="1523"/>
      <c r="BI77" s="1547" t="s">
        <v>1371</v>
      </c>
      <c r="BJ77" s="1593" t="s">
        <v>287</v>
      </c>
      <c r="BK77" s="1964" t="s">
        <v>288</v>
      </c>
      <c r="BL77" s="1523">
        <v>0.8</v>
      </c>
      <c r="BM77" s="1523">
        <v>0.8</v>
      </c>
      <c r="BN77" s="1523">
        <v>0.8</v>
      </c>
      <c r="BO77" s="1523">
        <v>0.8</v>
      </c>
      <c r="BP77" s="1523">
        <v>0.8</v>
      </c>
      <c r="BQ77" s="1523">
        <v>0.8</v>
      </c>
      <c r="BR77" s="1523">
        <v>0.8</v>
      </c>
      <c r="BS77" s="1524">
        <v>0.8</v>
      </c>
      <c r="BT77" s="1523">
        <v>0.8</v>
      </c>
      <c r="BU77" s="1523">
        <v>0.8</v>
      </c>
      <c r="BV77" s="1525"/>
      <c r="BW77" s="1523"/>
      <c r="BX77" s="1523"/>
    </row>
    <row r="78" spans="1:77" ht="13.5" customHeight="1">
      <c r="B78" s="1521" t="str">
        <f t="shared" si="70"/>
        <v>2.1.2</v>
      </c>
      <c r="C78" s="1514" t="str">
        <f t="shared" si="71"/>
        <v>免震・制振性能</v>
      </c>
      <c r="D78" s="1621">
        <f>IF(I$76&gt;0,G78/I$76,0)</f>
        <v>0.2</v>
      </c>
      <c r="E78" s="1591">
        <f>IF(J$76&gt;0,H78/J$76,0)</f>
        <v>0</v>
      </c>
      <c r="G78" s="1591">
        <f t="shared" si="72"/>
        <v>0.2</v>
      </c>
      <c r="H78" s="1591">
        <f t="shared" si="72"/>
        <v>0</v>
      </c>
      <c r="I78" s="1591"/>
      <c r="J78" s="1591"/>
      <c r="K78" s="1516">
        <f>IF(スコア表示!X78=0,0,1)</f>
        <v>1</v>
      </c>
      <c r="L78" s="1516">
        <f>IF(スコア表示!AB78=0,0,1)</f>
        <v>0</v>
      </c>
      <c r="N78" s="1608">
        <f>IF(P$76&gt;0,R78/P$76,0)</f>
        <v>0.2</v>
      </c>
      <c r="O78" s="1608">
        <f>IF(Q$76&gt;0,S78/Q$76,0)</f>
        <v>0</v>
      </c>
      <c r="P78" s="1516"/>
      <c r="Q78" s="1516"/>
      <c r="R78" s="1516">
        <f>IF(スコア入力!R78="EB",重み_対象外!D78,U78)</f>
        <v>3.0000000000000006E-2</v>
      </c>
      <c r="S78" s="1516">
        <f>IF(スコア入力!Y78="EB",重み_対象外!E78,V78)</f>
        <v>0</v>
      </c>
      <c r="T78" s="1460"/>
      <c r="U78" s="1514">
        <f>X$75*X$76*X78</f>
        <v>3.0000000000000006E-2</v>
      </c>
      <c r="V78" s="1514">
        <f>Y$75*Y$76*Y78</f>
        <v>0</v>
      </c>
      <c r="W78" s="1460"/>
      <c r="X78" s="1516">
        <f t="shared" si="73"/>
        <v>0.20000000000000004</v>
      </c>
      <c r="Y78" s="1516">
        <f t="shared" si="74"/>
        <v>0</v>
      </c>
      <c r="Z78" s="1545"/>
      <c r="AA78" s="1513" t="str">
        <f t="shared" si="75"/>
        <v>2.1.2</v>
      </c>
      <c r="AB78" s="1513" t="str">
        <f t="shared" si="76"/>
        <v xml:space="preserve"> Q2 2.1</v>
      </c>
      <c r="AC78" s="1513" t="str">
        <f t="shared" si="77"/>
        <v>免震・制振性能</v>
      </c>
      <c r="AD78" s="1659">
        <f t="shared" si="78"/>
        <v>0.2</v>
      </c>
      <c r="AE78" s="1659">
        <f t="shared" si="79"/>
        <v>0.2</v>
      </c>
      <c r="AF78" s="1659">
        <f t="shared" si="80"/>
        <v>0.2</v>
      </c>
      <c r="AG78" s="1659">
        <f t="shared" si="81"/>
        <v>0.2</v>
      </c>
      <c r="AH78" s="1659">
        <f t="shared" si="82"/>
        <v>0.2</v>
      </c>
      <c r="AI78" s="1659">
        <f t="shared" si="83"/>
        <v>0.2</v>
      </c>
      <c r="AJ78" s="1659">
        <f t="shared" si="84"/>
        <v>0.2</v>
      </c>
      <c r="AK78" s="1661">
        <f t="shared" si="85"/>
        <v>0.2</v>
      </c>
      <c r="AL78" s="1659">
        <f t="shared" si="86"/>
        <v>0.2</v>
      </c>
      <c r="AM78" s="1659">
        <f t="shared" si="86"/>
        <v>0.2</v>
      </c>
      <c r="AN78" s="1660">
        <f t="shared" si="87"/>
        <v>0</v>
      </c>
      <c r="AO78" s="1659">
        <f t="shared" si="88"/>
        <v>0</v>
      </c>
      <c r="AP78" s="1659">
        <f t="shared" si="89"/>
        <v>0</v>
      </c>
      <c r="AQ78" s="1532"/>
      <c r="AR78" s="1547" t="s">
        <v>1372</v>
      </c>
      <c r="AS78" s="1593" t="s">
        <v>287</v>
      </c>
      <c r="AT78" s="1964" t="s">
        <v>373</v>
      </c>
      <c r="AU78" s="1523">
        <v>0.2</v>
      </c>
      <c r="AV78" s="1523">
        <v>0.2</v>
      </c>
      <c r="AW78" s="1523">
        <v>0.2</v>
      </c>
      <c r="AX78" s="1523">
        <v>0.2</v>
      </c>
      <c r="AY78" s="1523">
        <v>0.2</v>
      </c>
      <c r="AZ78" s="1523">
        <v>0.2</v>
      </c>
      <c r="BA78" s="1523">
        <v>0.2</v>
      </c>
      <c r="BB78" s="1524">
        <v>0.2</v>
      </c>
      <c r="BC78" s="1523">
        <v>0.2</v>
      </c>
      <c r="BD78" s="1523">
        <v>0.2</v>
      </c>
      <c r="BE78" s="1525"/>
      <c r="BF78" s="1523"/>
      <c r="BG78" s="1523"/>
      <c r="BI78" s="1547" t="s">
        <v>1372</v>
      </c>
      <c r="BJ78" s="1593" t="s">
        <v>287</v>
      </c>
      <c r="BK78" s="1964" t="s">
        <v>373</v>
      </c>
      <c r="BL78" s="1523">
        <v>0.2</v>
      </c>
      <c r="BM78" s="1523">
        <v>0.2</v>
      </c>
      <c r="BN78" s="1523">
        <v>0.2</v>
      </c>
      <c r="BO78" s="1523">
        <v>0.2</v>
      </c>
      <c r="BP78" s="1523">
        <v>0.2</v>
      </c>
      <c r="BQ78" s="1523">
        <v>0.2</v>
      </c>
      <c r="BR78" s="1523">
        <v>0.2</v>
      </c>
      <c r="BS78" s="1524">
        <v>0.2</v>
      </c>
      <c r="BT78" s="1523">
        <v>0.2</v>
      </c>
      <c r="BU78" s="1523">
        <v>0.2</v>
      </c>
      <c r="BV78" s="1525"/>
      <c r="BW78" s="1523"/>
      <c r="BX78" s="1523"/>
    </row>
    <row r="79" spans="1:77" ht="13.5" customHeight="1">
      <c r="B79" s="1547">
        <f t="shared" si="70"/>
        <v>2.2000000000000002</v>
      </c>
      <c r="C79" s="1547" t="str">
        <f t="shared" si="71"/>
        <v>部品・部材の耐用年数</v>
      </c>
      <c r="D79" s="1616">
        <f>IF(I$75=0,0,G79/I$75)</f>
        <v>0.3</v>
      </c>
      <c r="E79" s="1591">
        <f>IF(J$75=0,0,H79/J$75)</f>
        <v>0</v>
      </c>
      <c r="G79" s="1591">
        <f t="shared" si="72"/>
        <v>0.29999999999999988</v>
      </c>
      <c r="H79" s="1591">
        <f t="shared" si="72"/>
        <v>0</v>
      </c>
      <c r="I79" s="1591">
        <f>SUM(G80:G85)</f>
        <v>1</v>
      </c>
      <c r="J79" s="1591">
        <f>SUM(H80:H85)</f>
        <v>0</v>
      </c>
      <c r="K79" s="1516">
        <f>IF(スコア表示!X79=0,0,1)</f>
        <v>1</v>
      </c>
      <c r="L79" s="1516">
        <f>IF(スコア表示!AB79=0,0,1)</f>
        <v>0</v>
      </c>
      <c r="N79" s="1616">
        <f>IF(P$75=0,0,P79/P$75)</f>
        <v>0.29999999999999988</v>
      </c>
      <c r="O79" s="1616">
        <f>IF(Q$75=0,0,Q79/Q$75)</f>
        <v>0</v>
      </c>
      <c r="P79" s="1591">
        <f>SUM(R80:R85)</f>
        <v>9.0000000000000011E-2</v>
      </c>
      <c r="Q79" s="1591">
        <f>SUM(S80:S85)</f>
        <v>0</v>
      </c>
      <c r="R79" s="1516">
        <f>IF(スコア入力!R79="EB",重み_対象外!D79,U79)</f>
        <v>0</v>
      </c>
      <c r="S79" s="1516">
        <f>IF(スコア入力!Y79="EB",重み_対象外!E79,V79)</f>
        <v>0</v>
      </c>
      <c r="T79" s="1460"/>
      <c r="U79" s="1530"/>
      <c r="V79" s="1530"/>
      <c r="W79" s="1460"/>
      <c r="X79" s="1591">
        <f t="shared" si="73"/>
        <v>0.3</v>
      </c>
      <c r="Y79" s="1591">
        <f t="shared" si="74"/>
        <v>0</v>
      </c>
      <c r="Z79" s="1617"/>
      <c r="AA79" s="1618">
        <f t="shared" si="75"/>
        <v>2.2000000000000002</v>
      </c>
      <c r="AB79" s="1593" t="str">
        <f t="shared" si="76"/>
        <v xml:space="preserve"> Q2 2</v>
      </c>
      <c r="AC79" s="1620" t="str">
        <f t="shared" si="77"/>
        <v>部品・部材の耐用年数</v>
      </c>
      <c r="AD79" s="1523">
        <f t="shared" si="78"/>
        <v>0.3</v>
      </c>
      <c r="AE79" s="1523">
        <f t="shared" si="79"/>
        <v>0.3</v>
      </c>
      <c r="AF79" s="1523">
        <f t="shared" si="80"/>
        <v>0.3</v>
      </c>
      <c r="AG79" s="1523">
        <f t="shared" si="81"/>
        <v>0.3</v>
      </c>
      <c r="AH79" s="1523">
        <f t="shared" si="82"/>
        <v>0.3</v>
      </c>
      <c r="AI79" s="1523">
        <f t="shared" si="83"/>
        <v>0.3</v>
      </c>
      <c r="AJ79" s="1523">
        <f t="shared" si="84"/>
        <v>0.3</v>
      </c>
      <c r="AK79" s="1523">
        <f t="shared" si="85"/>
        <v>0.3</v>
      </c>
      <c r="AL79" s="1523">
        <f t="shared" si="86"/>
        <v>0.3</v>
      </c>
      <c r="AM79" s="1523">
        <f t="shared" si="86"/>
        <v>0.3</v>
      </c>
      <c r="AN79" s="1525">
        <f t="shared" si="87"/>
        <v>0</v>
      </c>
      <c r="AO79" s="1523">
        <f t="shared" si="88"/>
        <v>0</v>
      </c>
      <c r="AP79" s="1523">
        <f t="shared" si="89"/>
        <v>0</v>
      </c>
      <c r="AQ79" s="1619"/>
      <c r="AR79" s="1547">
        <v>2.2000000000000002</v>
      </c>
      <c r="AS79" s="1593" t="s">
        <v>286</v>
      </c>
      <c r="AT79" s="1637" t="s">
        <v>641</v>
      </c>
      <c r="AU79" s="1523">
        <v>0.3</v>
      </c>
      <c r="AV79" s="1523">
        <v>0.3</v>
      </c>
      <c r="AW79" s="1523">
        <v>0.3</v>
      </c>
      <c r="AX79" s="1523">
        <v>0.3</v>
      </c>
      <c r="AY79" s="1523">
        <v>0.3</v>
      </c>
      <c r="AZ79" s="1523">
        <v>0.3</v>
      </c>
      <c r="BA79" s="1523">
        <v>0.3</v>
      </c>
      <c r="BB79" s="1524">
        <v>0.3</v>
      </c>
      <c r="BC79" s="1523">
        <v>0.3</v>
      </c>
      <c r="BD79" s="1523">
        <v>0.3</v>
      </c>
      <c r="BE79" s="1525"/>
      <c r="BF79" s="1523"/>
      <c r="BG79" s="1523"/>
      <c r="BI79" s="1547">
        <v>2.2000000000000002</v>
      </c>
      <c r="BJ79" s="1593" t="s">
        <v>286</v>
      </c>
      <c r="BK79" s="1637" t="s">
        <v>641</v>
      </c>
      <c r="BL79" s="1523">
        <v>0.3</v>
      </c>
      <c r="BM79" s="1523">
        <v>0.3</v>
      </c>
      <c r="BN79" s="1523">
        <v>0.3</v>
      </c>
      <c r="BO79" s="1523">
        <v>0.3</v>
      </c>
      <c r="BP79" s="1523">
        <v>0.3</v>
      </c>
      <c r="BQ79" s="1523">
        <v>0.3</v>
      </c>
      <c r="BR79" s="1523">
        <v>0.3</v>
      </c>
      <c r="BS79" s="1524">
        <v>0.3</v>
      </c>
      <c r="BT79" s="1523">
        <v>0.3</v>
      </c>
      <c r="BU79" s="1523">
        <v>0.3</v>
      </c>
      <c r="BV79" s="1525"/>
      <c r="BW79" s="1523"/>
      <c r="BX79" s="1523"/>
    </row>
    <row r="80" spans="1:77" ht="13.5" customHeight="1">
      <c r="B80" s="1579" t="str">
        <f t="shared" si="70"/>
        <v>2.2.1</v>
      </c>
      <c r="C80" s="1514" t="str">
        <f t="shared" si="71"/>
        <v>躯体材料の耐用年数</v>
      </c>
      <c r="D80" s="1621">
        <f t="shared" ref="D80:E85" si="90">IF(I$79&gt;0,G80/I$79,0)</f>
        <v>0.2</v>
      </c>
      <c r="E80" s="1591">
        <f t="shared" si="90"/>
        <v>0</v>
      </c>
      <c r="G80" s="1591">
        <f t="shared" si="72"/>
        <v>0.2</v>
      </c>
      <c r="H80" s="1591">
        <f t="shared" si="72"/>
        <v>0</v>
      </c>
      <c r="I80" s="1591"/>
      <c r="J80" s="1591"/>
      <c r="K80" s="1516">
        <f>IF(スコア表示!X80=0,0,1)</f>
        <v>1</v>
      </c>
      <c r="L80" s="1516">
        <f>IF(スコア表示!AB80=0,0,1)</f>
        <v>0</v>
      </c>
      <c r="N80" s="1621">
        <f t="shared" ref="N80:O85" si="91">IF(P$79&gt;0,R80/P$79,0)</f>
        <v>0.2</v>
      </c>
      <c r="O80" s="1621">
        <f t="shared" si="91"/>
        <v>0</v>
      </c>
      <c r="P80" s="1591"/>
      <c r="Q80" s="1591"/>
      <c r="R80" s="1516">
        <f>IF(スコア入力!R80="EB",重み_対象外!D80,U80)</f>
        <v>1.8000000000000002E-2</v>
      </c>
      <c r="S80" s="1516">
        <f>IF(スコア入力!Y80="EB",重み_対象外!E80,V80)</f>
        <v>0</v>
      </c>
      <c r="T80" s="1460"/>
      <c r="U80" s="1514">
        <f>X$75*X$79*X80</f>
        <v>1.8000000000000002E-2</v>
      </c>
      <c r="V80" s="1514">
        <f>Y$75*Y$79*Y80</f>
        <v>0</v>
      </c>
      <c r="W80" s="1460"/>
      <c r="X80" s="1591">
        <f t="shared" si="73"/>
        <v>0.20000000000000004</v>
      </c>
      <c r="Y80" s="1591">
        <f t="shared" si="74"/>
        <v>0</v>
      </c>
      <c r="Z80" s="1617"/>
      <c r="AA80" s="1622" t="str">
        <f t="shared" si="75"/>
        <v>2.2.1</v>
      </c>
      <c r="AB80" s="1593" t="str">
        <f t="shared" si="76"/>
        <v xml:space="preserve"> Q2 2.2</v>
      </c>
      <c r="AC80" s="1620" t="str">
        <f t="shared" si="77"/>
        <v>躯体材料の耐用年数</v>
      </c>
      <c r="AD80" s="1523">
        <f t="shared" si="78"/>
        <v>0.2</v>
      </c>
      <c r="AE80" s="1523">
        <f t="shared" si="79"/>
        <v>0.2</v>
      </c>
      <c r="AF80" s="1523">
        <f t="shared" si="80"/>
        <v>0.2</v>
      </c>
      <c r="AG80" s="1523">
        <f t="shared" si="81"/>
        <v>0.2</v>
      </c>
      <c r="AH80" s="1523">
        <f t="shared" si="82"/>
        <v>0.2</v>
      </c>
      <c r="AI80" s="1523">
        <f t="shared" si="83"/>
        <v>0.2</v>
      </c>
      <c r="AJ80" s="1523">
        <f t="shared" si="84"/>
        <v>0.2</v>
      </c>
      <c r="AK80" s="1523">
        <f t="shared" si="85"/>
        <v>0.2</v>
      </c>
      <c r="AL80" s="1523">
        <f t="shared" si="86"/>
        <v>0.2</v>
      </c>
      <c r="AM80" s="1523">
        <f t="shared" si="86"/>
        <v>0.2</v>
      </c>
      <c r="AN80" s="1525">
        <f t="shared" si="87"/>
        <v>0</v>
      </c>
      <c r="AO80" s="1523">
        <f t="shared" si="88"/>
        <v>0</v>
      </c>
      <c r="AP80" s="1523">
        <f t="shared" si="89"/>
        <v>0</v>
      </c>
      <c r="AQ80" s="1619"/>
      <c r="AR80" s="1547" t="s">
        <v>1373</v>
      </c>
      <c r="AS80" s="1593" t="s">
        <v>289</v>
      </c>
      <c r="AT80" s="1964" t="s">
        <v>643</v>
      </c>
      <c r="AU80" s="1523">
        <v>0.2</v>
      </c>
      <c r="AV80" s="1523">
        <v>0.2</v>
      </c>
      <c r="AW80" s="1523">
        <v>0.2</v>
      </c>
      <c r="AX80" s="1523">
        <v>0.2</v>
      </c>
      <c r="AY80" s="1523">
        <v>0.2</v>
      </c>
      <c r="AZ80" s="1523">
        <v>0.2</v>
      </c>
      <c r="BA80" s="1523">
        <v>0.2</v>
      </c>
      <c r="BB80" s="1523">
        <v>0.2</v>
      </c>
      <c r="BC80" s="1523">
        <v>0.2</v>
      </c>
      <c r="BD80" s="1523">
        <v>0.2</v>
      </c>
      <c r="BE80" s="1525"/>
      <c r="BF80" s="1523"/>
      <c r="BG80" s="1523"/>
      <c r="BI80" s="1547" t="s">
        <v>1373</v>
      </c>
      <c r="BJ80" s="1593" t="s">
        <v>289</v>
      </c>
      <c r="BK80" s="1964" t="s">
        <v>643</v>
      </c>
      <c r="BL80" s="1523">
        <v>0.2</v>
      </c>
      <c r="BM80" s="1523">
        <v>0.2</v>
      </c>
      <c r="BN80" s="1523">
        <v>0.2</v>
      </c>
      <c r="BO80" s="1523">
        <v>0.2</v>
      </c>
      <c r="BP80" s="1523">
        <v>0.2</v>
      </c>
      <c r="BQ80" s="1523">
        <v>0.2</v>
      </c>
      <c r="BR80" s="1523">
        <v>0.2</v>
      </c>
      <c r="BS80" s="1523">
        <v>0.2</v>
      </c>
      <c r="BT80" s="1523">
        <v>0.2</v>
      </c>
      <c r="BU80" s="1523">
        <v>0.2</v>
      </c>
      <c r="BV80" s="1525"/>
      <c r="BW80" s="1523"/>
      <c r="BX80" s="1523"/>
    </row>
    <row r="81" spans="2:76" ht="13.5" customHeight="1">
      <c r="B81" s="1579" t="str">
        <f t="shared" si="70"/>
        <v>2.2.2</v>
      </c>
      <c r="C81" s="1514" t="str">
        <f t="shared" si="71"/>
        <v>外壁仕上げ材の補修必要間隔</v>
      </c>
      <c r="D81" s="1621">
        <f t="shared" si="90"/>
        <v>0.2</v>
      </c>
      <c r="E81" s="1591">
        <f t="shared" si="90"/>
        <v>0</v>
      </c>
      <c r="G81" s="1591">
        <f t="shared" si="72"/>
        <v>0.2</v>
      </c>
      <c r="H81" s="1591">
        <f t="shared" si="72"/>
        <v>0</v>
      </c>
      <c r="I81" s="1591"/>
      <c r="J81" s="1591"/>
      <c r="K81" s="1516">
        <f>IF(スコア表示!X81=0,0,1)</f>
        <v>1</v>
      </c>
      <c r="L81" s="1516">
        <f>IF(スコア表示!AB81=0,0,1)</f>
        <v>0</v>
      </c>
      <c r="N81" s="1621">
        <f t="shared" si="91"/>
        <v>0.2</v>
      </c>
      <c r="O81" s="1621">
        <f t="shared" si="91"/>
        <v>0</v>
      </c>
      <c r="P81" s="1591"/>
      <c r="Q81" s="1591"/>
      <c r="R81" s="1516">
        <f>IF(スコア入力!R81="EB",重み_対象外!D81,U81)</f>
        <v>1.8000000000000002E-2</v>
      </c>
      <c r="S81" s="1516">
        <f>IF(スコア入力!Y81="EB",重み_対象外!E81,V81)</f>
        <v>0</v>
      </c>
      <c r="T81" s="1460"/>
      <c r="U81" s="1514">
        <f>X$75*X$79*X81</f>
        <v>1.8000000000000002E-2</v>
      </c>
      <c r="V81" s="1514"/>
      <c r="W81" s="1460"/>
      <c r="X81" s="1591">
        <f t="shared" si="73"/>
        <v>0.20000000000000004</v>
      </c>
      <c r="Y81" s="1591">
        <f t="shared" si="74"/>
        <v>0</v>
      </c>
      <c r="Z81" s="1617"/>
      <c r="AA81" s="1622" t="str">
        <f t="shared" si="75"/>
        <v>2.2.2</v>
      </c>
      <c r="AB81" s="1593" t="str">
        <f t="shared" si="76"/>
        <v xml:space="preserve"> Q2 2.2</v>
      </c>
      <c r="AC81" s="1620" t="str">
        <f t="shared" si="77"/>
        <v>外壁仕上げ材の補修必要間隔</v>
      </c>
      <c r="AD81" s="1523">
        <f t="shared" si="78"/>
        <v>0.2</v>
      </c>
      <c r="AE81" s="1523">
        <f t="shared" si="79"/>
        <v>0.2</v>
      </c>
      <c r="AF81" s="1523">
        <f t="shared" si="80"/>
        <v>0.2</v>
      </c>
      <c r="AG81" s="1523">
        <f t="shared" si="81"/>
        <v>0.2</v>
      </c>
      <c r="AH81" s="1523">
        <f t="shared" si="82"/>
        <v>0.2</v>
      </c>
      <c r="AI81" s="1523">
        <f t="shared" si="83"/>
        <v>0.2</v>
      </c>
      <c r="AJ81" s="1523">
        <f t="shared" si="84"/>
        <v>0.2</v>
      </c>
      <c r="AK81" s="1523">
        <f t="shared" si="85"/>
        <v>0.2</v>
      </c>
      <c r="AL81" s="1523">
        <f t="shared" si="86"/>
        <v>0.2</v>
      </c>
      <c r="AM81" s="1523">
        <f t="shared" si="86"/>
        <v>0.2</v>
      </c>
      <c r="AN81" s="1525">
        <f t="shared" si="87"/>
        <v>0</v>
      </c>
      <c r="AO81" s="1523">
        <f t="shared" si="88"/>
        <v>0</v>
      </c>
      <c r="AP81" s="1523">
        <f t="shared" si="89"/>
        <v>0</v>
      </c>
      <c r="AQ81" s="1619"/>
      <c r="AR81" s="1547" t="s">
        <v>1374</v>
      </c>
      <c r="AS81" s="1593" t="s">
        <v>289</v>
      </c>
      <c r="AT81" s="1964" t="s">
        <v>290</v>
      </c>
      <c r="AU81" s="1523">
        <v>0.2</v>
      </c>
      <c r="AV81" s="1523">
        <v>0.2</v>
      </c>
      <c r="AW81" s="1523">
        <v>0.2</v>
      </c>
      <c r="AX81" s="1523">
        <v>0.2</v>
      </c>
      <c r="AY81" s="1523">
        <v>0.2</v>
      </c>
      <c r="AZ81" s="1523">
        <v>0.2</v>
      </c>
      <c r="BA81" s="1523">
        <v>0.2</v>
      </c>
      <c r="BB81" s="1523">
        <v>0.2</v>
      </c>
      <c r="BC81" s="1523">
        <v>0.2</v>
      </c>
      <c r="BD81" s="1523">
        <v>0.2</v>
      </c>
      <c r="BE81" s="1525"/>
      <c r="BF81" s="1523"/>
      <c r="BG81" s="1523"/>
      <c r="BI81" s="1547" t="s">
        <v>1374</v>
      </c>
      <c r="BJ81" s="1593" t="s">
        <v>289</v>
      </c>
      <c r="BK81" s="1964" t="s">
        <v>290</v>
      </c>
      <c r="BL81" s="1523">
        <v>0.2</v>
      </c>
      <c r="BM81" s="1523">
        <v>0.2</v>
      </c>
      <c r="BN81" s="1523">
        <v>0.2</v>
      </c>
      <c r="BO81" s="1523">
        <v>0.2</v>
      </c>
      <c r="BP81" s="1523">
        <v>0.2</v>
      </c>
      <c r="BQ81" s="1523">
        <v>0.2</v>
      </c>
      <c r="BR81" s="1523">
        <v>0.2</v>
      </c>
      <c r="BS81" s="1523">
        <v>0.2</v>
      </c>
      <c r="BT81" s="1523">
        <v>0.2</v>
      </c>
      <c r="BU81" s="1523">
        <v>0.2</v>
      </c>
      <c r="BV81" s="1525"/>
      <c r="BW81" s="1523"/>
      <c r="BX81" s="1523"/>
    </row>
    <row r="82" spans="2:76" ht="13.5" customHeight="1">
      <c r="B82" s="1579" t="str">
        <f t="shared" si="70"/>
        <v>2.2.3</v>
      </c>
      <c r="C82" s="1514" t="str">
        <f t="shared" si="71"/>
        <v>主要内装仕上げ材の更新必要間隔</v>
      </c>
      <c r="D82" s="1621">
        <f t="shared" si="90"/>
        <v>0.1</v>
      </c>
      <c r="E82" s="1591">
        <f t="shared" si="90"/>
        <v>0</v>
      </c>
      <c r="G82" s="1591">
        <f t="shared" si="72"/>
        <v>0.1</v>
      </c>
      <c r="H82" s="1591">
        <f t="shared" si="72"/>
        <v>0</v>
      </c>
      <c r="I82" s="1591"/>
      <c r="J82" s="1591"/>
      <c r="K82" s="1516">
        <f>IF(スコア表示!X82=0,0,1)</f>
        <v>1</v>
      </c>
      <c r="L82" s="1516">
        <f>IF(スコア表示!AB82=0,0,1)</f>
        <v>0</v>
      </c>
      <c r="N82" s="1621">
        <f t="shared" si="91"/>
        <v>0.1</v>
      </c>
      <c r="O82" s="1621">
        <f t="shared" si="91"/>
        <v>0</v>
      </c>
      <c r="P82" s="1591"/>
      <c r="Q82" s="1591"/>
      <c r="R82" s="1516">
        <f>IF(スコア入力!R82="EB",重み_対象外!D82,U82)</f>
        <v>9.0000000000000011E-3</v>
      </c>
      <c r="S82" s="1516">
        <f>IF(スコア入力!Y82="EB",重み_対象外!E82,V82)</f>
        <v>0</v>
      </c>
      <c r="T82" s="1460"/>
      <c r="U82" s="1514">
        <f>X$75*X$79*X82</f>
        <v>9.0000000000000011E-3</v>
      </c>
      <c r="V82" s="1514">
        <f>Y$75*Y$79*Y82</f>
        <v>0</v>
      </c>
      <c r="W82" s="1460"/>
      <c r="X82" s="1591">
        <f t="shared" si="73"/>
        <v>0.10000000000000002</v>
      </c>
      <c r="Y82" s="1591">
        <f t="shared" si="74"/>
        <v>0</v>
      </c>
      <c r="Z82" s="1617"/>
      <c r="AA82" s="1622" t="str">
        <f t="shared" si="75"/>
        <v>2.2.3</v>
      </c>
      <c r="AB82" s="1593" t="str">
        <f t="shared" si="76"/>
        <v xml:space="preserve"> Q2 2.2</v>
      </c>
      <c r="AC82" s="1620" t="str">
        <f t="shared" si="77"/>
        <v>主要内装仕上げ材の更新必要間隔</v>
      </c>
      <c r="AD82" s="1523">
        <f t="shared" si="78"/>
        <v>0.1</v>
      </c>
      <c r="AE82" s="1523">
        <f t="shared" si="79"/>
        <v>0.1</v>
      </c>
      <c r="AF82" s="1523">
        <f t="shared" si="80"/>
        <v>0.1</v>
      </c>
      <c r="AG82" s="1523">
        <f t="shared" si="81"/>
        <v>0.1</v>
      </c>
      <c r="AH82" s="1523">
        <f t="shared" si="82"/>
        <v>0.1</v>
      </c>
      <c r="AI82" s="1523">
        <f t="shared" si="83"/>
        <v>0.1</v>
      </c>
      <c r="AJ82" s="1523">
        <f t="shared" si="84"/>
        <v>0.1</v>
      </c>
      <c r="AK82" s="1523">
        <f t="shared" si="85"/>
        <v>0.1</v>
      </c>
      <c r="AL82" s="1523">
        <f t="shared" si="86"/>
        <v>0.1</v>
      </c>
      <c r="AM82" s="1523">
        <f t="shared" si="86"/>
        <v>0.1</v>
      </c>
      <c r="AN82" s="1525">
        <f t="shared" si="87"/>
        <v>0</v>
      </c>
      <c r="AO82" s="1523">
        <f t="shared" si="88"/>
        <v>0</v>
      </c>
      <c r="AP82" s="1523">
        <f t="shared" si="89"/>
        <v>0</v>
      </c>
      <c r="AQ82" s="1619"/>
      <c r="AR82" s="1547" t="s">
        <v>1375</v>
      </c>
      <c r="AS82" s="1593" t="s">
        <v>289</v>
      </c>
      <c r="AT82" s="1964" t="s">
        <v>291</v>
      </c>
      <c r="AU82" s="1523">
        <v>0.1</v>
      </c>
      <c r="AV82" s="1523">
        <v>0.1</v>
      </c>
      <c r="AW82" s="1523">
        <v>0.1</v>
      </c>
      <c r="AX82" s="1523">
        <v>0.1</v>
      </c>
      <c r="AY82" s="1523">
        <v>0.1</v>
      </c>
      <c r="AZ82" s="1523">
        <v>0.1</v>
      </c>
      <c r="BA82" s="1523">
        <v>0.1</v>
      </c>
      <c r="BB82" s="1523">
        <v>0.1</v>
      </c>
      <c r="BC82" s="1523">
        <v>0.1</v>
      </c>
      <c r="BD82" s="1523">
        <v>0.1</v>
      </c>
      <c r="BE82" s="1525"/>
      <c r="BF82" s="1523"/>
      <c r="BG82" s="1523"/>
      <c r="BI82" s="1547" t="s">
        <v>1375</v>
      </c>
      <c r="BJ82" s="1593" t="s">
        <v>289</v>
      </c>
      <c r="BK82" s="1964" t="s">
        <v>291</v>
      </c>
      <c r="BL82" s="1523">
        <v>0.1</v>
      </c>
      <c r="BM82" s="1523">
        <v>0.1</v>
      </c>
      <c r="BN82" s="1523">
        <v>0.1</v>
      </c>
      <c r="BO82" s="1523">
        <v>0.1</v>
      </c>
      <c r="BP82" s="1523">
        <v>0.1</v>
      </c>
      <c r="BQ82" s="1523">
        <v>0.1</v>
      </c>
      <c r="BR82" s="1523">
        <v>0.1</v>
      </c>
      <c r="BS82" s="1523">
        <v>0.1</v>
      </c>
      <c r="BT82" s="1523">
        <v>0.1</v>
      </c>
      <c r="BU82" s="1523">
        <v>0.1</v>
      </c>
      <c r="BV82" s="1525"/>
      <c r="BW82" s="1523"/>
      <c r="BX82" s="1523"/>
    </row>
    <row r="83" spans="2:76" ht="13.5" customHeight="1">
      <c r="B83" s="1579" t="str">
        <f t="shared" si="70"/>
        <v>2.2.4</v>
      </c>
      <c r="C83" s="1514" t="str">
        <f t="shared" si="71"/>
        <v>空調換気ダクトの更新必要間隔</v>
      </c>
      <c r="D83" s="1621">
        <f t="shared" si="90"/>
        <v>0.1</v>
      </c>
      <c r="E83" s="1591">
        <f t="shared" si="90"/>
        <v>0</v>
      </c>
      <c r="G83" s="1591">
        <f t="shared" si="72"/>
        <v>0.1</v>
      </c>
      <c r="H83" s="1591">
        <f t="shared" si="72"/>
        <v>0</v>
      </c>
      <c r="I83" s="1591"/>
      <c r="J83" s="1591"/>
      <c r="K83" s="1516">
        <f>IF(スコア表示!X83=0,0,1)</f>
        <v>1</v>
      </c>
      <c r="L83" s="1516">
        <f>IF(スコア表示!AB83=0,0,1)</f>
        <v>0</v>
      </c>
      <c r="N83" s="1621">
        <f t="shared" si="91"/>
        <v>0.1</v>
      </c>
      <c r="O83" s="1621">
        <f t="shared" si="91"/>
        <v>0</v>
      </c>
      <c r="P83" s="1591"/>
      <c r="Q83" s="1591"/>
      <c r="R83" s="1516">
        <f>IF(スコア入力!R83="EB",重み_対象外!D83,U83)</f>
        <v>9.0000000000000011E-3</v>
      </c>
      <c r="S83" s="1516">
        <f>IF(スコア入力!Y83="EB",重み_対象外!E83,V83)</f>
        <v>0</v>
      </c>
      <c r="T83" s="1460"/>
      <c r="U83" s="1514">
        <f>X$75*X$79*X83</f>
        <v>9.0000000000000011E-3</v>
      </c>
      <c r="V83" s="1514">
        <f>Y$75*Y$79*Y83</f>
        <v>0</v>
      </c>
      <c r="W83" s="1460"/>
      <c r="X83" s="1591">
        <f t="shared" si="73"/>
        <v>0.10000000000000002</v>
      </c>
      <c r="Y83" s="1591">
        <f t="shared" si="74"/>
        <v>0</v>
      </c>
      <c r="Z83" s="1617"/>
      <c r="AA83" s="1622" t="str">
        <f t="shared" si="75"/>
        <v>2.2.4</v>
      </c>
      <c r="AB83" s="1593" t="str">
        <f t="shared" si="76"/>
        <v xml:space="preserve"> Q2 2.2</v>
      </c>
      <c r="AC83" s="1620" t="str">
        <f t="shared" si="77"/>
        <v>空調換気ダクトの更新必要間隔</v>
      </c>
      <c r="AD83" s="1523">
        <f t="shared" si="78"/>
        <v>0.1</v>
      </c>
      <c r="AE83" s="1523">
        <f t="shared" si="79"/>
        <v>0.1</v>
      </c>
      <c r="AF83" s="1523">
        <f t="shared" si="80"/>
        <v>0.1</v>
      </c>
      <c r="AG83" s="1523">
        <f t="shared" si="81"/>
        <v>0.1</v>
      </c>
      <c r="AH83" s="1523">
        <f t="shared" si="82"/>
        <v>0.1</v>
      </c>
      <c r="AI83" s="1523">
        <f t="shared" si="83"/>
        <v>0.1</v>
      </c>
      <c r="AJ83" s="1523">
        <f t="shared" si="84"/>
        <v>0.1</v>
      </c>
      <c r="AK83" s="1523">
        <f t="shared" si="85"/>
        <v>0.1</v>
      </c>
      <c r="AL83" s="1523">
        <f t="shared" si="86"/>
        <v>0.1</v>
      </c>
      <c r="AM83" s="1523">
        <f t="shared" si="86"/>
        <v>0.1</v>
      </c>
      <c r="AN83" s="1525">
        <f t="shared" si="87"/>
        <v>0</v>
      </c>
      <c r="AO83" s="1523">
        <f t="shared" si="88"/>
        <v>0</v>
      </c>
      <c r="AP83" s="1523">
        <f t="shared" si="89"/>
        <v>0</v>
      </c>
      <c r="AQ83" s="1619"/>
      <c r="AR83" s="1547" t="s">
        <v>1376</v>
      </c>
      <c r="AS83" s="1593" t="s">
        <v>289</v>
      </c>
      <c r="AT83" s="1964" t="s">
        <v>294</v>
      </c>
      <c r="AU83" s="1523">
        <v>0.1</v>
      </c>
      <c r="AV83" s="1523">
        <v>0.1</v>
      </c>
      <c r="AW83" s="1523">
        <v>0.1</v>
      </c>
      <c r="AX83" s="1523">
        <v>0.1</v>
      </c>
      <c r="AY83" s="1523">
        <v>0.1</v>
      </c>
      <c r="AZ83" s="1523">
        <v>0.1</v>
      </c>
      <c r="BA83" s="1523">
        <v>0.1</v>
      </c>
      <c r="BB83" s="1523">
        <v>0.1</v>
      </c>
      <c r="BC83" s="1523">
        <v>0.1</v>
      </c>
      <c r="BD83" s="1523">
        <v>0.1</v>
      </c>
      <c r="BE83" s="1525"/>
      <c r="BF83" s="1523"/>
      <c r="BG83" s="1523"/>
      <c r="BI83" s="1547" t="s">
        <v>1376</v>
      </c>
      <c r="BJ83" s="1593" t="s">
        <v>289</v>
      </c>
      <c r="BK83" s="1964" t="s">
        <v>294</v>
      </c>
      <c r="BL83" s="1523">
        <v>0.1</v>
      </c>
      <c r="BM83" s="1523">
        <v>0.1</v>
      </c>
      <c r="BN83" s="1523">
        <v>0.1</v>
      </c>
      <c r="BO83" s="1523">
        <v>0.1</v>
      </c>
      <c r="BP83" s="1523">
        <v>0.1</v>
      </c>
      <c r="BQ83" s="1523">
        <v>0.1</v>
      </c>
      <c r="BR83" s="1523">
        <v>0.1</v>
      </c>
      <c r="BS83" s="1523">
        <v>0.1</v>
      </c>
      <c r="BT83" s="1523">
        <v>0.1</v>
      </c>
      <c r="BU83" s="1523">
        <v>0.1</v>
      </c>
      <c r="BV83" s="1525"/>
      <c r="BW83" s="1523"/>
      <c r="BX83" s="1523"/>
    </row>
    <row r="84" spans="2:76" ht="13.5" customHeight="1">
      <c r="B84" s="1579" t="str">
        <f t="shared" si="70"/>
        <v>2.2.5</v>
      </c>
      <c r="C84" s="1514" t="str">
        <f t="shared" si="71"/>
        <v>空調・給排水配管の更新必要間隔</v>
      </c>
      <c r="D84" s="1621">
        <f t="shared" si="90"/>
        <v>0.2</v>
      </c>
      <c r="E84" s="1591">
        <f t="shared" si="90"/>
        <v>0</v>
      </c>
      <c r="G84" s="1591">
        <f t="shared" si="72"/>
        <v>0.2</v>
      </c>
      <c r="H84" s="1591">
        <f t="shared" si="72"/>
        <v>0</v>
      </c>
      <c r="I84" s="1591"/>
      <c r="J84" s="1591"/>
      <c r="K84" s="1516">
        <f>IF(スコア表示!X84=0,0,1)</f>
        <v>1</v>
      </c>
      <c r="L84" s="1516">
        <f>IF(スコア表示!AB84=0,0,1)</f>
        <v>0</v>
      </c>
      <c r="N84" s="1621">
        <f t="shared" si="91"/>
        <v>0.2</v>
      </c>
      <c r="O84" s="1621">
        <f t="shared" si="91"/>
        <v>0</v>
      </c>
      <c r="P84" s="1591"/>
      <c r="Q84" s="1591"/>
      <c r="R84" s="1516">
        <f>IF(スコア入力!R84="EB",重み_対象外!D84,U84)</f>
        <v>1.8000000000000002E-2</v>
      </c>
      <c r="S84" s="1516">
        <f>IF(スコア入力!Y84="EB",重み_対象外!E84,V84)</f>
        <v>0</v>
      </c>
      <c r="T84" s="1460"/>
      <c r="U84" s="1514">
        <f>X$75*X$79*X84</f>
        <v>1.8000000000000002E-2</v>
      </c>
      <c r="V84" s="1514"/>
      <c r="W84" s="1460"/>
      <c r="X84" s="1591">
        <f t="shared" si="73"/>
        <v>0.20000000000000004</v>
      </c>
      <c r="Y84" s="1591">
        <f t="shared" si="74"/>
        <v>0</v>
      </c>
      <c r="Z84" s="1617"/>
      <c r="AA84" s="1622" t="str">
        <f t="shared" ref="AA84:AA115" si="92">IF($AA$3=1,AR84,BI84)</f>
        <v>2.2.5</v>
      </c>
      <c r="AB84" s="1593" t="s">
        <v>289</v>
      </c>
      <c r="AC84" s="1620" t="str">
        <f t="shared" ref="AC84:AC117" si="93">IF($AA$3=1,AT84,BK84)</f>
        <v>空調・給排水配管の更新必要間隔</v>
      </c>
      <c r="AD84" s="1523">
        <f t="shared" ref="AD84:AD126" si="94">IF($AA$3=1,AU84,BL84)</f>
        <v>0.2</v>
      </c>
      <c r="AE84" s="1523">
        <f t="shared" ref="AE84:AE126" si="95">IF($AA$3=1,AV84,BM84)</f>
        <v>0.2</v>
      </c>
      <c r="AF84" s="1523">
        <f t="shared" ref="AF84:AF126" si="96">IF($AA$3=1,AW84,BN84)</f>
        <v>0.2</v>
      </c>
      <c r="AG84" s="1523">
        <f t="shared" ref="AG84:AG126" si="97">IF($AA$3=1,AX84,BO84)</f>
        <v>0.2</v>
      </c>
      <c r="AH84" s="1523">
        <f t="shared" ref="AH84:AH126" si="98">IF($AA$3=1,AY84,BP84)</f>
        <v>0.2</v>
      </c>
      <c r="AI84" s="1523">
        <f t="shared" ref="AI84:AI126" si="99">IF($AA$3=1,AZ84,BQ84)</f>
        <v>0.2</v>
      </c>
      <c r="AJ84" s="1523">
        <f t="shared" ref="AJ84:AJ126" si="100">IF($AA$3=1,BA84,BR84)</f>
        <v>0.2</v>
      </c>
      <c r="AK84" s="1523">
        <f t="shared" ref="AK84:AK126" si="101">IF($AA$3=1,BB84,BS84)</f>
        <v>0.2</v>
      </c>
      <c r="AL84" s="1523">
        <f t="shared" ref="AL84:AM126" si="102">IF($AA$3=1,BC84,BT84)</f>
        <v>0.2</v>
      </c>
      <c r="AM84" s="1523">
        <f t="shared" si="102"/>
        <v>0.2</v>
      </c>
      <c r="AN84" s="1525"/>
      <c r="AO84" s="1523"/>
      <c r="AP84" s="1523"/>
      <c r="AQ84" s="1619"/>
      <c r="AR84" s="1547" t="s">
        <v>1377</v>
      </c>
      <c r="AS84" s="1593" t="s">
        <v>289</v>
      </c>
      <c r="AT84" s="1964" t="s">
        <v>295</v>
      </c>
      <c r="AU84" s="1523">
        <v>0.2</v>
      </c>
      <c r="AV84" s="1523">
        <v>0.2</v>
      </c>
      <c r="AW84" s="1523">
        <v>0.2</v>
      </c>
      <c r="AX84" s="1523">
        <v>0.2</v>
      </c>
      <c r="AY84" s="1523">
        <v>0.2</v>
      </c>
      <c r="AZ84" s="1523">
        <v>0.2</v>
      </c>
      <c r="BA84" s="1523">
        <v>0.2</v>
      </c>
      <c r="BB84" s="1523">
        <v>0.2</v>
      </c>
      <c r="BC84" s="1523">
        <v>0.2</v>
      </c>
      <c r="BD84" s="1523">
        <v>0.2</v>
      </c>
      <c r="BE84" s="1525"/>
      <c r="BF84" s="1523"/>
      <c r="BG84" s="1523"/>
      <c r="BI84" s="1547" t="s">
        <v>1377</v>
      </c>
      <c r="BJ84" s="1593" t="s">
        <v>289</v>
      </c>
      <c r="BK84" s="1964" t="s">
        <v>295</v>
      </c>
      <c r="BL84" s="1523">
        <v>0.2</v>
      </c>
      <c r="BM84" s="1523">
        <v>0.2</v>
      </c>
      <c r="BN84" s="1523">
        <v>0.2</v>
      </c>
      <c r="BO84" s="1523">
        <v>0.2</v>
      </c>
      <c r="BP84" s="1523">
        <v>0.2</v>
      </c>
      <c r="BQ84" s="1523">
        <v>0.2</v>
      </c>
      <c r="BR84" s="1523">
        <v>0.2</v>
      </c>
      <c r="BS84" s="1523">
        <v>0.2</v>
      </c>
      <c r="BT84" s="1523">
        <v>0.2</v>
      </c>
      <c r="BU84" s="1523">
        <v>0.2</v>
      </c>
      <c r="BV84" s="1525"/>
      <c r="BW84" s="1523"/>
      <c r="BX84" s="1523"/>
    </row>
    <row r="85" spans="2:76" ht="13.5" customHeight="1">
      <c r="B85" s="1579" t="str">
        <f t="shared" si="70"/>
        <v>2.2.6</v>
      </c>
      <c r="C85" s="1514" t="str">
        <f t="shared" si="71"/>
        <v>主要設備機器の更新必要間隔</v>
      </c>
      <c r="D85" s="1621">
        <f t="shared" si="90"/>
        <v>0.2</v>
      </c>
      <c r="E85" s="1591">
        <f t="shared" si="90"/>
        <v>0</v>
      </c>
      <c r="G85" s="1591">
        <f t="shared" si="72"/>
        <v>0.2</v>
      </c>
      <c r="H85" s="1591">
        <f t="shared" si="72"/>
        <v>0</v>
      </c>
      <c r="I85" s="1591"/>
      <c r="J85" s="1591"/>
      <c r="K85" s="1516">
        <f>IF(スコア表示!X85=0,0,1)</f>
        <v>1</v>
      </c>
      <c r="L85" s="1516">
        <f>IF(スコア表示!AB85=0,0,1)</f>
        <v>0</v>
      </c>
      <c r="N85" s="1621">
        <f t="shared" si="91"/>
        <v>0.2</v>
      </c>
      <c r="O85" s="1621">
        <f t="shared" si="91"/>
        <v>0</v>
      </c>
      <c r="P85" s="1591"/>
      <c r="Q85" s="1591"/>
      <c r="R85" s="1516">
        <f>IF(スコア入力!R85="EB",重み_対象外!D85,U85)</f>
        <v>1.8000000000000002E-2</v>
      </c>
      <c r="S85" s="1516">
        <f>IF(スコア入力!Y85="EB",重み_対象外!E85,V85)</f>
        <v>0</v>
      </c>
      <c r="T85" s="1460"/>
      <c r="U85" s="1514">
        <f>X$75*X$79*X85</f>
        <v>1.8000000000000002E-2</v>
      </c>
      <c r="V85" s="1514">
        <f>Y$75*Y$79*Y85</f>
        <v>0</v>
      </c>
      <c r="W85" s="1460"/>
      <c r="X85" s="1591">
        <f t="shared" si="73"/>
        <v>0.20000000000000004</v>
      </c>
      <c r="Y85" s="1591">
        <f t="shared" si="74"/>
        <v>0</v>
      </c>
      <c r="Z85" s="1617"/>
      <c r="AA85" s="1622" t="str">
        <f t="shared" si="92"/>
        <v>2.2.6</v>
      </c>
      <c r="AB85" s="1593" t="str">
        <f t="shared" ref="AB85:AB116" si="103">IF($AA$3=1,AS85,BJ85)</f>
        <v xml:space="preserve"> Q2 2.2</v>
      </c>
      <c r="AC85" s="1620" t="str">
        <f t="shared" si="93"/>
        <v>主要設備機器の更新必要間隔</v>
      </c>
      <c r="AD85" s="1523">
        <f t="shared" si="94"/>
        <v>0.2</v>
      </c>
      <c r="AE85" s="1523">
        <f t="shared" si="95"/>
        <v>0.2</v>
      </c>
      <c r="AF85" s="1523">
        <f t="shared" si="96"/>
        <v>0.2</v>
      </c>
      <c r="AG85" s="1523">
        <f t="shared" si="97"/>
        <v>0.2</v>
      </c>
      <c r="AH85" s="1523">
        <f t="shared" si="98"/>
        <v>0.2</v>
      </c>
      <c r="AI85" s="1523">
        <f t="shared" si="99"/>
        <v>0.2</v>
      </c>
      <c r="AJ85" s="1523">
        <f t="shared" si="100"/>
        <v>0.2</v>
      </c>
      <c r="AK85" s="1523">
        <f t="shared" si="101"/>
        <v>0.2</v>
      </c>
      <c r="AL85" s="1523">
        <f t="shared" si="102"/>
        <v>0.2</v>
      </c>
      <c r="AM85" s="1523">
        <f t="shared" si="102"/>
        <v>0.2</v>
      </c>
      <c r="AN85" s="1525">
        <f>IF($AA$3=1,BE85,BV85)</f>
        <v>0</v>
      </c>
      <c r="AO85" s="1523">
        <f>IF($AA$3=1,BF85,BW85)</f>
        <v>0</v>
      </c>
      <c r="AP85" s="1523">
        <f>IF($AA$3=1,BG85,BX85)</f>
        <v>0</v>
      </c>
      <c r="AQ85" s="1619"/>
      <c r="AR85" s="1547" t="s">
        <v>1378</v>
      </c>
      <c r="AS85" s="1593" t="s">
        <v>289</v>
      </c>
      <c r="AT85" s="1964" t="s">
        <v>296</v>
      </c>
      <c r="AU85" s="1523">
        <v>0.2</v>
      </c>
      <c r="AV85" s="1523">
        <v>0.2</v>
      </c>
      <c r="AW85" s="1523">
        <v>0.2</v>
      </c>
      <c r="AX85" s="1523">
        <v>0.2</v>
      </c>
      <c r="AY85" s="1523">
        <v>0.2</v>
      </c>
      <c r="AZ85" s="1523">
        <v>0.2</v>
      </c>
      <c r="BA85" s="1523">
        <v>0.2</v>
      </c>
      <c r="BB85" s="1523">
        <v>0.2</v>
      </c>
      <c r="BC85" s="1523">
        <v>0.2</v>
      </c>
      <c r="BD85" s="1523">
        <v>0.2</v>
      </c>
      <c r="BE85" s="1525"/>
      <c r="BF85" s="1523"/>
      <c r="BG85" s="1523"/>
      <c r="BI85" s="1547" t="s">
        <v>1378</v>
      </c>
      <c r="BJ85" s="1593" t="s">
        <v>289</v>
      </c>
      <c r="BK85" s="1964" t="s">
        <v>296</v>
      </c>
      <c r="BL85" s="1523">
        <v>0.2</v>
      </c>
      <c r="BM85" s="1523">
        <v>0.2</v>
      </c>
      <c r="BN85" s="1523">
        <v>0.2</v>
      </c>
      <c r="BO85" s="1523">
        <v>0.2</v>
      </c>
      <c r="BP85" s="1523">
        <v>0.2</v>
      </c>
      <c r="BQ85" s="1523">
        <v>0.2</v>
      </c>
      <c r="BR85" s="1523">
        <v>0.2</v>
      </c>
      <c r="BS85" s="1523">
        <v>0.2</v>
      </c>
      <c r="BT85" s="1523">
        <v>0.2</v>
      </c>
      <c r="BU85" s="1523">
        <v>0.2</v>
      </c>
      <c r="BV85" s="1525"/>
      <c r="BW85" s="1523"/>
      <c r="BX85" s="1523"/>
    </row>
    <row r="86" spans="2:76" ht="13.5" customHeight="1">
      <c r="B86" s="1547">
        <f t="shared" si="70"/>
        <v>2.2999999999999998</v>
      </c>
      <c r="C86" s="1547" t="str">
        <f t="shared" si="71"/>
        <v>適切な更新</v>
      </c>
      <c r="D86" s="1616">
        <f>IF(I$75=0,0,G86/I$75)</f>
        <v>0</v>
      </c>
      <c r="E86" s="1591">
        <f>IF(J$75=0,0,H86/J$75)</f>
        <v>0</v>
      </c>
      <c r="G86" s="1591">
        <f t="shared" si="72"/>
        <v>0</v>
      </c>
      <c r="H86" s="1591">
        <f t="shared" si="72"/>
        <v>0</v>
      </c>
      <c r="I86" s="1591">
        <f>G87+G88+G89</f>
        <v>0</v>
      </c>
      <c r="J86" s="1591">
        <f>H87+H88+H89</f>
        <v>0</v>
      </c>
      <c r="K86" s="1516">
        <f>IF(スコア表示!X86=0,0,1)</f>
        <v>0</v>
      </c>
      <c r="L86" s="1516">
        <f>IF(スコア表示!AB86=0,0,1)</f>
        <v>0</v>
      </c>
      <c r="N86" s="1616">
        <f>IF(P$75=0,0,P86/P$75)</f>
        <v>0</v>
      </c>
      <c r="O86" s="1616">
        <f>IF(Q$75=0,0,Q86/Q$75)</f>
        <v>0</v>
      </c>
      <c r="P86" s="1591">
        <f>SUM(R87:R89)</f>
        <v>0</v>
      </c>
      <c r="Q86" s="1591">
        <f>SUM(S87:S89)</f>
        <v>0</v>
      </c>
      <c r="R86" s="1516">
        <f>IF(スコア入力!R86="EB",重み_対象外!D86,U86)</f>
        <v>0</v>
      </c>
      <c r="S86" s="1516">
        <f>IF(スコア入力!Y86="EB",重み_対象外!E86,V86)</f>
        <v>0</v>
      </c>
      <c r="T86" s="1460"/>
      <c r="U86" s="1514"/>
      <c r="V86" s="1514"/>
      <c r="W86" s="1460"/>
      <c r="X86" s="1591">
        <f t="shared" si="73"/>
        <v>0</v>
      </c>
      <c r="Y86" s="1591">
        <f t="shared" si="74"/>
        <v>0</v>
      </c>
      <c r="Z86" s="1617"/>
      <c r="AA86" s="1622">
        <f t="shared" si="92"/>
        <v>2.2999999999999998</v>
      </c>
      <c r="AB86" s="1593" t="str">
        <f t="shared" si="103"/>
        <v xml:space="preserve"> Q2 2</v>
      </c>
      <c r="AC86" s="1620" t="str">
        <f t="shared" si="93"/>
        <v>適切な更新</v>
      </c>
      <c r="AD86" s="1523">
        <f t="shared" si="94"/>
        <v>0</v>
      </c>
      <c r="AE86" s="1523">
        <f t="shared" si="95"/>
        <v>0</v>
      </c>
      <c r="AF86" s="1523">
        <f t="shared" si="96"/>
        <v>0</v>
      </c>
      <c r="AG86" s="1523">
        <f t="shared" si="97"/>
        <v>0</v>
      </c>
      <c r="AH86" s="1523">
        <f t="shared" si="98"/>
        <v>0</v>
      </c>
      <c r="AI86" s="1523">
        <f t="shared" si="99"/>
        <v>0</v>
      </c>
      <c r="AJ86" s="1523">
        <f t="shared" si="100"/>
        <v>0</v>
      </c>
      <c r="AK86" s="1523">
        <f t="shared" si="101"/>
        <v>0</v>
      </c>
      <c r="AL86" s="1523">
        <f t="shared" si="102"/>
        <v>0</v>
      </c>
      <c r="AM86" s="1523">
        <f t="shared" si="102"/>
        <v>0</v>
      </c>
      <c r="AN86" s="1525"/>
      <c r="AO86" s="1523"/>
      <c r="AP86" s="1523"/>
      <c r="AQ86" s="1619"/>
      <c r="AR86" s="1967">
        <v>2.2999999999999998</v>
      </c>
      <c r="AS86" s="1984" t="s">
        <v>286</v>
      </c>
      <c r="AT86" s="1970" t="s">
        <v>374</v>
      </c>
      <c r="AU86" s="1972">
        <v>0</v>
      </c>
      <c r="AV86" s="1972">
        <v>0</v>
      </c>
      <c r="AW86" s="1972">
        <v>0</v>
      </c>
      <c r="AX86" s="1972">
        <v>0</v>
      </c>
      <c r="AY86" s="1972">
        <v>0</v>
      </c>
      <c r="AZ86" s="1972">
        <v>0</v>
      </c>
      <c r="BA86" s="1972">
        <v>0</v>
      </c>
      <c r="BB86" s="1972">
        <v>0</v>
      </c>
      <c r="BC86" s="1972">
        <v>0</v>
      </c>
      <c r="BD86" s="1972">
        <v>0</v>
      </c>
      <c r="BE86" s="1972"/>
      <c r="BF86" s="1972"/>
      <c r="BG86" s="1972"/>
      <c r="BI86" s="1967">
        <v>2.2999999999999998</v>
      </c>
      <c r="BJ86" s="1984" t="s">
        <v>286</v>
      </c>
      <c r="BK86" s="1970" t="s">
        <v>374</v>
      </c>
      <c r="BL86" s="1972">
        <v>0</v>
      </c>
      <c r="BM86" s="1972">
        <v>0</v>
      </c>
      <c r="BN86" s="1972">
        <v>0</v>
      </c>
      <c r="BO86" s="1972">
        <v>0</v>
      </c>
      <c r="BP86" s="1972">
        <v>0</v>
      </c>
      <c r="BQ86" s="1972">
        <v>0</v>
      </c>
      <c r="BR86" s="1972">
        <v>0</v>
      </c>
      <c r="BS86" s="1972">
        <v>0</v>
      </c>
      <c r="BT86" s="1972">
        <v>0</v>
      </c>
      <c r="BU86" s="1972">
        <v>0</v>
      </c>
      <c r="BV86" s="1972"/>
      <c r="BW86" s="1972"/>
      <c r="BX86" s="1972"/>
    </row>
    <row r="87" spans="2:76" ht="13.5" customHeight="1">
      <c r="B87" s="1579" t="str">
        <f t="shared" si="70"/>
        <v>2.3.1</v>
      </c>
      <c r="C87" s="1514" t="str">
        <f t="shared" si="71"/>
        <v>屋上（屋根）・外壁仕上げ材の更新</v>
      </c>
      <c r="D87" s="1621">
        <f t="shared" ref="D87:E89" si="104">IF(I$79&gt;0,G87/I$79,0)</f>
        <v>0</v>
      </c>
      <c r="E87" s="1591">
        <f t="shared" si="104"/>
        <v>0</v>
      </c>
      <c r="G87" s="1591">
        <f t="shared" si="72"/>
        <v>0</v>
      </c>
      <c r="H87" s="1591">
        <f t="shared" si="72"/>
        <v>0</v>
      </c>
      <c r="I87" s="1591"/>
      <c r="J87" s="1591"/>
      <c r="K87" s="1516">
        <f>IF(スコア表示!X87=0,0,1)</f>
        <v>1</v>
      </c>
      <c r="L87" s="1516">
        <f>IF(スコア表示!AB87=0,0,1)</f>
        <v>0</v>
      </c>
      <c r="N87" s="1621">
        <f t="shared" ref="N87:O89" si="105">IF(P$86&gt;0,R87/P$86,0)</f>
        <v>0</v>
      </c>
      <c r="O87" s="1621">
        <f t="shared" si="105"/>
        <v>0</v>
      </c>
      <c r="P87" s="1591"/>
      <c r="Q87" s="1591"/>
      <c r="R87" s="1516">
        <f>IF(スコア入力!R87="EB",重み_対象外!D87,U87)</f>
        <v>0</v>
      </c>
      <c r="S87" s="1516">
        <f>IF(スコア入力!Y87="EB",重み_対象外!E87,V87)</f>
        <v>0</v>
      </c>
      <c r="T87" s="1460"/>
      <c r="U87" s="1514">
        <f t="shared" ref="U87:V89" si="106">X$75*X$86*X87</f>
        <v>0</v>
      </c>
      <c r="V87" s="1514">
        <f t="shared" si="106"/>
        <v>0</v>
      </c>
      <c r="W87" s="1460"/>
      <c r="X87" s="1591">
        <f t="shared" si="73"/>
        <v>0</v>
      </c>
      <c r="Y87" s="1591">
        <f t="shared" si="74"/>
        <v>0</v>
      </c>
      <c r="Z87" s="1617"/>
      <c r="AA87" s="1622" t="str">
        <f t="shared" si="92"/>
        <v>2.3.1</v>
      </c>
      <c r="AB87" s="1593" t="str">
        <f t="shared" si="103"/>
        <v xml:space="preserve"> Q2 2.3</v>
      </c>
      <c r="AC87" s="1620" t="str">
        <f t="shared" si="93"/>
        <v>屋上（屋根）・外壁仕上げ材の更新</v>
      </c>
      <c r="AD87" s="1523">
        <f t="shared" si="94"/>
        <v>0</v>
      </c>
      <c r="AE87" s="1523">
        <f t="shared" si="95"/>
        <v>0</v>
      </c>
      <c r="AF87" s="1523">
        <f t="shared" si="96"/>
        <v>0</v>
      </c>
      <c r="AG87" s="1523">
        <f t="shared" si="97"/>
        <v>0</v>
      </c>
      <c r="AH87" s="1523">
        <f t="shared" si="98"/>
        <v>0</v>
      </c>
      <c r="AI87" s="1523">
        <f t="shared" si="99"/>
        <v>0</v>
      </c>
      <c r="AJ87" s="1523">
        <f t="shared" si="100"/>
        <v>0</v>
      </c>
      <c r="AK87" s="1523">
        <f t="shared" si="101"/>
        <v>0</v>
      </c>
      <c r="AL87" s="1523">
        <f t="shared" si="102"/>
        <v>0</v>
      </c>
      <c r="AM87" s="1523">
        <f t="shared" si="102"/>
        <v>0</v>
      </c>
      <c r="AN87" s="1525"/>
      <c r="AO87" s="1523"/>
      <c r="AP87" s="1523"/>
      <c r="AQ87" s="1619"/>
      <c r="AR87" s="1967" t="s">
        <v>1379</v>
      </c>
      <c r="AS87" s="1985" t="s">
        <v>297</v>
      </c>
      <c r="AT87" s="1970" t="s">
        <v>375</v>
      </c>
      <c r="AU87" s="1972">
        <v>0</v>
      </c>
      <c r="AV87" s="1972">
        <v>0</v>
      </c>
      <c r="AW87" s="1972">
        <v>0</v>
      </c>
      <c r="AX87" s="1972">
        <v>0</v>
      </c>
      <c r="AY87" s="1972">
        <v>0</v>
      </c>
      <c r="AZ87" s="1972">
        <v>0</v>
      </c>
      <c r="BA87" s="1972">
        <v>0</v>
      </c>
      <c r="BB87" s="1972">
        <v>0</v>
      </c>
      <c r="BC87" s="1972">
        <v>0</v>
      </c>
      <c r="BD87" s="1972">
        <v>0</v>
      </c>
      <c r="BE87" s="1972"/>
      <c r="BF87" s="1972"/>
      <c r="BG87" s="1972"/>
      <c r="BI87" s="1967" t="s">
        <v>1379</v>
      </c>
      <c r="BJ87" s="1985" t="s">
        <v>297</v>
      </c>
      <c r="BK87" s="1970" t="s">
        <v>375</v>
      </c>
      <c r="BL87" s="1972">
        <v>0</v>
      </c>
      <c r="BM87" s="1972">
        <v>0</v>
      </c>
      <c r="BN87" s="1972">
        <v>0</v>
      </c>
      <c r="BO87" s="1972">
        <v>0</v>
      </c>
      <c r="BP87" s="1972">
        <v>0</v>
      </c>
      <c r="BQ87" s="1972">
        <v>0</v>
      </c>
      <c r="BR87" s="1972">
        <v>0</v>
      </c>
      <c r="BS87" s="1972">
        <v>0</v>
      </c>
      <c r="BT87" s="1972">
        <v>0</v>
      </c>
      <c r="BU87" s="1972">
        <v>0</v>
      </c>
      <c r="BV87" s="1972"/>
      <c r="BW87" s="1972"/>
      <c r="BX87" s="1972"/>
    </row>
    <row r="88" spans="2:76" ht="13.5" customHeight="1">
      <c r="B88" s="1579" t="str">
        <f t="shared" si="70"/>
        <v>2.3.2</v>
      </c>
      <c r="C88" s="1514" t="str">
        <f t="shared" si="71"/>
        <v>配管・配線材の更新</v>
      </c>
      <c r="D88" s="1621">
        <f t="shared" si="104"/>
        <v>0</v>
      </c>
      <c r="E88" s="1591">
        <f t="shared" si="104"/>
        <v>0</v>
      </c>
      <c r="G88" s="1591">
        <f t="shared" si="72"/>
        <v>0</v>
      </c>
      <c r="H88" s="1591">
        <f t="shared" si="72"/>
        <v>0</v>
      </c>
      <c r="I88" s="1591"/>
      <c r="J88" s="1591"/>
      <c r="K88" s="1516">
        <f>IF(スコア表示!X88=0,0,1)</f>
        <v>1</v>
      </c>
      <c r="L88" s="1516">
        <f>IF(スコア表示!AB88=0,0,1)</f>
        <v>0</v>
      </c>
      <c r="N88" s="1621">
        <f t="shared" si="105"/>
        <v>0</v>
      </c>
      <c r="O88" s="1621">
        <f t="shared" si="105"/>
        <v>0</v>
      </c>
      <c r="P88" s="1591"/>
      <c r="Q88" s="1591"/>
      <c r="R88" s="1516">
        <f>IF(スコア入力!R88="EB",重み_対象外!D88,U88)</f>
        <v>0</v>
      </c>
      <c r="S88" s="1516">
        <f>IF(スコア入力!Y88="EB",重み_対象外!E88,V88)</f>
        <v>0</v>
      </c>
      <c r="T88" s="1460"/>
      <c r="U88" s="1514">
        <f t="shared" si="106"/>
        <v>0</v>
      </c>
      <c r="V88" s="1514">
        <f t="shared" si="106"/>
        <v>0</v>
      </c>
      <c r="W88" s="1460"/>
      <c r="X88" s="1591">
        <f t="shared" si="73"/>
        <v>0</v>
      </c>
      <c r="Y88" s="1591">
        <f t="shared" si="74"/>
        <v>0</v>
      </c>
      <c r="Z88" s="1617"/>
      <c r="AA88" s="1622" t="str">
        <f t="shared" si="92"/>
        <v>2.3.2</v>
      </c>
      <c r="AB88" s="1593" t="str">
        <f t="shared" si="103"/>
        <v xml:space="preserve"> Q2 2.3</v>
      </c>
      <c r="AC88" s="1620" t="str">
        <f t="shared" si="93"/>
        <v>配管・配線材の更新</v>
      </c>
      <c r="AD88" s="1523">
        <f t="shared" si="94"/>
        <v>0</v>
      </c>
      <c r="AE88" s="1523">
        <f t="shared" si="95"/>
        <v>0</v>
      </c>
      <c r="AF88" s="1523">
        <f t="shared" si="96"/>
        <v>0</v>
      </c>
      <c r="AG88" s="1523">
        <f t="shared" si="97"/>
        <v>0</v>
      </c>
      <c r="AH88" s="1523">
        <f t="shared" si="98"/>
        <v>0</v>
      </c>
      <c r="AI88" s="1523">
        <f t="shared" si="99"/>
        <v>0</v>
      </c>
      <c r="AJ88" s="1523">
        <f t="shared" si="100"/>
        <v>0</v>
      </c>
      <c r="AK88" s="1523">
        <f t="shared" si="101"/>
        <v>0</v>
      </c>
      <c r="AL88" s="1523">
        <f t="shared" si="102"/>
        <v>0</v>
      </c>
      <c r="AM88" s="1523">
        <f t="shared" si="102"/>
        <v>0</v>
      </c>
      <c r="AN88" s="1525"/>
      <c r="AO88" s="1523"/>
      <c r="AP88" s="1523"/>
      <c r="AQ88" s="1619"/>
      <c r="AR88" s="1967" t="s">
        <v>1380</v>
      </c>
      <c r="AS88" s="1985" t="s">
        <v>297</v>
      </c>
      <c r="AT88" s="1970" t="s">
        <v>376</v>
      </c>
      <c r="AU88" s="1972">
        <v>0</v>
      </c>
      <c r="AV88" s="1972">
        <v>0</v>
      </c>
      <c r="AW88" s="1972">
        <v>0</v>
      </c>
      <c r="AX88" s="1972">
        <v>0</v>
      </c>
      <c r="AY88" s="1972">
        <v>0</v>
      </c>
      <c r="AZ88" s="1972">
        <v>0</v>
      </c>
      <c r="BA88" s="1972">
        <v>0</v>
      </c>
      <c r="BB88" s="1972">
        <v>0</v>
      </c>
      <c r="BC88" s="1972">
        <v>0</v>
      </c>
      <c r="BD88" s="1972">
        <v>0</v>
      </c>
      <c r="BE88" s="1972"/>
      <c r="BF88" s="1972"/>
      <c r="BG88" s="1972"/>
      <c r="BI88" s="1967" t="s">
        <v>1380</v>
      </c>
      <c r="BJ88" s="1985" t="s">
        <v>297</v>
      </c>
      <c r="BK88" s="1970" t="s">
        <v>376</v>
      </c>
      <c r="BL88" s="1972">
        <v>0</v>
      </c>
      <c r="BM88" s="1972">
        <v>0</v>
      </c>
      <c r="BN88" s="1972">
        <v>0</v>
      </c>
      <c r="BO88" s="1972">
        <v>0</v>
      </c>
      <c r="BP88" s="1972">
        <v>0</v>
      </c>
      <c r="BQ88" s="1972">
        <v>0</v>
      </c>
      <c r="BR88" s="1972">
        <v>0</v>
      </c>
      <c r="BS88" s="1972">
        <v>0</v>
      </c>
      <c r="BT88" s="1972">
        <v>0</v>
      </c>
      <c r="BU88" s="1972">
        <v>0</v>
      </c>
      <c r="BV88" s="1972"/>
      <c r="BW88" s="1972"/>
      <c r="BX88" s="1972"/>
    </row>
    <row r="89" spans="2:76" ht="13.5" customHeight="1">
      <c r="B89" s="1579" t="str">
        <f t="shared" si="70"/>
        <v>2.3.3</v>
      </c>
      <c r="C89" s="1514" t="str">
        <f t="shared" si="71"/>
        <v>主要設備機器の更新</v>
      </c>
      <c r="D89" s="1621">
        <f t="shared" si="104"/>
        <v>0</v>
      </c>
      <c r="E89" s="1591">
        <f t="shared" si="104"/>
        <v>0</v>
      </c>
      <c r="G89" s="1591">
        <f t="shared" si="72"/>
        <v>0</v>
      </c>
      <c r="H89" s="1591">
        <f t="shared" si="72"/>
        <v>0</v>
      </c>
      <c r="I89" s="1591"/>
      <c r="J89" s="1591"/>
      <c r="K89" s="1516">
        <f>IF(スコア表示!X89=0,0,1)</f>
        <v>1</v>
      </c>
      <c r="L89" s="1516">
        <f>IF(スコア表示!AB89=0,0,1)</f>
        <v>0</v>
      </c>
      <c r="N89" s="1621">
        <f t="shared" si="105"/>
        <v>0</v>
      </c>
      <c r="O89" s="1621">
        <f t="shared" si="105"/>
        <v>0</v>
      </c>
      <c r="P89" s="1591"/>
      <c r="Q89" s="1591"/>
      <c r="R89" s="1516">
        <f>IF(スコア入力!R89="EB",重み_対象外!D89,U89)</f>
        <v>0</v>
      </c>
      <c r="S89" s="1516">
        <f>IF(スコア入力!Y89="EB",重み_対象外!E89,V89)</f>
        <v>0</v>
      </c>
      <c r="T89" s="1460"/>
      <c r="U89" s="1514">
        <f t="shared" si="106"/>
        <v>0</v>
      </c>
      <c r="V89" s="1514">
        <f t="shared" si="106"/>
        <v>0</v>
      </c>
      <c r="W89" s="1460"/>
      <c r="X89" s="1591">
        <f t="shared" si="73"/>
        <v>0</v>
      </c>
      <c r="Y89" s="1591">
        <f t="shared" si="74"/>
        <v>0</v>
      </c>
      <c r="Z89" s="1617"/>
      <c r="AA89" s="1622" t="str">
        <f t="shared" si="92"/>
        <v>2.3.3</v>
      </c>
      <c r="AB89" s="1593" t="str">
        <f t="shared" si="103"/>
        <v xml:space="preserve"> Q2 2.3</v>
      </c>
      <c r="AC89" s="1620" t="str">
        <f t="shared" si="93"/>
        <v>主要設備機器の更新</v>
      </c>
      <c r="AD89" s="1523">
        <f t="shared" si="94"/>
        <v>0</v>
      </c>
      <c r="AE89" s="1523">
        <f t="shared" si="95"/>
        <v>0</v>
      </c>
      <c r="AF89" s="1523">
        <f t="shared" si="96"/>
        <v>0</v>
      </c>
      <c r="AG89" s="1523">
        <f t="shared" si="97"/>
        <v>0</v>
      </c>
      <c r="AH89" s="1523">
        <f t="shared" si="98"/>
        <v>0</v>
      </c>
      <c r="AI89" s="1523">
        <f t="shared" si="99"/>
        <v>0</v>
      </c>
      <c r="AJ89" s="1523">
        <f t="shared" si="100"/>
        <v>0</v>
      </c>
      <c r="AK89" s="1523">
        <f t="shared" si="101"/>
        <v>0</v>
      </c>
      <c r="AL89" s="1523">
        <f t="shared" si="102"/>
        <v>0</v>
      </c>
      <c r="AM89" s="1523">
        <f t="shared" si="102"/>
        <v>0</v>
      </c>
      <c r="AN89" s="1525"/>
      <c r="AO89" s="1523"/>
      <c r="AP89" s="1523"/>
      <c r="AQ89" s="1619"/>
      <c r="AR89" s="1967" t="s">
        <v>1381</v>
      </c>
      <c r="AS89" s="1985" t="s">
        <v>297</v>
      </c>
      <c r="AT89" s="1970" t="s">
        <v>377</v>
      </c>
      <c r="AU89" s="1972">
        <v>0</v>
      </c>
      <c r="AV89" s="1972">
        <v>0</v>
      </c>
      <c r="AW89" s="1972">
        <v>0</v>
      </c>
      <c r="AX89" s="1972">
        <v>0</v>
      </c>
      <c r="AY89" s="1972">
        <v>0</v>
      </c>
      <c r="AZ89" s="1972">
        <v>0</v>
      </c>
      <c r="BA89" s="1972">
        <v>0</v>
      </c>
      <c r="BB89" s="1972">
        <v>0</v>
      </c>
      <c r="BC89" s="1972">
        <v>0</v>
      </c>
      <c r="BD89" s="1972">
        <v>0</v>
      </c>
      <c r="BE89" s="1972"/>
      <c r="BF89" s="1972"/>
      <c r="BG89" s="1972"/>
      <c r="BI89" s="1967" t="s">
        <v>1381</v>
      </c>
      <c r="BJ89" s="1985" t="s">
        <v>297</v>
      </c>
      <c r="BK89" s="1970" t="s">
        <v>377</v>
      </c>
      <c r="BL89" s="1972">
        <v>0</v>
      </c>
      <c r="BM89" s="1972">
        <v>0</v>
      </c>
      <c r="BN89" s="1972">
        <v>0</v>
      </c>
      <c r="BO89" s="1972">
        <v>0</v>
      </c>
      <c r="BP89" s="1972">
        <v>0</v>
      </c>
      <c r="BQ89" s="1972">
        <v>0</v>
      </c>
      <c r="BR89" s="1972">
        <v>0</v>
      </c>
      <c r="BS89" s="1972">
        <v>0</v>
      </c>
      <c r="BT89" s="1972">
        <v>0</v>
      </c>
      <c r="BU89" s="1972">
        <v>0</v>
      </c>
      <c r="BV89" s="1972"/>
      <c r="BW89" s="1972"/>
      <c r="BX89" s="1972"/>
    </row>
    <row r="90" spans="2:76" ht="13.5" customHeight="1">
      <c r="B90" s="1513">
        <f t="shared" si="70"/>
        <v>2.4</v>
      </c>
      <c r="C90" s="1547" t="str">
        <f t="shared" si="71"/>
        <v>信頼性</v>
      </c>
      <c r="D90" s="1616">
        <f>IF(I$75=0,0,G90/I$75)</f>
        <v>0.20000000000000004</v>
      </c>
      <c r="E90" s="1591">
        <f>IF(J$75=0,0,H90/J$75)</f>
        <v>0</v>
      </c>
      <c r="G90" s="1591">
        <f t="shared" si="72"/>
        <v>0.19999999999999998</v>
      </c>
      <c r="H90" s="1591">
        <f t="shared" si="72"/>
        <v>0</v>
      </c>
      <c r="I90" s="1591">
        <f>SUM(G91:G95)</f>
        <v>1</v>
      </c>
      <c r="J90" s="1591">
        <f>SUM(H91:H95)</f>
        <v>0</v>
      </c>
      <c r="K90" s="1516">
        <f>IF(スコア表示!X90=0,0,1)</f>
        <v>1</v>
      </c>
      <c r="L90" s="1516">
        <f>IF(スコア表示!AB90=0,0,1)</f>
        <v>0</v>
      </c>
      <c r="N90" s="1613">
        <f>IF(P$75=0,0,P90/P$75)</f>
        <v>0.19999999999999998</v>
      </c>
      <c r="O90" s="1613">
        <f>IF(Q$75=0,0,Q90/Q$75)</f>
        <v>0</v>
      </c>
      <c r="P90" s="1516">
        <f>SUM(R91:R95)</f>
        <v>6.0000000000000026E-2</v>
      </c>
      <c r="Q90" s="1516">
        <f>SUM(S91:S95)</f>
        <v>0</v>
      </c>
      <c r="R90" s="1516">
        <f>IF(スコア入力!R90="EB",重み_対象外!D90,U90)</f>
        <v>0</v>
      </c>
      <c r="S90" s="1516">
        <f>IF(スコア入力!Y90="EB",重み_対象外!E90,V90)</f>
        <v>0</v>
      </c>
      <c r="T90" s="1460"/>
      <c r="U90" s="1530"/>
      <c r="V90" s="1530"/>
      <c r="W90" s="1460"/>
      <c r="X90" s="1516">
        <f t="shared" si="73"/>
        <v>0.20000000000000004</v>
      </c>
      <c r="Y90" s="1516">
        <f t="shared" si="74"/>
        <v>0</v>
      </c>
      <c r="Z90" s="1544"/>
      <c r="AA90" s="1513">
        <f t="shared" si="92"/>
        <v>2.4</v>
      </c>
      <c r="AB90" s="1513" t="str">
        <f t="shared" si="103"/>
        <v xml:space="preserve"> Q2 2</v>
      </c>
      <c r="AC90" s="1513" t="str">
        <f t="shared" si="93"/>
        <v>信頼性</v>
      </c>
      <c r="AD90" s="1659">
        <f t="shared" si="94"/>
        <v>0.2</v>
      </c>
      <c r="AE90" s="1659">
        <f t="shared" si="95"/>
        <v>0.2</v>
      </c>
      <c r="AF90" s="1659">
        <f t="shared" si="96"/>
        <v>0.2</v>
      </c>
      <c r="AG90" s="1659">
        <f t="shared" si="97"/>
        <v>0.2</v>
      </c>
      <c r="AH90" s="1659">
        <f t="shared" si="98"/>
        <v>0.2</v>
      </c>
      <c r="AI90" s="1659">
        <f t="shared" si="99"/>
        <v>0.2</v>
      </c>
      <c r="AJ90" s="1659">
        <f t="shared" si="100"/>
        <v>0.2</v>
      </c>
      <c r="AK90" s="1661">
        <f t="shared" si="101"/>
        <v>0.2</v>
      </c>
      <c r="AL90" s="1659">
        <f t="shared" si="102"/>
        <v>0.2</v>
      </c>
      <c r="AM90" s="1659">
        <f t="shared" si="102"/>
        <v>0.2</v>
      </c>
      <c r="AN90" s="1660">
        <f t="shared" ref="AN90:AN129" si="107">IF($AA$3=1,BE90,BV90)</f>
        <v>0</v>
      </c>
      <c r="AO90" s="1659">
        <f t="shared" ref="AO90:AO129" si="108">IF($AA$3=1,BF90,BW90)</f>
        <v>0</v>
      </c>
      <c r="AP90" s="1659">
        <f t="shared" ref="AP90:AP129" si="109">IF($AA$3=1,BG90,BX90)</f>
        <v>0</v>
      </c>
      <c r="AQ90" s="1520"/>
      <c r="AR90" s="1547">
        <v>2.4</v>
      </c>
      <c r="AS90" s="1593" t="s">
        <v>286</v>
      </c>
      <c r="AT90" s="1637" t="s">
        <v>653</v>
      </c>
      <c r="AU90" s="1523">
        <v>0.2</v>
      </c>
      <c r="AV90" s="1523">
        <v>0.2</v>
      </c>
      <c r="AW90" s="1523">
        <v>0.2</v>
      </c>
      <c r="AX90" s="1523">
        <v>0.2</v>
      </c>
      <c r="AY90" s="1523">
        <v>0.2</v>
      </c>
      <c r="AZ90" s="1523">
        <v>0.2</v>
      </c>
      <c r="BA90" s="1523">
        <v>0.2</v>
      </c>
      <c r="BB90" s="1524">
        <v>0.2</v>
      </c>
      <c r="BC90" s="1523">
        <v>0.2</v>
      </c>
      <c r="BD90" s="1523">
        <v>0.2</v>
      </c>
      <c r="BE90" s="1525"/>
      <c r="BF90" s="1523"/>
      <c r="BG90" s="1523"/>
      <c r="BI90" s="1547">
        <v>2.4</v>
      </c>
      <c r="BJ90" s="1593" t="s">
        <v>286</v>
      </c>
      <c r="BK90" s="1637" t="s">
        <v>653</v>
      </c>
      <c r="BL90" s="1523">
        <v>0.2</v>
      </c>
      <c r="BM90" s="1523">
        <v>0.2</v>
      </c>
      <c r="BN90" s="1523">
        <v>0.2</v>
      </c>
      <c r="BO90" s="1523">
        <v>0.2</v>
      </c>
      <c r="BP90" s="1523">
        <v>0.2</v>
      </c>
      <c r="BQ90" s="1523">
        <v>0.2</v>
      </c>
      <c r="BR90" s="1523">
        <v>0.2</v>
      </c>
      <c r="BS90" s="1524">
        <v>0.2</v>
      </c>
      <c r="BT90" s="1523">
        <v>0.2</v>
      </c>
      <c r="BU90" s="1523">
        <v>0.2</v>
      </c>
      <c r="BV90" s="1525"/>
      <c r="BW90" s="1523"/>
      <c r="BX90" s="1523"/>
    </row>
    <row r="91" spans="2:76" ht="13.5" customHeight="1">
      <c r="B91" s="1521" t="str">
        <f t="shared" si="70"/>
        <v>2.4.1</v>
      </c>
      <c r="C91" s="1514" t="str">
        <f t="shared" si="71"/>
        <v>空調・換気設備</v>
      </c>
      <c r="D91" s="1621">
        <f t="shared" ref="D91:E95" si="110">IF(I$90&gt;0,G91/I$90,0)</f>
        <v>0.2</v>
      </c>
      <c r="E91" s="1591">
        <f t="shared" si="110"/>
        <v>0</v>
      </c>
      <c r="G91" s="1591">
        <f t="shared" si="72"/>
        <v>0.2</v>
      </c>
      <c r="H91" s="1591">
        <f t="shared" si="72"/>
        <v>0</v>
      </c>
      <c r="I91" s="1591"/>
      <c r="J91" s="1591"/>
      <c r="K91" s="1516">
        <f>IF(スコア表示!X91=0,0,1)</f>
        <v>1</v>
      </c>
      <c r="L91" s="1516">
        <f>IF(スコア表示!AB91=0,0,1)</f>
        <v>0</v>
      </c>
      <c r="N91" s="1608">
        <f t="shared" ref="N91:O95" si="111">IF(P$90&gt;0,R91/P$90,0)</f>
        <v>0.2</v>
      </c>
      <c r="O91" s="1608">
        <f t="shared" si="111"/>
        <v>0</v>
      </c>
      <c r="P91" s="1516"/>
      <c r="Q91" s="1516"/>
      <c r="R91" s="1516">
        <f>IF(スコア入力!R91="EB",重み_対象外!D91,U91)</f>
        <v>1.2000000000000005E-2</v>
      </c>
      <c r="S91" s="1516">
        <f>IF(スコア入力!Y91="EB",重み_対象外!E91,V91)</f>
        <v>0</v>
      </c>
      <c r="T91" s="1460"/>
      <c r="U91" s="1514">
        <f t="shared" ref="U91:V95" si="112">X$75*X$90*X91</f>
        <v>1.2000000000000005E-2</v>
      </c>
      <c r="V91" s="1514">
        <f t="shared" si="112"/>
        <v>0</v>
      </c>
      <c r="W91" s="1460"/>
      <c r="X91" s="1516">
        <f t="shared" si="73"/>
        <v>0.20000000000000004</v>
      </c>
      <c r="Y91" s="1516">
        <f t="shared" si="74"/>
        <v>0</v>
      </c>
      <c r="Z91" s="1544"/>
      <c r="AA91" s="1513" t="str">
        <f t="shared" si="92"/>
        <v>2.4.1</v>
      </c>
      <c r="AB91" s="1513" t="str">
        <f t="shared" si="103"/>
        <v xml:space="preserve"> Q2 2.4</v>
      </c>
      <c r="AC91" s="1513" t="str">
        <f t="shared" si="93"/>
        <v>空調・換気設備</v>
      </c>
      <c r="AD91" s="1659">
        <f t="shared" si="94"/>
        <v>0.2</v>
      </c>
      <c r="AE91" s="1659">
        <f t="shared" si="95"/>
        <v>0.2</v>
      </c>
      <c r="AF91" s="1659">
        <f t="shared" si="96"/>
        <v>0.2</v>
      </c>
      <c r="AG91" s="1659">
        <f t="shared" si="97"/>
        <v>0.2</v>
      </c>
      <c r="AH91" s="1659">
        <f t="shared" si="98"/>
        <v>0.2</v>
      </c>
      <c r="AI91" s="1659">
        <f t="shared" si="99"/>
        <v>0.2</v>
      </c>
      <c r="AJ91" s="1659">
        <f t="shared" si="100"/>
        <v>0.2</v>
      </c>
      <c r="AK91" s="1661">
        <f t="shared" si="101"/>
        <v>0.2</v>
      </c>
      <c r="AL91" s="1659">
        <f t="shared" si="102"/>
        <v>0.2</v>
      </c>
      <c r="AM91" s="1659">
        <f t="shared" si="102"/>
        <v>0.2</v>
      </c>
      <c r="AN91" s="1660">
        <f t="shared" si="107"/>
        <v>0</v>
      </c>
      <c r="AO91" s="1659">
        <f t="shared" si="108"/>
        <v>0</v>
      </c>
      <c r="AP91" s="1659">
        <f t="shared" si="109"/>
        <v>0</v>
      </c>
      <c r="AQ91" s="1520"/>
      <c r="AR91" s="1547" t="s">
        <v>1382</v>
      </c>
      <c r="AS91" s="1593" t="s">
        <v>298</v>
      </c>
      <c r="AT91" s="1964" t="s">
        <v>299</v>
      </c>
      <c r="AU91" s="1523">
        <v>0.2</v>
      </c>
      <c r="AV91" s="1523">
        <v>0.2</v>
      </c>
      <c r="AW91" s="1523">
        <v>0.2</v>
      </c>
      <c r="AX91" s="1523">
        <v>0.2</v>
      </c>
      <c r="AY91" s="1523">
        <v>0.2</v>
      </c>
      <c r="AZ91" s="1523">
        <v>0.2</v>
      </c>
      <c r="BA91" s="1523">
        <v>0.2</v>
      </c>
      <c r="BB91" s="1524">
        <v>0.2</v>
      </c>
      <c r="BC91" s="1523">
        <v>0.2</v>
      </c>
      <c r="BD91" s="1523">
        <v>0.2</v>
      </c>
      <c r="BE91" s="1525"/>
      <c r="BF91" s="1523"/>
      <c r="BG91" s="1523"/>
      <c r="BI91" s="1547" t="s">
        <v>1382</v>
      </c>
      <c r="BJ91" s="1593" t="s">
        <v>298</v>
      </c>
      <c r="BK91" s="1964" t="s">
        <v>299</v>
      </c>
      <c r="BL91" s="1523">
        <v>0.2</v>
      </c>
      <c r="BM91" s="1523">
        <v>0.2</v>
      </c>
      <c r="BN91" s="1523">
        <v>0.2</v>
      </c>
      <c r="BO91" s="1523">
        <v>0.2</v>
      </c>
      <c r="BP91" s="1523">
        <v>0.2</v>
      </c>
      <c r="BQ91" s="1523">
        <v>0.2</v>
      </c>
      <c r="BR91" s="1523">
        <v>0.2</v>
      </c>
      <c r="BS91" s="1524">
        <v>0.2</v>
      </c>
      <c r="BT91" s="1523">
        <v>0.2</v>
      </c>
      <c r="BU91" s="1523">
        <v>0.2</v>
      </c>
      <c r="BV91" s="1525"/>
      <c r="BW91" s="1523"/>
      <c r="BX91" s="1523"/>
    </row>
    <row r="92" spans="2:76" ht="13.5" customHeight="1">
      <c r="B92" s="1521" t="str">
        <f t="shared" si="70"/>
        <v>2.4.2</v>
      </c>
      <c r="C92" s="1514" t="str">
        <f t="shared" si="71"/>
        <v>給排水・衛生設備</v>
      </c>
      <c r="D92" s="1621">
        <f t="shared" si="110"/>
        <v>0.2</v>
      </c>
      <c r="E92" s="1591">
        <f t="shared" si="110"/>
        <v>0</v>
      </c>
      <c r="G92" s="1591">
        <f t="shared" si="72"/>
        <v>0.2</v>
      </c>
      <c r="H92" s="1591">
        <f t="shared" si="72"/>
        <v>0</v>
      </c>
      <c r="I92" s="1591"/>
      <c r="J92" s="1591"/>
      <c r="K92" s="1516">
        <f>IF(スコア表示!X92=0,0,1)</f>
        <v>1</v>
      </c>
      <c r="L92" s="1516">
        <f>IF(スコア表示!AB92=0,0,1)</f>
        <v>0</v>
      </c>
      <c r="N92" s="1608">
        <f t="shared" si="111"/>
        <v>0.2</v>
      </c>
      <c r="O92" s="1608">
        <f t="shared" si="111"/>
        <v>0</v>
      </c>
      <c r="P92" s="1516"/>
      <c r="Q92" s="1516"/>
      <c r="R92" s="1516">
        <f>IF(スコア入力!R92="EB",重み_対象外!D92,U92)</f>
        <v>1.2000000000000005E-2</v>
      </c>
      <c r="S92" s="1516">
        <f>IF(スコア入力!Y92="EB",重み_対象外!E92,V92)</f>
        <v>0</v>
      </c>
      <c r="T92" s="1460"/>
      <c r="U92" s="1514">
        <f t="shared" si="112"/>
        <v>1.2000000000000005E-2</v>
      </c>
      <c r="V92" s="1514">
        <f t="shared" si="112"/>
        <v>0</v>
      </c>
      <c r="W92" s="1460"/>
      <c r="X92" s="1516">
        <f t="shared" si="73"/>
        <v>0.20000000000000004</v>
      </c>
      <c r="Y92" s="1516">
        <f t="shared" si="74"/>
        <v>0</v>
      </c>
      <c r="Z92" s="1544"/>
      <c r="AA92" s="1513" t="str">
        <f t="shared" si="92"/>
        <v>2.4.2</v>
      </c>
      <c r="AB92" s="1513" t="str">
        <f t="shared" si="103"/>
        <v xml:space="preserve"> Q2 2.4</v>
      </c>
      <c r="AC92" s="1513" t="str">
        <f t="shared" si="93"/>
        <v>給排水・衛生設備</v>
      </c>
      <c r="AD92" s="1659">
        <f t="shared" si="94"/>
        <v>0.2</v>
      </c>
      <c r="AE92" s="1659">
        <f t="shared" si="95"/>
        <v>0.2</v>
      </c>
      <c r="AF92" s="1659">
        <f t="shared" si="96"/>
        <v>0.2</v>
      </c>
      <c r="AG92" s="1659">
        <f t="shared" si="97"/>
        <v>0.2</v>
      </c>
      <c r="AH92" s="1659">
        <f t="shared" si="98"/>
        <v>0.2</v>
      </c>
      <c r="AI92" s="1659">
        <f t="shared" si="99"/>
        <v>0.2</v>
      </c>
      <c r="AJ92" s="1659">
        <f t="shared" si="100"/>
        <v>0.2</v>
      </c>
      <c r="AK92" s="1661">
        <f t="shared" si="101"/>
        <v>0.2</v>
      </c>
      <c r="AL92" s="1659">
        <f t="shared" si="102"/>
        <v>0.2</v>
      </c>
      <c r="AM92" s="1659">
        <f t="shared" si="102"/>
        <v>0.2</v>
      </c>
      <c r="AN92" s="1660">
        <f t="shared" si="107"/>
        <v>0</v>
      </c>
      <c r="AO92" s="1659">
        <f t="shared" si="108"/>
        <v>0</v>
      </c>
      <c r="AP92" s="1659">
        <f t="shared" si="109"/>
        <v>0</v>
      </c>
      <c r="AQ92" s="1520"/>
      <c r="AR92" s="1547" t="s">
        <v>300</v>
      </c>
      <c r="AS92" s="1593" t="s">
        <v>298</v>
      </c>
      <c r="AT92" s="1964" t="s">
        <v>301</v>
      </c>
      <c r="AU92" s="1523">
        <v>0.2</v>
      </c>
      <c r="AV92" s="1523">
        <v>0.2</v>
      </c>
      <c r="AW92" s="1523">
        <v>0.2</v>
      </c>
      <c r="AX92" s="1523">
        <v>0.2</v>
      </c>
      <c r="AY92" s="1523">
        <v>0.2</v>
      </c>
      <c r="AZ92" s="1523">
        <v>0.2</v>
      </c>
      <c r="BA92" s="1523">
        <v>0.2</v>
      </c>
      <c r="BB92" s="1524">
        <v>0.2</v>
      </c>
      <c r="BC92" s="1523">
        <v>0.2</v>
      </c>
      <c r="BD92" s="1523">
        <v>0.2</v>
      </c>
      <c r="BE92" s="1525"/>
      <c r="BF92" s="1523"/>
      <c r="BG92" s="1523"/>
      <c r="BI92" s="1547" t="s">
        <v>300</v>
      </c>
      <c r="BJ92" s="1593" t="s">
        <v>298</v>
      </c>
      <c r="BK92" s="1964" t="s">
        <v>301</v>
      </c>
      <c r="BL92" s="1523">
        <v>0.2</v>
      </c>
      <c r="BM92" s="1523">
        <v>0.2</v>
      </c>
      <c r="BN92" s="1523">
        <v>0.2</v>
      </c>
      <c r="BO92" s="1523">
        <v>0.2</v>
      </c>
      <c r="BP92" s="1523">
        <v>0.2</v>
      </c>
      <c r="BQ92" s="1523">
        <v>0.2</v>
      </c>
      <c r="BR92" s="1523">
        <v>0.2</v>
      </c>
      <c r="BS92" s="1524">
        <v>0.2</v>
      </c>
      <c r="BT92" s="1523">
        <v>0.2</v>
      </c>
      <c r="BU92" s="1523">
        <v>0.2</v>
      </c>
      <c r="BV92" s="1525"/>
      <c r="BW92" s="1523"/>
      <c r="BX92" s="1523"/>
    </row>
    <row r="93" spans="2:76" ht="13.5" customHeight="1">
      <c r="B93" s="1521" t="str">
        <f t="shared" si="70"/>
        <v>2.4.3</v>
      </c>
      <c r="C93" s="1514" t="str">
        <f t="shared" si="71"/>
        <v>電気設備</v>
      </c>
      <c r="D93" s="1621">
        <f t="shared" si="110"/>
        <v>0.2</v>
      </c>
      <c r="E93" s="1591">
        <f t="shared" si="110"/>
        <v>0</v>
      </c>
      <c r="G93" s="1591">
        <f t="shared" si="72"/>
        <v>0.2</v>
      </c>
      <c r="H93" s="1591">
        <f t="shared" si="72"/>
        <v>0</v>
      </c>
      <c r="I93" s="1591"/>
      <c r="J93" s="1591"/>
      <c r="K93" s="1591">
        <f>IF(スコア表示!X93=0,0,1)</f>
        <v>1</v>
      </c>
      <c r="L93" s="1591">
        <f>IF(スコア表示!AB93=0,0,1)</f>
        <v>0</v>
      </c>
      <c r="N93" s="1608">
        <f t="shared" si="111"/>
        <v>0.2</v>
      </c>
      <c r="O93" s="1608">
        <f t="shared" si="111"/>
        <v>0</v>
      </c>
      <c r="P93" s="1516"/>
      <c r="Q93" s="1516"/>
      <c r="R93" s="1516">
        <f>IF(スコア入力!R93="EB",重み_対象外!D93,U93)</f>
        <v>1.2000000000000005E-2</v>
      </c>
      <c r="S93" s="1516">
        <f>IF(スコア入力!Y93="EB",重み_対象外!E93,V93)</f>
        <v>0</v>
      </c>
      <c r="T93" s="1460"/>
      <c r="U93" s="1514">
        <f t="shared" si="112"/>
        <v>1.2000000000000005E-2</v>
      </c>
      <c r="V93" s="1514">
        <f t="shared" si="112"/>
        <v>0</v>
      </c>
      <c r="W93" s="1460"/>
      <c r="X93" s="1516">
        <f t="shared" si="73"/>
        <v>0.20000000000000004</v>
      </c>
      <c r="Y93" s="1516">
        <f t="shared" si="74"/>
        <v>0</v>
      </c>
      <c r="Z93" s="1544"/>
      <c r="AA93" s="1513" t="str">
        <f t="shared" si="92"/>
        <v>2.4.3</v>
      </c>
      <c r="AB93" s="1513" t="str">
        <f t="shared" si="103"/>
        <v xml:space="preserve"> Q2 2.4</v>
      </c>
      <c r="AC93" s="1513" t="str">
        <f t="shared" si="93"/>
        <v>電気設備</v>
      </c>
      <c r="AD93" s="1659">
        <f t="shared" si="94"/>
        <v>0.2</v>
      </c>
      <c r="AE93" s="1659">
        <f t="shared" si="95"/>
        <v>0.2</v>
      </c>
      <c r="AF93" s="1659">
        <f t="shared" si="96"/>
        <v>0.2</v>
      </c>
      <c r="AG93" s="1659">
        <f t="shared" si="97"/>
        <v>0.2</v>
      </c>
      <c r="AH93" s="1659">
        <f t="shared" si="98"/>
        <v>0.2</v>
      </c>
      <c r="AI93" s="1659">
        <f t="shared" si="99"/>
        <v>0.2</v>
      </c>
      <c r="AJ93" s="1659">
        <f t="shared" si="100"/>
        <v>0.2</v>
      </c>
      <c r="AK93" s="1661">
        <f t="shared" si="101"/>
        <v>0.2</v>
      </c>
      <c r="AL93" s="1659">
        <f t="shared" si="102"/>
        <v>0.2</v>
      </c>
      <c r="AM93" s="1659">
        <f t="shared" si="102"/>
        <v>0.2</v>
      </c>
      <c r="AN93" s="1660">
        <f t="shared" si="107"/>
        <v>0</v>
      </c>
      <c r="AO93" s="1659">
        <f t="shared" si="108"/>
        <v>0</v>
      </c>
      <c r="AP93" s="1659">
        <f t="shared" si="109"/>
        <v>0</v>
      </c>
      <c r="AQ93" s="1520"/>
      <c r="AR93" s="1547" t="s">
        <v>302</v>
      </c>
      <c r="AS93" s="1593" t="s">
        <v>298</v>
      </c>
      <c r="AT93" s="1964" t="s">
        <v>303</v>
      </c>
      <c r="AU93" s="1523">
        <v>0.2</v>
      </c>
      <c r="AV93" s="1523">
        <v>0.2</v>
      </c>
      <c r="AW93" s="1523">
        <v>0.2</v>
      </c>
      <c r="AX93" s="1523">
        <v>0.2</v>
      </c>
      <c r="AY93" s="1523">
        <v>0.2</v>
      </c>
      <c r="AZ93" s="1523">
        <v>0.2</v>
      </c>
      <c r="BA93" s="1523">
        <v>0.2</v>
      </c>
      <c r="BB93" s="1524">
        <v>0.2</v>
      </c>
      <c r="BC93" s="1523">
        <v>0.2</v>
      </c>
      <c r="BD93" s="1523">
        <v>0.2</v>
      </c>
      <c r="BE93" s="1525"/>
      <c r="BF93" s="1523"/>
      <c r="BG93" s="1523"/>
      <c r="BI93" s="1547" t="s">
        <v>302</v>
      </c>
      <c r="BJ93" s="1593" t="s">
        <v>298</v>
      </c>
      <c r="BK93" s="1964" t="s">
        <v>303</v>
      </c>
      <c r="BL93" s="1523">
        <v>0.2</v>
      </c>
      <c r="BM93" s="1523">
        <v>0.2</v>
      </c>
      <c r="BN93" s="1523">
        <v>0.2</v>
      </c>
      <c r="BO93" s="1523">
        <v>0.2</v>
      </c>
      <c r="BP93" s="1523">
        <v>0.2</v>
      </c>
      <c r="BQ93" s="1523">
        <v>0.2</v>
      </c>
      <c r="BR93" s="1523">
        <v>0.2</v>
      </c>
      <c r="BS93" s="1524">
        <v>0.2</v>
      </c>
      <c r="BT93" s="1523">
        <v>0.2</v>
      </c>
      <c r="BU93" s="1523">
        <v>0.2</v>
      </c>
      <c r="BV93" s="1525"/>
      <c r="BW93" s="1523"/>
      <c r="BX93" s="1523"/>
    </row>
    <row r="94" spans="2:76" ht="13.5" customHeight="1">
      <c r="B94" s="1521" t="str">
        <f t="shared" si="70"/>
        <v>2.4.4</v>
      </c>
      <c r="C94" s="1514" t="str">
        <f t="shared" si="71"/>
        <v>機械・配管支持方法</v>
      </c>
      <c r="D94" s="1621">
        <f t="shared" si="110"/>
        <v>0.2</v>
      </c>
      <c r="E94" s="1591">
        <f t="shared" si="110"/>
        <v>0</v>
      </c>
      <c r="G94" s="1591">
        <f t="shared" si="72"/>
        <v>0.2</v>
      </c>
      <c r="H94" s="1591">
        <f t="shared" si="72"/>
        <v>0</v>
      </c>
      <c r="I94" s="1591"/>
      <c r="J94" s="1591"/>
      <c r="K94" s="1516">
        <f>IF(スコア表示!X94=0,0,1)</f>
        <v>1</v>
      </c>
      <c r="L94" s="1516">
        <f>IF(スコア表示!AB94=0,0,1)</f>
        <v>0</v>
      </c>
      <c r="N94" s="1608">
        <f t="shared" si="111"/>
        <v>0.2</v>
      </c>
      <c r="O94" s="1608">
        <f t="shared" si="111"/>
        <v>0</v>
      </c>
      <c r="P94" s="1516"/>
      <c r="Q94" s="1516"/>
      <c r="R94" s="1516">
        <f>IF(スコア入力!R94="EB",重み_対象外!D94,U94)</f>
        <v>1.2000000000000005E-2</v>
      </c>
      <c r="S94" s="1516">
        <f>IF(スコア入力!Y94="EB",重み_対象外!E94,V94)</f>
        <v>0</v>
      </c>
      <c r="T94" s="1460"/>
      <c r="U94" s="1514">
        <f t="shared" si="112"/>
        <v>1.2000000000000005E-2</v>
      </c>
      <c r="V94" s="1514">
        <f t="shared" si="112"/>
        <v>0</v>
      </c>
      <c r="W94" s="1460"/>
      <c r="X94" s="1516">
        <f t="shared" si="73"/>
        <v>0.20000000000000004</v>
      </c>
      <c r="Y94" s="1516">
        <f t="shared" si="74"/>
        <v>0</v>
      </c>
      <c r="Z94" s="1544"/>
      <c r="AA94" s="1513" t="str">
        <f t="shared" si="92"/>
        <v>2.4.4</v>
      </c>
      <c r="AB94" s="1513" t="str">
        <f t="shared" si="103"/>
        <v xml:space="preserve"> Q2 2.4</v>
      </c>
      <c r="AC94" s="1513" t="str">
        <f t="shared" si="93"/>
        <v>機械・配管支持方法</v>
      </c>
      <c r="AD94" s="1659">
        <f t="shared" si="94"/>
        <v>0.2</v>
      </c>
      <c r="AE94" s="1659">
        <f t="shared" si="95"/>
        <v>0.2</v>
      </c>
      <c r="AF94" s="1659">
        <f t="shared" si="96"/>
        <v>0.2</v>
      </c>
      <c r="AG94" s="1659">
        <f t="shared" si="97"/>
        <v>0.2</v>
      </c>
      <c r="AH94" s="1659">
        <f t="shared" si="98"/>
        <v>0.2</v>
      </c>
      <c r="AI94" s="1659">
        <f t="shared" si="99"/>
        <v>0.2</v>
      </c>
      <c r="AJ94" s="1659">
        <f t="shared" si="100"/>
        <v>0.2</v>
      </c>
      <c r="AK94" s="1661">
        <f t="shared" si="101"/>
        <v>0.2</v>
      </c>
      <c r="AL94" s="1659">
        <f t="shared" si="102"/>
        <v>0.2</v>
      </c>
      <c r="AM94" s="1659">
        <f t="shared" si="102"/>
        <v>0.2</v>
      </c>
      <c r="AN94" s="1660">
        <f t="shared" si="107"/>
        <v>0</v>
      </c>
      <c r="AO94" s="1659">
        <f t="shared" si="108"/>
        <v>0</v>
      </c>
      <c r="AP94" s="1659">
        <f t="shared" si="109"/>
        <v>0</v>
      </c>
      <c r="AQ94" s="1520"/>
      <c r="AR94" s="1547" t="s">
        <v>304</v>
      </c>
      <c r="AS94" s="1593" t="s">
        <v>298</v>
      </c>
      <c r="AT94" s="1964" t="s">
        <v>305</v>
      </c>
      <c r="AU94" s="1523">
        <v>0.2</v>
      </c>
      <c r="AV94" s="1523">
        <v>0.2</v>
      </c>
      <c r="AW94" s="1523">
        <v>0.2</v>
      </c>
      <c r="AX94" s="1523">
        <v>0.2</v>
      </c>
      <c r="AY94" s="1523">
        <v>0.2</v>
      </c>
      <c r="AZ94" s="1523">
        <v>0.2</v>
      </c>
      <c r="BA94" s="1523">
        <v>0.2</v>
      </c>
      <c r="BB94" s="1524">
        <v>0.2</v>
      </c>
      <c r="BC94" s="1523">
        <v>0.2</v>
      </c>
      <c r="BD94" s="1523">
        <v>0.2</v>
      </c>
      <c r="BE94" s="1525"/>
      <c r="BF94" s="1523"/>
      <c r="BG94" s="1523"/>
      <c r="BI94" s="1547" t="s">
        <v>304</v>
      </c>
      <c r="BJ94" s="1593" t="s">
        <v>298</v>
      </c>
      <c r="BK94" s="1964" t="s">
        <v>305</v>
      </c>
      <c r="BL94" s="1523">
        <v>0.2</v>
      </c>
      <c r="BM94" s="1523">
        <v>0.2</v>
      </c>
      <c r="BN94" s="1523">
        <v>0.2</v>
      </c>
      <c r="BO94" s="1523">
        <v>0.2</v>
      </c>
      <c r="BP94" s="1523">
        <v>0.2</v>
      </c>
      <c r="BQ94" s="1523">
        <v>0.2</v>
      </c>
      <c r="BR94" s="1523">
        <v>0.2</v>
      </c>
      <c r="BS94" s="1524">
        <v>0.2</v>
      </c>
      <c r="BT94" s="1523">
        <v>0.2</v>
      </c>
      <c r="BU94" s="1523">
        <v>0.2</v>
      </c>
      <c r="BV94" s="1525"/>
      <c r="BW94" s="1523"/>
      <c r="BX94" s="1523"/>
    </row>
    <row r="95" spans="2:76" ht="13.5" customHeight="1">
      <c r="B95" s="1521" t="str">
        <f t="shared" si="70"/>
        <v>2.4.5</v>
      </c>
      <c r="C95" s="1514" t="str">
        <f t="shared" si="71"/>
        <v>通信・情報設備</v>
      </c>
      <c r="D95" s="1621">
        <f t="shared" si="110"/>
        <v>0.2</v>
      </c>
      <c r="E95" s="1591">
        <f t="shared" si="110"/>
        <v>0</v>
      </c>
      <c r="G95" s="1591">
        <f t="shared" si="72"/>
        <v>0.2</v>
      </c>
      <c r="H95" s="1591">
        <f t="shared" si="72"/>
        <v>0</v>
      </c>
      <c r="I95" s="1591"/>
      <c r="J95" s="1591"/>
      <c r="K95" s="1516">
        <f>IF(スコア表示!X95=0,0,1)</f>
        <v>1</v>
      </c>
      <c r="L95" s="1516">
        <f>IF(スコア表示!AB95=0,0,1)</f>
        <v>0</v>
      </c>
      <c r="N95" s="1608">
        <f t="shared" si="111"/>
        <v>0.2</v>
      </c>
      <c r="O95" s="1608">
        <f t="shared" si="111"/>
        <v>0</v>
      </c>
      <c r="P95" s="1516"/>
      <c r="Q95" s="1516"/>
      <c r="R95" s="1516">
        <f>IF(スコア入力!R95="EB",重み_対象外!D95,U95)</f>
        <v>1.2000000000000005E-2</v>
      </c>
      <c r="S95" s="1516">
        <f>IF(スコア入力!Y95="EB",重み_対象外!E95,V95)</f>
        <v>0</v>
      </c>
      <c r="T95" s="1460"/>
      <c r="U95" s="1514">
        <f t="shared" si="112"/>
        <v>1.2000000000000005E-2</v>
      </c>
      <c r="V95" s="1514">
        <f t="shared" si="112"/>
        <v>0</v>
      </c>
      <c r="W95" s="1460"/>
      <c r="X95" s="1516">
        <f t="shared" si="73"/>
        <v>0.20000000000000004</v>
      </c>
      <c r="Y95" s="1516">
        <f t="shared" si="74"/>
        <v>0</v>
      </c>
      <c r="Z95" s="1544"/>
      <c r="AA95" s="1513" t="str">
        <f t="shared" si="92"/>
        <v>2.4.5</v>
      </c>
      <c r="AB95" s="1513" t="str">
        <f t="shared" si="103"/>
        <v xml:space="preserve"> Q2 2.4</v>
      </c>
      <c r="AC95" s="1513" t="str">
        <f t="shared" si="93"/>
        <v>通信・情報設備</v>
      </c>
      <c r="AD95" s="1659">
        <f t="shared" si="94"/>
        <v>0.2</v>
      </c>
      <c r="AE95" s="1659">
        <f t="shared" si="95"/>
        <v>0.2</v>
      </c>
      <c r="AF95" s="1659">
        <f t="shared" si="96"/>
        <v>0.2</v>
      </c>
      <c r="AG95" s="1659">
        <f t="shared" si="97"/>
        <v>0.2</v>
      </c>
      <c r="AH95" s="1659">
        <f t="shared" si="98"/>
        <v>0.2</v>
      </c>
      <c r="AI95" s="1659">
        <f t="shared" si="99"/>
        <v>0.2</v>
      </c>
      <c r="AJ95" s="1659">
        <f t="shared" si="100"/>
        <v>0.2</v>
      </c>
      <c r="AK95" s="1661">
        <f t="shared" si="101"/>
        <v>0.2</v>
      </c>
      <c r="AL95" s="1659">
        <f t="shared" si="102"/>
        <v>0.2</v>
      </c>
      <c r="AM95" s="1659">
        <f t="shared" si="102"/>
        <v>0.2</v>
      </c>
      <c r="AN95" s="1660">
        <f t="shared" si="107"/>
        <v>0</v>
      </c>
      <c r="AO95" s="1659">
        <f t="shared" si="108"/>
        <v>0</v>
      </c>
      <c r="AP95" s="1659">
        <f t="shared" si="109"/>
        <v>0</v>
      </c>
      <c r="AQ95" s="1520"/>
      <c r="AR95" s="1547" t="s">
        <v>306</v>
      </c>
      <c r="AS95" s="1593" t="s">
        <v>298</v>
      </c>
      <c r="AT95" s="1964" t="s">
        <v>307</v>
      </c>
      <c r="AU95" s="1523">
        <v>0.2</v>
      </c>
      <c r="AV95" s="1523">
        <v>0.2</v>
      </c>
      <c r="AW95" s="1523">
        <v>0.2</v>
      </c>
      <c r="AX95" s="1523">
        <v>0.2</v>
      </c>
      <c r="AY95" s="1523">
        <v>0.2</v>
      </c>
      <c r="AZ95" s="1523">
        <v>0.2</v>
      </c>
      <c r="BA95" s="1523">
        <v>0.2</v>
      </c>
      <c r="BB95" s="1524">
        <v>0.2</v>
      </c>
      <c r="BC95" s="1523">
        <v>0.2</v>
      </c>
      <c r="BD95" s="1523">
        <v>0.2</v>
      </c>
      <c r="BE95" s="1525"/>
      <c r="BF95" s="1523"/>
      <c r="BG95" s="1523"/>
      <c r="BI95" s="1547" t="s">
        <v>306</v>
      </c>
      <c r="BJ95" s="1593" t="s">
        <v>298</v>
      </c>
      <c r="BK95" s="1964" t="s">
        <v>307</v>
      </c>
      <c r="BL95" s="1523">
        <v>0.2</v>
      </c>
      <c r="BM95" s="1523">
        <v>0.2</v>
      </c>
      <c r="BN95" s="1523">
        <v>0.2</v>
      </c>
      <c r="BO95" s="1523">
        <v>0.2</v>
      </c>
      <c r="BP95" s="1523">
        <v>0.2</v>
      </c>
      <c r="BQ95" s="1523">
        <v>0.2</v>
      </c>
      <c r="BR95" s="1523">
        <v>0.2</v>
      </c>
      <c r="BS95" s="1524">
        <v>0.2</v>
      </c>
      <c r="BT95" s="1523">
        <v>0.2</v>
      </c>
      <c r="BU95" s="1523">
        <v>0.2</v>
      </c>
      <c r="BV95" s="1525"/>
      <c r="BW95" s="1523"/>
      <c r="BX95" s="1523"/>
    </row>
    <row r="96" spans="2:76" ht="13.5" hidden="1" customHeight="1">
      <c r="B96" s="1549">
        <f t="shared" si="70"/>
        <v>0</v>
      </c>
      <c r="C96" s="1550">
        <f t="shared" si="71"/>
        <v>0</v>
      </c>
      <c r="D96" s="1621"/>
      <c r="E96" s="1591"/>
      <c r="G96" s="1591">
        <f t="shared" si="72"/>
        <v>0</v>
      </c>
      <c r="H96" s="1591">
        <f t="shared" si="72"/>
        <v>0</v>
      </c>
      <c r="I96" s="1591"/>
      <c r="J96" s="1591"/>
      <c r="K96" s="1552">
        <f>IF(スコア表示!X96=0,0,1)</f>
        <v>0</v>
      </c>
      <c r="L96" s="1552">
        <f>IF(スコア表示!AB96=0,0,1)</f>
        <v>0</v>
      </c>
      <c r="N96" s="1623"/>
      <c r="O96" s="1623"/>
      <c r="P96" s="1552"/>
      <c r="Q96" s="1552"/>
      <c r="R96" s="1552">
        <f>IF(スコア入力!R96="EB",重み_対象外!D96,U96)</f>
        <v>0</v>
      </c>
      <c r="S96" s="1552">
        <f>IF(スコア入力!Y96="EB",重み_対象外!E96,V96)</f>
        <v>0</v>
      </c>
      <c r="T96" s="1460"/>
      <c r="U96" s="1550"/>
      <c r="V96" s="1550"/>
      <c r="W96" s="1460"/>
      <c r="X96" s="1552">
        <f t="shared" si="73"/>
        <v>0</v>
      </c>
      <c r="Y96" s="1552">
        <f t="shared" si="74"/>
        <v>0</v>
      </c>
      <c r="Z96" s="1544"/>
      <c r="AA96" s="1553">
        <f t="shared" si="92"/>
        <v>0</v>
      </c>
      <c r="AB96" s="1553" t="str">
        <f t="shared" si="103"/>
        <v xml:space="preserve"> Q</v>
      </c>
      <c r="AC96" s="1553">
        <f t="shared" si="93"/>
        <v>0</v>
      </c>
      <c r="AD96" s="1669">
        <f t="shared" si="94"/>
        <v>0</v>
      </c>
      <c r="AE96" s="1669">
        <f t="shared" si="95"/>
        <v>0</v>
      </c>
      <c r="AF96" s="1669">
        <f t="shared" si="96"/>
        <v>0</v>
      </c>
      <c r="AG96" s="1669">
        <f t="shared" si="97"/>
        <v>0</v>
      </c>
      <c r="AH96" s="1669">
        <f t="shared" si="98"/>
        <v>0</v>
      </c>
      <c r="AI96" s="1669">
        <f t="shared" si="99"/>
        <v>0</v>
      </c>
      <c r="AJ96" s="1669">
        <f t="shared" si="100"/>
        <v>0</v>
      </c>
      <c r="AK96" s="1670">
        <f t="shared" si="101"/>
        <v>0</v>
      </c>
      <c r="AL96" s="1669">
        <f t="shared" si="102"/>
        <v>0</v>
      </c>
      <c r="AM96" s="1669">
        <f t="shared" si="102"/>
        <v>0</v>
      </c>
      <c r="AN96" s="1671">
        <f t="shared" si="107"/>
        <v>0</v>
      </c>
      <c r="AO96" s="1669">
        <f t="shared" si="108"/>
        <v>0</v>
      </c>
      <c r="AP96" s="1669">
        <f t="shared" si="109"/>
        <v>0</v>
      </c>
      <c r="AQ96" s="1520"/>
      <c r="AR96" s="1547"/>
      <c r="AS96" s="1593" t="s">
        <v>229</v>
      </c>
      <c r="AT96" s="1964"/>
      <c r="AU96" s="1523"/>
      <c r="AV96" s="1523"/>
      <c r="AW96" s="1523"/>
      <c r="AX96" s="1523"/>
      <c r="AY96" s="1523"/>
      <c r="AZ96" s="1523"/>
      <c r="BA96" s="1523"/>
      <c r="BB96" s="1524"/>
      <c r="BC96" s="1523"/>
      <c r="BD96" s="1523"/>
      <c r="BE96" s="1525"/>
      <c r="BF96" s="1523"/>
      <c r="BG96" s="1523"/>
      <c r="BI96" s="1547"/>
      <c r="BJ96" s="1593" t="s">
        <v>229</v>
      </c>
      <c r="BK96" s="1964"/>
      <c r="BL96" s="1523"/>
      <c r="BM96" s="1523"/>
      <c r="BN96" s="1523"/>
      <c r="BO96" s="1523"/>
      <c r="BP96" s="1523"/>
      <c r="BQ96" s="1523"/>
      <c r="BR96" s="1523"/>
      <c r="BS96" s="1524"/>
      <c r="BT96" s="1523"/>
      <c r="BU96" s="1523"/>
      <c r="BV96" s="1525"/>
      <c r="BW96" s="1523"/>
      <c r="BX96" s="1523"/>
    </row>
    <row r="97" spans="1:77" s="1505" customFormat="1" ht="13.5" customHeight="1">
      <c r="A97"/>
      <c r="B97" s="1506">
        <f t="shared" si="70"/>
        <v>3</v>
      </c>
      <c r="C97" s="1557" t="str">
        <f t="shared" si="71"/>
        <v>対応性・更新性</v>
      </c>
      <c r="D97" s="1962">
        <f>IF(I$61=0,0,G97/I$61)</f>
        <v>0.29870918391738771</v>
      </c>
      <c r="E97" s="1643">
        <f>IF(J$61=0,0,H97/J$61)</f>
        <v>0.9606879606879607</v>
      </c>
      <c r="F97"/>
      <c r="G97" s="1643">
        <f t="shared" si="72"/>
        <v>0.29870918391738771</v>
      </c>
      <c r="H97" s="1643">
        <f t="shared" si="72"/>
        <v>0.9606879606879607</v>
      </c>
      <c r="I97" s="1643">
        <f>G98+G101+G102</f>
        <v>1</v>
      </c>
      <c r="J97" s="1643">
        <f>H98+H101+H102</f>
        <v>1</v>
      </c>
      <c r="K97" s="1509">
        <f>IF(スコア表示!X97=0,0,1)</f>
        <v>1</v>
      </c>
      <c r="L97" s="1509">
        <f>IF(スコア表示!AB97=0,0,1)</f>
        <v>1</v>
      </c>
      <c r="M97"/>
      <c r="N97" s="1607">
        <f>IF(P$61=0,0,R97/P$61)</f>
        <v>0.29870918391738771</v>
      </c>
      <c r="O97" s="1607">
        <f>IF(Q$61=0,0,S97/Q$61)</f>
        <v>0.9606879606879607</v>
      </c>
      <c r="P97" s="1610">
        <f>SUM(R98:R108)</f>
        <v>0.29815937118666019</v>
      </c>
      <c r="Q97" s="1610">
        <f>SUM(S98:S108)</f>
        <v>1.0662012829864544E-2</v>
      </c>
      <c r="R97" s="1509">
        <f>IF(スコア入力!R97="EB",重み_対象外!D97,U97)</f>
        <v>0.29815937118666019</v>
      </c>
      <c r="S97" s="1509">
        <f>IF(スコア入力!Y97="EB",重み_対象外!E97,V97)</f>
        <v>1.0662012829864544E-2</v>
      </c>
      <c r="T97" s="1460"/>
      <c r="U97" s="1507">
        <f>SUM(U98:U108)</f>
        <v>0.29815937118666019</v>
      </c>
      <c r="V97" s="1507">
        <f>SUM(V98:V108)</f>
        <v>1.0662012829864544E-2</v>
      </c>
      <c r="W97" s="1460"/>
      <c r="X97" s="1509">
        <f t="shared" si="73"/>
        <v>0.3</v>
      </c>
      <c r="Y97" s="1509">
        <v>1</v>
      </c>
      <c r="Z97" s="1542"/>
      <c r="AA97" s="1506">
        <f t="shared" si="92"/>
        <v>3</v>
      </c>
      <c r="AB97" s="1506" t="str">
        <f t="shared" si="103"/>
        <v xml:space="preserve"> Q2</v>
      </c>
      <c r="AC97" s="1506" t="str">
        <f t="shared" si="93"/>
        <v>対応性・更新性</v>
      </c>
      <c r="AD97" s="1656">
        <f t="shared" si="94"/>
        <v>0.3</v>
      </c>
      <c r="AE97" s="1656">
        <f t="shared" si="95"/>
        <v>0.3</v>
      </c>
      <c r="AF97" s="1656">
        <f t="shared" si="96"/>
        <v>0.3</v>
      </c>
      <c r="AG97" s="1656">
        <f t="shared" si="97"/>
        <v>0.3</v>
      </c>
      <c r="AH97" s="1656">
        <f t="shared" si="98"/>
        <v>0.3</v>
      </c>
      <c r="AI97" s="1656">
        <f t="shared" si="99"/>
        <v>0.3</v>
      </c>
      <c r="AJ97" s="1656">
        <f t="shared" si="100"/>
        <v>0.3</v>
      </c>
      <c r="AK97" s="1668">
        <f t="shared" si="101"/>
        <v>0.3</v>
      </c>
      <c r="AL97" s="1656">
        <f t="shared" si="102"/>
        <v>0.3</v>
      </c>
      <c r="AM97" s="1656">
        <f t="shared" si="102"/>
        <v>0.3</v>
      </c>
      <c r="AN97" s="1658">
        <f t="shared" si="107"/>
        <v>0</v>
      </c>
      <c r="AO97" s="1656">
        <f t="shared" si="108"/>
        <v>0</v>
      </c>
      <c r="AP97" s="1656">
        <f t="shared" si="109"/>
        <v>0</v>
      </c>
      <c r="AQ97" s="1512"/>
      <c r="AR97" s="1541">
        <v>3</v>
      </c>
      <c r="AS97" s="1644" t="s">
        <v>271</v>
      </c>
      <c r="AT97" s="1687" t="s">
        <v>308</v>
      </c>
      <c r="AU97" s="1611">
        <v>0.3</v>
      </c>
      <c r="AV97" s="1611">
        <v>0.3</v>
      </c>
      <c r="AW97" s="1611">
        <v>0.3</v>
      </c>
      <c r="AX97" s="1611">
        <v>0.3</v>
      </c>
      <c r="AY97" s="1611">
        <v>0.3</v>
      </c>
      <c r="AZ97" s="1611">
        <v>0.3</v>
      </c>
      <c r="BA97" s="1611">
        <v>0.3</v>
      </c>
      <c r="BB97" s="1983">
        <v>0.3</v>
      </c>
      <c r="BC97" s="1611">
        <v>0.3</v>
      </c>
      <c r="BD97" s="1611">
        <v>0.3</v>
      </c>
      <c r="BE97" s="1963"/>
      <c r="BF97" s="1611"/>
      <c r="BG97" s="1611"/>
      <c r="BH97"/>
      <c r="BI97" s="1541">
        <v>3</v>
      </c>
      <c r="BJ97" s="1644" t="s">
        <v>271</v>
      </c>
      <c r="BK97" s="1687" t="s">
        <v>308</v>
      </c>
      <c r="BL97" s="1611">
        <v>0.3</v>
      </c>
      <c r="BM97" s="1611">
        <v>0.3</v>
      </c>
      <c r="BN97" s="1611">
        <v>0.3</v>
      </c>
      <c r="BO97" s="1611">
        <v>0.3</v>
      </c>
      <c r="BP97" s="1611">
        <v>0.3</v>
      </c>
      <c r="BQ97" s="1611">
        <v>0.3</v>
      </c>
      <c r="BR97" s="1611">
        <v>0.3</v>
      </c>
      <c r="BS97" s="1983">
        <v>0.3</v>
      </c>
      <c r="BT97" s="1611">
        <v>0.3</v>
      </c>
      <c r="BU97" s="1611">
        <v>0.3</v>
      </c>
      <c r="BV97" s="1963"/>
      <c r="BW97" s="1611"/>
      <c r="BX97" s="1611"/>
      <c r="BY97"/>
    </row>
    <row r="98" spans="1:77" ht="13.5" customHeight="1">
      <c r="B98" s="1513">
        <f t="shared" si="70"/>
        <v>3.1</v>
      </c>
      <c r="C98" s="1547" t="str">
        <f t="shared" si="71"/>
        <v>空間のゆとり</v>
      </c>
      <c r="D98" s="1616">
        <f>IF(I$97=0,0,G98/I$97)</f>
        <v>0.28937368388561552</v>
      </c>
      <c r="E98" s="1591">
        <f>IF(J$97=0,0,H98/J$97)</f>
        <v>2.0460358056265986E-2</v>
      </c>
      <c r="G98" s="1591">
        <f t="shared" si="72"/>
        <v>0.28937368388561552</v>
      </c>
      <c r="H98" s="1591">
        <f t="shared" si="72"/>
        <v>2.0460358056265986E-2</v>
      </c>
      <c r="I98" s="1591">
        <f>SUM(G99:G100)</f>
        <v>0.99999999999999989</v>
      </c>
      <c r="J98" s="1591">
        <f>SUM(H99:H100)</f>
        <v>1</v>
      </c>
      <c r="K98" s="1516">
        <f>IF(スコア表示!X98=0,0,1)</f>
        <v>1</v>
      </c>
      <c r="L98" s="1516">
        <f>IF(スコア表示!AB98=0,0,1)</f>
        <v>1</v>
      </c>
      <c r="N98" s="1613">
        <f>IF(P$97=0,0,P98/P$97)</f>
        <v>0.28937368388561552</v>
      </c>
      <c r="O98" s="1613">
        <f>IF(Q$97=0,0,Q98/Q$97)</f>
        <v>2.0460358056265986E-2</v>
      </c>
      <c r="P98" s="1516">
        <f>SUM(R99:R100)</f>
        <v>8.6279475625302499E-2</v>
      </c>
      <c r="Q98" s="1516">
        <f>SUM(S99:S100)</f>
        <v>2.1814860009953033E-4</v>
      </c>
      <c r="R98" s="1516">
        <f>IF(スコア入力!R98="EB",重み_対象外!D98,U98)</f>
        <v>0</v>
      </c>
      <c r="S98" s="1516">
        <f>IF(スコア入力!Y98="EB",重み_対象外!E98,V98)</f>
        <v>0</v>
      </c>
      <c r="T98" s="1460"/>
      <c r="U98" s="1507"/>
      <c r="V98" s="1507"/>
      <c r="W98" s="1460"/>
      <c r="X98" s="1516">
        <f t="shared" si="73"/>
        <v>0.29373368146214096</v>
      </c>
      <c r="Y98" s="1516">
        <f t="shared" si="74"/>
        <v>1.0443864229765013E-2</v>
      </c>
      <c r="Z98" s="1544"/>
      <c r="AA98" s="1513">
        <f t="shared" si="92"/>
        <v>3.1</v>
      </c>
      <c r="AB98" s="1513" t="str">
        <f t="shared" si="103"/>
        <v xml:space="preserve"> Q2 3</v>
      </c>
      <c r="AC98" s="1513" t="str">
        <f t="shared" si="93"/>
        <v>空間のゆとり</v>
      </c>
      <c r="AD98" s="1659">
        <f t="shared" si="94"/>
        <v>0.3</v>
      </c>
      <c r="AE98" s="1659">
        <f t="shared" si="95"/>
        <v>0.3</v>
      </c>
      <c r="AF98" s="1659">
        <f t="shared" si="96"/>
        <v>0.3</v>
      </c>
      <c r="AG98" s="1659">
        <f t="shared" si="97"/>
        <v>0.3</v>
      </c>
      <c r="AH98" s="1659">
        <f t="shared" si="98"/>
        <v>0.3</v>
      </c>
      <c r="AI98" s="1659">
        <f t="shared" si="99"/>
        <v>0</v>
      </c>
      <c r="AJ98" s="1659">
        <f t="shared" si="100"/>
        <v>0</v>
      </c>
      <c r="AK98" s="1661">
        <f t="shared" si="101"/>
        <v>0.3</v>
      </c>
      <c r="AL98" s="1659">
        <f t="shared" si="102"/>
        <v>0.3</v>
      </c>
      <c r="AM98" s="1659">
        <f t="shared" si="102"/>
        <v>0.3</v>
      </c>
      <c r="AN98" s="1660">
        <f t="shared" si="107"/>
        <v>0.5</v>
      </c>
      <c r="AO98" s="1659">
        <f t="shared" si="108"/>
        <v>0.5</v>
      </c>
      <c r="AP98" s="1659">
        <f t="shared" si="109"/>
        <v>0.5</v>
      </c>
      <c r="AQ98" s="1520"/>
      <c r="AR98" s="1547">
        <v>3.1</v>
      </c>
      <c r="AS98" s="1593" t="s">
        <v>309</v>
      </c>
      <c r="AT98" s="1637" t="s">
        <v>662</v>
      </c>
      <c r="AU98" s="1523">
        <v>0.3</v>
      </c>
      <c r="AV98" s="1523">
        <v>0.3</v>
      </c>
      <c r="AW98" s="1523">
        <v>0.3</v>
      </c>
      <c r="AX98" s="1523">
        <v>0.3</v>
      </c>
      <c r="AY98" s="1523">
        <v>0.3</v>
      </c>
      <c r="AZ98" s="1523"/>
      <c r="BA98" s="1523"/>
      <c r="BB98" s="1524">
        <v>0.3</v>
      </c>
      <c r="BC98" s="1523">
        <v>0.3</v>
      </c>
      <c r="BD98" s="1523">
        <v>0.3</v>
      </c>
      <c r="BE98" s="1525">
        <v>0.5</v>
      </c>
      <c r="BF98" s="1523">
        <v>0.5</v>
      </c>
      <c r="BG98" s="1523">
        <v>0.5</v>
      </c>
      <c r="BI98" s="1547">
        <v>3.1</v>
      </c>
      <c r="BJ98" s="1593" t="s">
        <v>309</v>
      </c>
      <c r="BK98" s="1637" t="s">
        <v>662</v>
      </c>
      <c r="BL98" s="1523">
        <v>0.3</v>
      </c>
      <c r="BM98" s="1523">
        <v>0.3</v>
      </c>
      <c r="BN98" s="1523">
        <v>0.3</v>
      </c>
      <c r="BO98" s="1523">
        <v>0.3</v>
      </c>
      <c r="BP98" s="1523">
        <v>0.3</v>
      </c>
      <c r="BQ98" s="1523"/>
      <c r="BR98" s="1523"/>
      <c r="BS98" s="1524">
        <v>0.3</v>
      </c>
      <c r="BT98" s="1523">
        <v>0.3</v>
      </c>
      <c r="BU98" s="1523">
        <v>0.3</v>
      </c>
      <c r="BV98" s="1525">
        <v>0.5</v>
      </c>
      <c r="BW98" s="1523">
        <v>0.5</v>
      </c>
      <c r="BX98" s="1523">
        <v>0.5</v>
      </c>
    </row>
    <row r="99" spans="1:77" ht="13.5" customHeight="1">
      <c r="B99" s="1521" t="str">
        <f t="shared" si="70"/>
        <v>3.1.1</v>
      </c>
      <c r="C99" s="1514" t="str">
        <f t="shared" si="71"/>
        <v>階高のゆとり</v>
      </c>
      <c r="D99" s="1621">
        <f>IF(I$98&gt;0,G99/I$98,0)</f>
        <v>0.6</v>
      </c>
      <c r="E99" s="1591">
        <f>IF(J$98&gt;0,H99/J$98,0)</f>
        <v>0.6</v>
      </c>
      <c r="G99" s="1591">
        <f t="shared" si="72"/>
        <v>0.59999999999999987</v>
      </c>
      <c r="H99" s="1591">
        <f t="shared" si="72"/>
        <v>0.6</v>
      </c>
      <c r="I99" s="1591"/>
      <c r="J99" s="1591"/>
      <c r="K99" s="1516">
        <f>IF(スコア表示!X99=0,0,1)</f>
        <v>1</v>
      </c>
      <c r="L99" s="1516">
        <f>IF(スコア表示!AB99=0,0,1)</f>
        <v>1</v>
      </c>
      <c r="N99" s="1608">
        <f>IF(P$98&gt;0,R99/P$98,0)</f>
        <v>0.59999999999999987</v>
      </c>
      <c r="O99" s="1608">
        <f>IF(Q$98&gt;0,S99/Q$98,0)</f>
        <v>0.6</v>
      </c>
      <c r="P99" s="1516"/>
      <c r="Q99" s="1516"/>
      <c r="R99" s="1516">
        <f>IF(スコア入力!R99="EB",重み_対象外!D99,U99)</f>
        <v>5.1767685375181491E-2</v>
      </c>
      <c r="S99" s="1516">
        <f>IF(スコア入力!Y99="EB",重み_対象外!E99,V99)</f>
        <v>1.3088916005971819E-4</v>
      </c>
      <c r="T99" s="1460"/>
      <c r="U99" s="1514">
        <f>X$97*X$98*X99</f>
        <v>5.1767685375181491E-2</v>
      </c>
      <c r="V99" s="1514">
        <f>Y$97*Y$98*Y99</f>
        <v>1.3088916005971819E-4</v>
      </c>
      <c r="W99" s="1460"/>
      <c r="X99" s="1516">
        <f t="shared" si="73"/>
        <v>0.58746736292428192</v>
      </c>
      <c r="Y99" s="1516">
        <f t="shared" si="74"/>
        <v>1.2532637075718016E-2</v>
      </c>
      <c r="Z99" s="1544"/>
      <c r="AA99" s="1513" t="str">
        <f t="shared" si="92"/>
        <v>3.1.1</v>
      </c>
      <c r="AB99" s="1513" t="str">
        <f t="shared" si="103"/>
        <v xml:space="preserve"> Q2 3.1</v>
      </c>
      <c r="AC99" s="1513" t="str">
        <f t="shared" si="93"/>
        <v>階高のゆとり</v>
      </c>
      <c r="AD99" s="1659">
        <f t="shared" si="94"/>
        <v>0.6</v>
      </c>
      <c r="AE99" s="1659">
        <f t="shared" si="95"/>
        <v>0.6</v>
      </c>
      <c r="AF99" s="1659">
        <f t="shared" si="96"/>
        <v>0.6</v>
      </c>
      <c r="AG99" s="1659">
        <f t="shared" si="97"/>
        <v>0.6</v>
      </c>
      <c r="AH99" s="1659">
        <f t="shared" si="98"/>
        <v>0.6</v>
      </c>
      <c r="AI99" s="1659">
        <f t="shared" si="99"/>
        <v>0</v>
      </c>
      <c r="AJ99" s="1659">
        <f t="shared" si="100"/>
        <v>0</v>
      </c>
      <c r="AK99" s="1661">
        <f t="shared" si="101"/>
        <v>0</v>
      </c>
      <c r="AL99" s="1659">
        <f t="shared" si="102"/>
        <v>0.6</v>
      </c>
      <c r="AM99" s="1659">
        <f t="shared" si="102"/>
        <v>0.6</v>
      </c>
      <c r="AN99" s="1660">
        <f t="shared" si="107"/>
        <v>0.6</v>
      </c>
      <c r="AO99" s="1659">
        <f t="shared" si="108"/>
        <v>0.6</v>
      </c>
      <c r="AP99" s="1659">
        <f t="shared" si="109"/>
        <v>0.6</v>
      </c>
      <c r="AQ99" s="1520"/>
      <c r="AR99" s="1547" t="s">
        <v>1383</v>
      </c>
      <c r="AS99" s="1593" t="s">
        <v>310</v>
      </c>
      <c r="AT99" s="1964" t="s">
        <v>311</v>
      </c>
      <c r="AU99" s="1523">
        <v>0.6</v>
      </c>
      <c r="AV99" s="1523">
        <v>0.6</v>
      </c>
      <c r="AW99" s="1523">
        <v>0.6</v>
      </c>
      <c r="AX99" s="1523">
        <v>0.6</v>
      </c>
      <c r="AY99" s="1523">
        <v>0.6</v>
      </c>
      <c r="AZ99" s="1523"/>
      <c r="BA99" s="1523"/>
      <c r="BB99" s="1524">
        <v>0</v>
      </c>
      <c r="BC99" s="1523">
        <v>0.6</v>
      </c>
      <c r="BD99" s="1523">
        <v>0.6</v>
      </c>
      <c r="BE99" s="1525">
        <v>0.6</v>
      </c>
      <c r="BF99" s="1523">
        <v>0.6</v>
      </c>
      <c r="BG99" s="1523">
        <v>0.6</v>
      </c>
      <c r="BI99" s="1547" t="s">
        <v>1383</v>
      </c>
      <c r="BJ99" s="1593" t="s">
        <v>310</v>
      </c>
      <c r="BK99" s="1964" t="s">
        <v>311</v>
      </c>
      <c r="BL99" s="1523">
        <v>0.6</v>
      </c>
      <c r="BM99" s="1523">
        <v>0.6</v>
      </c>
      <c r="BN99" s="1523">
        <v>0.6</v>
      </c>
      <c r="BO99" s="1523">
        <v>0.6</v>
      </c>
      <c r="BP99" s="1523">
        <v>0.6</v>
      </c>
      <c r="BQ99" s="1523"/>
      <c r="BR99" s="1523"/>
      <c r="BS99" s="1524">
        <v>0</v>
      </c>
      <c r="BT99" s="1523">
        <v>0.6</v>
      </c>
      <c r="BU99" s="1523">
        <v>0.6</v>
      </c>
      <c r="BV99" s="1525">
        <v>0.6</v>
      </c>
      <c r="BW99" s="1523">
        <v>0.6</v>
      </c>
      <c r="BX99" s="1523">
        <v>0.6</v>
      </c>
    </row>
    <row r="100" spans="1:77" ht="13.5" customHeight="1">
      <c r="B100" s="1521" t="str">
        <f t="shared" si="70"/>
        <v>3.1.2</v>
      </c>
      <c r="C100" s="1514" t="str">
        <f t="shared" si="71"/>
        <v>空間の形状・自由さ</v>
      </c>
      <c r="D100" s="1621">
        <f>IF(I$98&gt;0,G100/I$98,0)</f>
        <v>0.40000000000000008</v>
      </c>
      <c r="E100" s="1591">
        <f>IF(J$98&gt;0,H100/J$98,0)</f>
        <v>0.39999999999999997</v>
      </c>
      <c r="G100" s="1591">
        <f t="shared" si="72"/>
        <v>0.4</v>
      </c>
      <c r="H100" s="1591">
        <f t="shared" si="72"/>
        <v>0.39999999999999997</v>
      </c>
      <c r="I100" s="1591"/>
      <c r="J100" s="1591"/>
      <c r="K100" s="1516">
        <f>IF(スコア表示!X100=0,0,1)</f>
        <v>1</v>
      </c>
      <c r="L100" s="1516">
        <f>IF(スコア表示!AB100=0,0,1)</f>
        <v>1</v>
      </c>
      <c r="N100" s="1608">
        <f>IF(P$98&gt;0,R100/P$98,0)</f>
        <v>0.4</v>
      </c>
      <c r="O100" s="1608">
        <f>IF(Q$98&gt;0,S100/Q$98,0)</f>
        <v>0.39999999999999997</v>
      </c>
      <c r="P100" s="1516"/>
      <c r="Q100" s="1516"/>
      <c r="R100" s="1516">
        <f>IF(スコア入力!R100="EB",重み_対象外!D100,U100)</f>
        <v>3.4511790250121001E-2</v>
      </c>
      <c r="S100" s="1516">
        <f>IF(スコア入力!Y100="EB",重み_対象外!E100,V100)</f>
        <v>8.7259440039812124E-5</v>
      </c>
      <c r="T100" s="1460"/>
      <c r="U100" s="1514">
        <f>X$97*X$98*X100</f>
        <v>3.4511790250121001E-2</v>
      </c>
      <c r="V100" s="1514">
        <f>Y$97*Y$98*Y100</f>
        <v>8.7259440039812124E-5</v>
      </c>
      <c r="W100" s="1460"/>
      <c r="X100" s="1516">
        <f t="shared" si="73"/>
        <v>0.39164490861618806</v>
      </c>
      <c r="Y100" s="1516">
        <f t="shared" si="74"/>
        <v>8.3550913838120102E-3</v>
      </c>
      <c r="Z100" s="1544"/>
      <c r="AA100" s="1513" t="str">
        <f t="shared" si="92"/>
        <v>3.1.2</v>
      </c>
      <c r="AB100" s="1513" t="str">
        <f t="shared" si="103"/>
        <v xml:space="preserve"> Q2 3.1</v>
      </c>
      <c r="AC100" s="1513" t="str">
        <f t="shared" si="93"/>
        <v>空間の形状・自由さ</v>
      </c>
      <c r="AD100" s="1659">
        <f t="shared" si="94"/>
        <v>0.4</v>
      </c>
      <c r="AE100" s="1659">
        <f t="shared" si="95"/>
        <v>0.4</v>
      </c>
      <c r="AF100" s="1659">
        <f t="shared" si="96"/>
        <v>0.4</v>
      </c>
      <c r="AG100" s="1659">
        <f t="shared" si="97"/>
        <v>0.4</v>
      </c>
      <c r="AH100" s="1659">
        <f t="shared" si="98"/>
        <v>0.4</v>
      </c>
      <c r="AI100" s="1659">
        <f t="shared" si="99"/>
        <v>0</v>
      </c>
      <c r="AJ100" s="1659">
        <f t="shared" si="100"/>
        <v>0</v>
      </c>
      <c r="AK100" s="1661">
        <f t="shared" si="101"/>
        <v>1</v>
      </c>
      <c r="AL100" s="1659">
        <f t="shared" si="102"/>
        <v>0.4</v>
      </c>
      <c r="AM100" s="1659">
        <f t="shared" si="102"/>
        <v>0.4</v>
      </c>
      <c r="AN100" s="1660">
        <f t="shared" si="107"/>
        <v>0.4</v>
      </c>
      <c r="AO100" s="1659">
        <f t="shared" si="108"/>
        <v>0.4</v>
      </c>
      <c r="AP100" s="1659">
        <f t="shared" si="109"/>
        <v>0.4</v>
      </c>
      <c r="AQ100" s="1520"/>
      <c r="AR100" s="1547" t="s">
        <v>1384</v>
      </c>
      <c r="AS100" s="1593" t="s">
        <v>310</v>
      </c>
      <c r="AT100" s="1964" t="s">
        <v>312</v>
      </c>
      <c r="AU100" s="1523">
        <v>0.4</v>
      </c>
      <c r="AV100" s="1523">
        <v>0.4</v>
      </c>
      <c r="AW100" s="1523">
        <v>0.4</v>
      </c>
      <c r="AX100" s="1523">
        <v>0.4</v>
      </c>
      <c r="AY100" s="1523">
        <v>0.4</v>
      </c>
      <c r="AZ100" s="1523"/>
      <c r="BA100" s="1523"/>
      <c r="BB100" s="1524">
        <v>1</v>
      </c>
      <c r="BC100" s="1523">
        <v>0.4</v>
      </c>
      <c r="BD100" s="1523">
        <v>0.4</v>
      </c>
      <c r="BE100" s="1525">
        <v>0.4</v>
      </c>
      <c r="BF100" s="1523">
        <v>0.4</v>
      </c>
      <c r="BG100" s="1523">
        <v>0.4</v>
      </c>
      <c r="BI100" s="1547" t="s">
        <v>1384</v>
      </c>
      <c r="BJ100" s="1593" t="s">
        <v>310</v>
      </c>
      <c r="BK100" s="1964" t="s">
        <v>312</v>
      </c>
      <c r="BL100" s="1523">
        <v>0.4</v>
      </c>
      <c r="BM100" s="1523">
        <v>0.4</v>
      </c>
      <c r="BN100" s="1523">
        <v>0.4</v>
      </c>
      <c r="BO100" s="1523">
        <v>0.4</v>
      </c>
      <c r="BP100" s="1523">
        <v>0.4</v>
      </c>
      <c r="BQ100" s="1523"/>
      <c r="BR100" s="1523"/>
      <c r="BS100" s="1524">
        <v>1</v>
      </c>
      <c r="BT100" s="1523">
        <v>0.4</v>
      </c>
      <c r="BU100" s="1523">
        <v>0.4</v>
      </c>
      <c r="BV100" s="1525">
        <v>0.4</v>
      </c>
      <c r="BW100" s="1523">
        <v>0.4</v>
      </c>
      <c r="BX100" s="1523">
        <v>0.4</v>
      </c>
    </row>
    <row r="101" spans="1:77" ht="13.5" customHeight="1">
      <c r="B101" s="1513">
        <f t="shared" si="70"/>
        <v>3.2</v>
      </c>
      <c r="C101" s="1547" t="str">
        <f t="shared" si="71"/>
        <v>荷重のゆとり</v>
      </c>
      <c r="D101" s="1616">
        <f>IF(I$97=0,0,G101/I$97)</f>
        <v>0.29554698914184191</v>
      </c>
      <c r="E101" s="1591">
        <f>IF(J$97=0,0,H101/J$97)</f>
        <v>0.979539641943734</v>
      </c>
      <c r="G101" s="1591">
        <f t="shared" si="72"/>
        <v>0.29554698914184191</v>
      </c>
      <c r="H101" s="1591">
        <f t="shared" si="72"/>
        <v>0.979539641943734</v>
      </c>
      <c r="I101" s="1591"/>
      <c r="J101" s="1591"/>
      <c r="K101" s="1516">
        <f>IF(スコア表示!X101=0,0,1)</f>
        <v>1</v>
      </c>
      <c r="L101" s="1516">
        <f>IF(スコア表示!AB101=0,0,1)</f>
        <v>1</v>
      </c>
      <c r="N101" s="1613">
        <f>IF(P$97=0,0,R101/P$97)</f>
        <v>0.29554698914184191</v>
      </c>
      <c r="O101" s="1613">
        <f>IF(Q$97=0,0,S101/Q$97)</f>
        <v>0.979539641943734</v>
      </c>
      <c r="P101" s="1624"/>
      <c r="Q101" s="1624"/>
      <c r="R101" s="1516">
        <f>IF(スコア入力!R101="EB",重み_対象外!D101,U101)</f>
        <v>8.812010443864228E-2</v>
      </c>
      <c r="S101" s="1516">
        <f>IF(スコア入力!Y101="EB",重み_対象外!E101,V101)</f>
        <v>1.0443864229765013E-2</v>
      </c>
      <c r="T101" s="1460"/>
      <c r="U101" s="1514">
        <f>X$97*X101</f>
        <v>8.812010443864228E-2</v>
      </c>
      <c r="V101" s="1514">
        <f>Y$97*Y101</f>
        <v>1.0443864229765013E-2</v>
      </c>
      <c r="W101" s="1460"/>
      <c r="X101" s="1516">
        <f t="shared" si="73"/>
        <v>0.29373368146214096</v>
      </c>
      <c r="Y101" s="1516">
        <f t="shared" si="74"/>
        <v>1.0443864229765013E-2</v>
      </c>
      <c r="Z101" s="1544"/>
      <c r="AA101" s="1513">
        <f t="shared" si="92"/>
        <v>3.2</v>
      </c>
      <c r="AB101" s="1513" t="str">
        <f t="shared" si="103"/>
        <v xml:space="preserve"> Q2 3</v>
      </c>
      <c r="AC101" s="1513" t="str">
        <f t="shared" si="93"/>
        <v>荷重のゆとり</v>
      </c>
      <c r="AD101" s="1659">
        <f t="shared" si="94"/>
        <v>0.3</v>
      </c>
      <c r="AE101" s="1659">
        <f t="shared" si="95"/>
        <v>0.3</v>
      </c>
      <c r="AF101" s="1659">
        <f t="shared" si="96"/>
        <v>0.3</v>
      </c>
      <c r="AG101" s="1659">
        <f t="shared" si="97"/>
        <v>0.3</v>
      </c>
      <c r="AH101" s="1659">
        <f t="shared" si="98"/>
        <v>0.3</v>
      </c>
      <c r="AI101" s="1659">
        <f t="shared" si="99"/>
        <v>0</v>
      </c>
      <c r="AJ101" s="1659">
        <f t="shared" si="100"/>
        <v>0</v>
      </c>
      <c r="AK101" s="1661">
        <f t="shared" si="101"/>
        <v>0.3</v>
      </c>
      <c r="AL101" s="1659">
        <f t="shared" si="102"/>
        <v>0.3</v>
      </c>
      <c r="AM101" s="1659">
        <f t="shared" si="102"/>
        <v>0.3</v>
      </c>
      <c r="AN101" s="1660">
        <f t="shared" si="107"/>
        <v>0.5</v>
      </c>
      <c r="AO101" s="1659">
        <f t="shared" si="108"/>
        <v>0.5</v>
      </c>
      <c r="AP101" s="1659">
        <f t="shared" si="109"/>
        <v>0.5</v>
      </c>
      <c r="AQ101" s="1520"/>
      <c r="AR101" s="1547">
        <v>3.2</v>
      </c>
      <c r="AS101" s="1593" t="s">
        <v>309</v>
      </c>
      <c r="AT101" s="1637" t="s">
        <v>666</v>
      </c>
      <c r="AU101" s="1523">
        <v>0.3</v>
      </c>
      <c r="AV101" s="1523">
        <v>0.3</v>
      </c>
      <c r="AW101" s="1523">
        <v>0.3</v>
      </c>
      <c r="AX101" s="1523">
        <v>0.3</v>
      </c>
      <c r="AY101" s="1523">
        <v>0.3</v>
      </c>
      <c r="AZ101" s="1523"/>
      <c r="BA101" s="1523"/>
      <c r="BB101" s="1524">
        <v>0.3</v>
      </c>
      <c r="BC101" s="1523">
        <v>0.3</v>
      </c>
      <c r="BD101" s="1523">
        <v>0.3</v>
      </c>
      <c r="BE101" s="1525">
        <v>0.5</v>
      </c>
      <c r="BF101" s="1523">
        <v>0.5</v>
      </c>
      <c r="BG101" s="1523">
        <v>0.5</v>
      </c>
      <c r="BI101" s="1547">
        <v>3.2</v>
      </c>
      <c r="BJ101" s="1593" t="s">
        <v>309</v>
      </c>
      <c r="BK101" s="1637" t="s">
        <v>666</v>
      </c>
      <c r="BL101" s="1523">
        <v>0.3</v>
      </c>
      <c r="BM101" s="1523">
        <v>0.3</v>
      </c>
      <c r="BN101" s="1523">
        <v>0.3</v>
      </c>
      <c r="BO101" s="1523">
        <v>0.3</v>
      </c>
      <c r="BP101" s="1523">
        <v>0.3</v>
      </c>
      <c r="BQ101" s="1523"/>
      <c r="BR101" s="1523"/>
      <c r="BS101" s="1524">
        <v>0.3</v>
      </c>
      <c r="BT101" s="1523">
        <v>0.3</v>
      </c>
      <c r="BU101" s="1523">
        <v>0.3</v>
      </c>
      <c r="BV101" s="1525">
        <v>0.5</v>
      </c>
      <c r="BW101" s="1523">
        <v>0.5</v>
      </c>
      <c r="BX101" s="1523">
        <v>0.5</v>
      </c>
    </row>
    <row r="102" spans="1:77" ht="13.5" customHeight="1">
      <c r="B102" s="1513">
        <f t="shared" si="70"/>
        <v>3.3</v>
      </c>
      <c r="C102" s="1547" t="str">
        <f t="shared" si="71"/>
        <v>設備の更新性</v>
      </c>
      <c r="D102" s="1616">
        <f>IF(I$97=0,0,G102/I$97)</f>
        <v>0.41507932697254263</v>
      </c>
      <c r="E102" s="1591">
        <f>IF(J$97=0,0,H102/J$97)</f>
        <v>0</v>
      </c>
      <c r="G102" s="1591">
        <f t="shared" si="72"/>
        <v>0.41507932697254263</v>
      </c>
      <c r="H102" s="1591">
        <f t="shared" si="72"/>
        <v>0</v>
      </c>
      <c r="I102" s="1591">
        <f>SUM(G103:G108)</f>
        <v>1</v>
      </c>
      <c r="J102" s="1591">
        <f>SUM(H103:H108)</f>
        <v>0</v>
      </c>
      <c r="K102" s="1516">
        <f>IF(スコア表示!X102=0,0,1)</f>
        <v>1</v>
      </c>
      <c r="L102" s="1516">
        <f>IF(スコア表示!AB102=0,0,1)</f>
        <v>0</v>
      </c>
      <c r="N102" s="1613">
        <f>IF(P$97=0,0,P102/P$97)</f>
        <v>0.41507932697254263</v>
      </c>
      <c r="O102" s="1613">
        <f>IF(Q$97=0,0,Q102/Q$97)</f>
        <v>0</v>
      </c>
      <c r="P102" s="1516">
        <f>SUM(R103:R108)</f>
        <v>0.12375979112271543</v>
      </c>
      <c r="Q102" s="1516">
        <f>SUM(S103:S108)</f>
        <v>0</v>
      </c>
      <c r="R102" s="1516">
        <f>IF(スコア入力!R102="EB",重み_対象外!D102,U102)</f>
        <v>0</v>
      </c>
      <c r="S102" s="1516">
        <f>IF(スコア入力!Y102="EB",重み_対象外!E102,V102)</f>
        <v>0</v>
      </c>
      <c r="T102" s="1460"/>
      <c r="U102" s="1530"/>
      <c r="V102" s="1530"/>
      <c r="W102" s="1460"/>
      <c r="X102" s="1516">
        <f t="shared" si="73"/>
        <v>0.41253263707571808</v>
      </c>
      <c r="Y102" s="1516">
        <f t="shared" si="74"/>
        <v>0</v>
      </c>
      <c r="Z102" s="1544"/>
      <c r="AA102" s="1513">
        <f t="shared" si="92"/>
        <v>3.3</v>
      </c>
      <c r="AB102" s="1513" t="str">
        <f t="shared" si="103"/>
        <v xml:space="preserve"> Q2 3</v>
      </c>
      <c r="AC102" s="1513" t="str">
        <f t="shared" si="93"/>
        <v>設備の更新性</v>
      </c>
      <c r="AD102" s="1659">
        <f t="shared" si="94"/>
        <v>0.4</v>
      </c>
      <c r="AE102" s="1659">
        <f t="shared" si="95"/>
        <v>0.4</v>
      </c>
      <c r="AF102" s="1659">
        <f t="shared" si="96"/>
        <v>0.4</v>
      </c>
      <c r="AG102" s="1659">
        <f t="shared" si="97"/>
        <v>0.4</v>
      </c>
      <c r="AH102" s="1659">
        <f t="shared" si="98"/>
        <v>0.4</v>
      </c>
      <c r="AI102" s="1659">
        <f t="shared" si="99"/>
        <v>1</v>
      </c>
      <c r="AJ102" s="1659">
        <f t="shared" si="100"/>
        <v>1</v>
      </c>
      <c r="AK102" s="1661">
        <f t="shared" si="101"/>
        <v>0.4</v>
      </c>
      <c r="AL102" s="1659">
        <f t="shared" si="102"/>
        <v>0.4</v>
      </c>
      <c r="AM102" s="1659">
        <f t="shared" si="102"/>
        <v>0.4</v>
      </c>
      <c r="AN102" s="1660">
        <f t="shared" si="107"/>
        <v>0</v>
      </c>
      <c r="AO102" s="1659">
        <f t="shared" si="108"/>
        <v>0</v>
      </c>
      <c r="AP102" s="1659">
        <f t="shared" si="109"/>
        <v>0</v>
      </c>
      <c r="AQ102" s="1520"/>
      <c r="AR102" s="1547">
        <v>3.3</v>
      </c>
      <c r="AS102" s="1593" t="s">
        <v>309</v>
      </c>
      <c r="AT102" s="1637" t="s">
        <v>667</v>
      </c>
      <c r="AU102" s="1523">
        <v>0.4</v>
      </c>
      <c r="AV102" s="1523">
        <v>0.4</v>
      </c>
      <c r="AW102" s="1523">
        <v>0.4</v>
      </c>
      <c r="AX102" s="1523">
        <v>0.4</v>
      </c>
      <c r="AY102" s="1523">
        <v>0.4</v>
      </c>
      <c r="AZ102" s="1523">
        <v>1</v>
      </c>
      <c r="BA102" s="1523">
        <v>1</v>
      </c>
      <c r="BB102" s="1524">
        <v>0.4</v>
      </c>
      <c r="BC102" s="1523">
        <v>0.4</v>
      </c>
      <c r="BD102" s="1523">
        <v>0.4</v>
      </c>
      <c r="BE102" s="1525"/>
      <c r="BF102" s="1523"/>
      <c r="BG102" s="1523"/>
      <c r="BI102" s="1547">
        <v>3.3</v>
      </c>
      <c r="BJ102" s="1593" t="s">
        <v>309</v>
      </c>
      <c r="BK102" s="1637" t="s">
        <v>667</v>
      </c>
      <c r="BL102" s="1523">
        <v>0.4</v>
      </c>
      <c r="BM102" s="1523">
        <v>0.4</v>
      </c>
      <c r="BN102" s="1523">
        <v>0.4</v>
      </c>
      <c r="BO102" s="1523">
        <v>0.4</v>
      </c>
      <c r="BP102" s="1523">
        <v>0.4</v>
      </c>
      <c r="BQ102" s="1523">
        <v>1</v>
      </c>
      <c r="BR102" s="1523">
        <v>1</v>
      </c>
      <c r="BS102" s="1524">
        <v>0.4</v>
      </c>
      <c r="BT102" s="1523">
        <v>0.4</v>
      </c>
      <c r="BU102" s="1523">
        <v>0.4</v>
      </c>
      <c r="BV102" s="1525"/>
      <c r="BW102" s="1523"/>
      <c r="BX102" s="1523"/>
    </row>
    <row r="103" spans="1:77" ht="13.5" customHeight="1">
      <c r="B103" s="1521" t="str">
        <f t="shared" si="70"/>
        <v>3.3.1</v>
      </c>
      <c r="C103" s="1514" t="str">
        <f t="shared" si="71"/>
        <v>空調配管の更新性</v>
      </c>
      <c r="D103" s="1621">
        <f t="shared" ref="D103:E108" si="113">IF(I$102&gt;0,G103/I$102,0)</f>
        <v>0.2</v>
      </c>
      <c r="E103" s="1591">
        <f t="shared" si="113"/>
        <v>0</v>
      </c>
      <c r="G103" s="1591">
        <f t="shared" si="72"/>
        <v>0.2</v>
      </c>
      <c r="H103" s="1591">
        <f t="shared" si="72"/>
        <v>0</v>
      </c>
      <c r="I103" s="1591"/>
      <c r="J103" s="1591"/>
      <c r="K103" s="1516">
        <f>IF(スコア表示!X103=0,0,1)</f>
        <v>1</v>
      </c>
      <c r="L103" s="1516">
        <f>IF(スコア表示!AB103=0,0,1)</f>
        <v>0</v>
      </c>
      <c r="N103" s="1608">
        <f t="shared" ref="N103:O108" si="114">IF(P$102&gt;0,R103/P$102,0)</f>
        <v>0.2</v>
      </c>
      <c r="O103" s="1608">
        <f t="shared" si="114"/>
        <v>0</v>
      </c>
      <c r="P103" s="1516"/>
      <c r="Q103" s="1516"/>
      <c r="R103" s="1516">
        <f>IF(スコア入力!R103="EB",重み_対象外!D103,U103)</f>
        <v>2.4751958224543087E-2</v>
      </c>
      <c r="S103" s="1516">
        <f>IF(スコア入力!Y103="EB",重み_対象外!E103,V103)</f>
        <v>0</v>
      </c>
      <c r="T103" s="1460"/>
      <c r="U103" s="1514">
        <f t="shared" ref="U103:V108" si="115">X$97*X$102*X103</f>
        <v>2.4751958224543087E-2</v>
      </c>
      <c r="V103" s="1514">
        <f t="shared" si="115"/>
        <v>0</v>
      </c>
      <c r="W103" s="1460"/>
      <c r="X103" s="1516">
        <f t="shared" si="73"/>
        <v>0.20000000000000004</v>
      </c>
      <c r="Y103" s="1516">
        <f t="shared" si="74"/>
        <v>0</v>
      </c>
      <c r="Z103" s="1544"/>
      <c r="AA103" s="1513" t="str">
        <f t="shared" si="92"/>
        <v>3.3.1</v>
      </c>
      <c r="AB103" s="1513" t="str">
        <f t="shared" si="103"/>
        <v xml:space="preserve"> Q2 3.3</v>
      </c>
      <c r="AC103" s="1513" t="str">
        <f t="shared" si="93"/>
        <v>空調配管の更新性</v>
      </c>
      <c r="AD103" s="1659">
        <f t="shared" si="94"/>
        <v>0.2</v>
      </c>
      <c r="AE103" s="1659">
        <f t="shared" si="95"/>
        <v>0.2</v>
      </c>
      <c r="AF103" s="1659">
        <f t="shared" si="96"/>
        <v>0.2</v>
      </c>
      <c r="AG103" s="1659">
        <f t="shared" si="97"/>
        <v>0.2</v>
      </c>
      <c r="AH103" s="1659">
        <f t="shared" si="98"/>
        <v>0.2</v>
      </c>
      <c r="AI103" s="1659">
        <f t="shared" si="99"/>
        <v>0.2</v>
      </c>
      <c r="AJ103" s="1659">
        <f t="shared" si="100"/>
        <v>0.2</v>
      </c>
      <c r="AK103" s="1661">
        <f t="shared" si="101"/>
        <v>0.2</v>
      </c>
      <c r="AL103" s="1659">
        <f t="shared" si="102"/>
        <v>0.2</v>
      </c>
      <c r="AM103" s="1659">
        <f t="shared" si="102"/>
        <v>0.2</v>
      </c>
      <c r="AN103" s="1660">
        <f t="shared" si="107"/>
        <v>0</v>
      </c>
      <c r="AO103" s="1659">
        <f t="shared" si="108"/>
        <v>0</v>
      </c>
      <c r="AP103" s="1659">
        <f t="shared" si="109"/>
        <v>0</v>
      </c>
      <c r="AQ103" s="1520"/>
      <c r="AR103" s="1547" t="s">
        <v>1385</v>
      </c>
      <c r="AS103" s="1593" t="s">
        <v>313</v>
      </c>
      <c r="AT103" s="1964" t="s">
        <v>314</v>
      </c>
      <c r="AU103" s="1523">
        <v>0.2</v>
      </c>
      <c r="AV103" s="1523">
        <v>0.2</v>
      </c>
      <c r="AW103" s="1523">
        <v>0.2</v>
      </c>
      <c r="AX103" s="1523">
        <v>0.2</v>
      </c>
      <c r="AY103" s="1523">
        <v>0.2</v>
      </c>
      <c r="AZ103" s="1523">
        <v>0.2</v>
      </c>
      <c r="BA103" s="1523">
        <v>0.2</v>
      </c>
      <c r="BB103" s="1524">
        <v>0.2</v>
      </c>
      <c r="BC103" s="1523">
        <v>0.2</v>
      </c>
      <c r="BD103" s="1523">
        <v>0.2</v>
      </c>
      <c r="BE103" s="1525"/>
      <c r="BF103" s="1523"/>
      <c r="BG103" s="1523"/>
      <c r="BI103" s="1547" t="s">
        <v>1385</v>
      </c>
      <c r="BJ103" s="1593" t="s">
        <v>313</v>
      </c>
      <c r="BK103" s="1964" t="s">
        <v>314</v>
      </c>
      <c r="BL103" s="1523">
        <v>0.2</v>
      </c>
      <c r="BM103" s="1523">
        <v>0.2</v>
      </c>
      <c r="BN103" s="1523">
        <v>0.2</v>
      </c>
      <c r="BO103" s="1523">
        <v>0.2</v>
      </c>
      <c r="BP103" s="1523">
        <v>0.2</v>
      </c>
      <c r="BQ103" s="1523">
        <v>0.2</v>
      </c>
      <c r="BR103" s="1523">
        <v>0.2</v>
      </c>
      <c r="BS103" s="1524">
        <v>0.2</v>
      </c>
      <c r="BT103" s="1523">
        <v>0.2</v>
      </c>
      <c r="BU103" s="1523">
        <v>0.2</v>
      </c>
      <c r="BV103" s="1525"/>
      <c r="BW103" s="1523"/>
      <c r="BX103" s="1523"/>
    </row>
    <row r="104" spans="1:77" ht="13.5" customHeight="1">
      <c r="B104" s="1521" t="str">
        <f t="shared" si="70"/>
        <v>3.3.2</v>
      </c>
      <c r="C104" s="1514" t="str">
        <f t="shared" si="71"/>
        <v>給排水管の更新性</v>
      </c>
      <c r="D104" s="1621">
        <f t="shared" si="113"/>
        <v>0.2</v>
      </c>
      <c r="E104" s="1591">
        <f t="shared" si="113"/>
        <v>0</v>
      </c>
      <c r="G104" s="1591">
        <f t="shared" si="72"/>
        <v>0.2</v>
      </c>
      <c r="H104" s="1591">
        <f t="shared" si="72"/>
        <v>0</v>
      </c>
      <c r="I104" s="1591"/>
      <c r="J104" s="1591"/>
      <c r="K104" s="1516">
        <f>IF(スコア表示!X104=0,0,1)</f>
        <v>1</v>
      </c>
      <c r="L104" s="1516">
        <f>IF(スコア表示!AB104=0,0,1)</f>
        <v>0</v>
      </c>
      <c r="N104" s="1608">
        <f t="shared" si="114"/>
        <v>0.2</v>
      </c>
      <c r="O104" s="1608">
        <f t="shared" si="114"/>
        <v>0</v>
      </c>
      <c r="P104" s="1516"/>
      <c r="Q104" s="1516"/>
      <c r="R104" s="1516">
        <f>IF(スコア入力!R104="EB",重み_対象外!D104,U104)</f>
        <v>2.4751958224543087E-2</v>
      </c>
      <c r="S104" s="1516">
        <f>IF(スコア入力!Y104="EB",重み_対象外!E104,V104)</f>
        <v>0</v>
      </c>
      <c r="T104" s="1460"/>
      <c r="U104" s="1514">
        <f t="shared" si="115"/>
        <v>2.4751958224543087E-2</v>
      </c>
      <c r="V104" s="1514">
        <f t="shared" si="115"/>
        <v>0</v>
      </c>
      <c r="W104" s="1460"/>
      <c r="X104" s="1516">
        <f t="shared" si="73"/>
        <v>0.20000000000000004</v>
      </c>
      <c r="Y104" s="1516">
        <f t="shared" si="74"/>
        <v>0</v>
      </c>
      <c r="Z104" s="1544"/>
      <c r="AA104" s="1513" t="str">
        <f t="shared" si="92"/>
        <v>3.3.2</v>
      </c>
      <c r="AB104" s="1513" t="str">
        <f t="shared" si="103"/>
        <v xml:space="preserve"> Q2 3.3</v>
      </c>
      <c r="AC104" s="1513" t="str">
        <f t="shared" si="93"/>
        <v>給排水管の更新性</v>
      </c>
      <c r="AD104" s="1659">
        <f t="shared" si="94"/>
        <v>0.2</v>
      </c>
      <c r="AE104" s="1659">
        <f t="shared" si="95"/>
        <v>0.2</v>
      </c>
      <c r="AF104" s="1659">
        <f t="shared" si="96"/>
        <v>0.2</v>
      </c>
      <c r="AG104" s="1659">
        <f t="shared" si="97"/>
        <v>0.2</v>
      </c>
      <c r="AH104" s="1659">
        <f t="shared" si="98"/>
        <v>0.2</v>
      </c>
      <c r="AI104" s="1659">
        <f t="shared" si="99"/>
        <v>0.2</v>
      </c>
      <c r="AJ104" s="1659">
        <f t="shared" si="100"/>
        <v>0.2</v>
      </c>
      <c r="AK104" s="1661">
        <f t="shared" si="101"/>
        <v>0.2</v>
      </c>
      <c r="AL104" s="1659">
        <f t="shared" si="102"/>
        <v>0.2</v>
      </c>
      <c r="AM104" s="1659">
        <f t="shared" si="102"/>
        <v>0.2</v>
      </c>
      <c r="AN104" s="1660">
        <f t="shared" si="107"/>
        <v>0</v>
      </c>
      <c r="AO104" s="1659">
        <f t="shared" si="108"/>
        <v>0</v>
      </c>
      <c r="AP104" s="1659">
        <f t="shared" si="109"/>
        <v>0</v>
      </c>
      <c r="AQ104" s="1520"/>
      <c r="AR104" s="1547" t="s">
        <v>1387</v>
      </c>
      <c r="AS104" s="1593" t="s">
        <v>313</v>
      </c>
      <c r="AT104" s="1964" t="s">
        <v>315</v>
      </c>
      <c r="AU104" s="1523">
        <v>0.2</v>
      </c>
      <c r="AV104" s="1523">
        <v>0.2</v>
      </c>
      <c r="AW104" s="1523">
        <v>0.2</v>
      </c>
      <c r="AX104" s="1523">
        <v>0.2</v>
      </c>
      <c r="AY104" s="1523">
        <v>0.2</v>
      </c>
      <c r="AZ104" s="1523">
        <v>0.2</v>
      </c>
      <c r="BA104" s="1523">
        <v>0.2</v>
      </c>
      <c r="BB104" s="1524">
        <v>0.2</v>
      </c>
      <c r="BC104" s="1523">
        <v>0.2</v>
      </c>
      <c r="BD104" s="1523">
        <v>0.2</v>
      </c>
      <c r="BE104" s="1525"/>
      <c r="BF104" s="1523"/>
      <c r="BG104" s="1523"/>
      <c r="BI104" s="1547" t="s">
        <v>1387</v>
      </c>
      <c r="BJ104" s="1593" t="s">
        <v>313</v>
      </c>
      <c r="BK104" s="1964" t="s">
        <v>315</v>
      </c>
      <c r="BL104" s="1523">
        <v>0.2</v>
      </c>
      <c r="BM104" s="1523">
        <v>0.2</v>
      </c>
      <c r="BN104" s="1523">
        <v>0.2</v>
      </c>
      <c r="BO104" s="1523">
        <v>0.2</v>
      </c>
      <c r="BP104" s="1523">
        <v>0.2</v>
      </c>
      <c r="BQ104" s="1523">
        <v>0.2</v>
      </c>
      <c r="BR104" s="1523">
        <v>0.2</v>
      </c>
      <c r="BS104" s="1524">
        <v>0.2</v>
      </c>
      <c r="BT104" s="1523">
        <v>0.2</v>
      </c>
      <c r="BU104" s="1523">
        <v>0.2</v>
      </c>
      <c r="BV104" s="1525"/>
      <c r="BW104" s="1523"/>
      <c r="BX104" s="1523"/>
    </row>
    <row r="105" spans="1:77" ht="13.5" customHeight="1">
      <c r="B105" s="1521" t="str">
        <f t="shared" ref="B105:B140" si="116">AA105</f>
        <v>3.3.3</v>
      </c>
      <c r="C105" s="1514" t="str">
        <f t="shared" ref="C105:C140" si="117">AC105</f>
        <v>電気配線の更新性</v>
      </c>
      <c r="D105" s="1621">
        <f t="shared" si="113"/>
        <v>0.1</v>
      </c>
      <c r="E105" s="1591">
        <f t="shared" si="113"/>
        <v>0</v>
      </c>
      <c r="G105" s="1591">
        <f t="shared" ref="G105:H140" si="118">K105*N105</f>
        <v>0.1</v>
      </c>
      <c r="H105" s="1591">
        <f t="shared" si="118"/>
        <v>0</v>
      </c>
      <c r="I105" s="1591"/>
      <c r="J105" s="1591"/>
      <c r="K105" s="1516">
        <f>IF(スコア表示!X105=0,0,1)</f>
        <v>1</v>
      </c>
      <c r="L105" s="1516">
        <f>IF(スコア表示!AB105=0,0,1)</f>
        <v>0</v>
      </c>
      <c r="N105" s="1608">
        <f t="shared" si="114"/>
        <v>0.1</v>
      </c>
      <c r="O105" s="1608">
        <f t="shared" si="114"/>
        <v>0</v>
      </c>
      <c r="P105" s="1516"/>
      <c r="Q105" s="1516"/>
      <c r="R105" s="1516">
        <f>IF(スコア入力!R105="EB",重み_対象外!D105,U105)</f>
        <v>1.2375979112271543E-2</v>
      </c>
      <c r="S105" s="1516">
        <f>IF(スコア入力!Y105="EB",重み_対象外!E105,V105)</f>
        <v>0</v>
      </c>
      <c r="T105" s="1460"/>
      <c r="U105" s="1514">
        <f t="shared" si="115"/>
        <v>1.2375979112271543E-2</v>
      </c>
      <c r="V105" s="1514">
        <f t="shared" si="115"/>
        <v>0</v>
      </c>
      <c r="W105" s="1460"/>
      <c r="X105" s="1516">
        <f t="shared" si="73"/>
        <v>0.10000000000000002</v>
      </c>
      <c r="Y105" s="1516">
        <f t="shared" si="74"/>
        <v>0</v>
      </c>
      <c r="Z105" s="1544"/>
      <c r="AA105" s="1513" t="str">
        <f t="shared" si="92"/>
        <v>3.3.3</v>
      </c>
      <c r="AB105" s="1513" t="str">
        <f t="shared" si="103"/>
        <v xml:space="preserve"> Q2 3.3</v>
      </c>
      <c r="AC105" s="1513" t="str">
        <f t="shared" si="93"/>
        <v>電気配線の更新性</v>
      </c>
      <c r="AD105" s="1659">
        <f t="shared" si="94"/>
        <v>0.1</v>
      </c>
      <c r="AE105" s="1659">
        <f t="shared" si="95"/>
        <v>0.1</v>
      </c>
      <c r="AF105" s="1659">
        <f t="shared" si="96"/>
        <v>0.1</v>
      </c>
      <c r="AG105" s="1659">
        <f t="shared" si="97"/>
        <v>0.1</v>
      </c>
      <c r="AH105" s="1659">
        <f t="shared" si="98"/>
        <v>0.1</v>
      </c>
      <c r="AI105" s="1659">
        <f t="shared" si="99"/>
        <v>0.1</v>
      </c>
      <c r="AJ105" s="1659">
        <f t="shared" si="100"/>
        <v>0.1</v>
      </c>
      <c r="AK105" s="1661">
        <f t="shared" si="101"/>
        <v>0.1</v>
      </c>
      <c r="AL105" s="1659">
        <f t="shared" si="102"/>
        <v>0.1</v>
      </c>
      <c r="AM105" s="1659">
        <f t="shared" si="102"/>
        <v>0.1</v>
      </c>
      <c r="AN105" s="1660">
        <f t="shared" si="107"/>
        <v>0</v>
      </c>
      <c r="AO105" s="1659">
        <f t="shared" si="108"/>
        <v>0</v>
      </c>
      <c r="AP105" s="1659">
        <f t="shared" si="109"/>
        <v>0</v>
      </c>
      <c r="AQ105" s="1520"/>
      <c r="AR105" s="1547" t="s">
        <v>1389</v>
      </c>
      <c r="AS105" s="1593" t="s">
        <v>313</v>
      </c>
      <c r="AT105" s="1964" t="s">
        <v>316</v>
      </c>
      <c r="AU105" s="1523">
        <v>0.1</v>
      </c>
      <c r="AV105" s="1523">
        <v>0.1</v>
      </c>
      <c r="AW105" s="1523">
        <v>0.1</v>
      </c>
      <c r="AX105" s="1523">
        <v>0.1</v>
      </c>
      <c r="AY105" s="1523">
        <v>0.1</v>
      </c>
      <c r="AZ105" s="1523">
        <v>0.1</v>
      </c>
      <c r="BA105" s="1523">
        <v>0.1</v>
      </c>
      <c r="BB105" s="1524">
        <v>0.1</v>
      </c>
      <c r="BC105" s="1523">
        <v>0.1</v>
      </c>
      <c r="BD105" s="1523">
        <v>0.1</v>
      </c>
      <c r="BE105" s="1525"/>
      <c r="BF105" s="1523"/>
      <c r="BG105" s="1523"/>
      <c r="BI105" s="1547" t="s">
        <v>1389</v>
      </c>
      <c r="BJ105" s="1593" t="s">
        <v>313</v>
      </c>
      <c r="BK105" s="1964" t="s">
        <v>316</v>
      </c>
      <c r="BL105" s="1523">
        <v>0.1</v>
      </c>
      <c r="BM105" s="1523">
        <v>0.1</v>
      </c>
      <c r="BN105" s="1523">
        <v>0.1</v>
      </c>
      <c r="BO105" s="1523">
        <v>0.1</v>
      </c>
      <c r="BP105" s="1523">
        <v>0.1</v>
      </c>
      <c r="BQ105" s="1523">
        <v>0.1</v>
      </c>
      <c r="BR105" s="1523">
        <v>0.1</v>
      </c>
      <c r="BS105" s="1524">
        <v>0.1</v>
      </c>
      <c r="BT105" s="1523">
        <v>0.1</v>
      </c>
      <c r="BU105" s="1523">
        <v>0.1</v>
      </c>
      <c r="BV105" s="1525"/>
      <c r="BW105" s="1523"/>
      <c r="BX105" s="1523"/>
    </row>
    <row r="106" spans="1:77" ht="13.5" customHeight="1">
      <c r="B106" s="1521" t="str">
        <f t="shared" si="116"/>
        <v>3.3.4</v>
      </c>
      <c r="C106" s="1514" t="str">
        <f t="shared" si="117"/>
        <v>通信配線の更新性</v>
      </c>
      <c r="D106" s="1621">
        <f t="shared" si="113"/>
        <v>0.1</v>
      </c>
      <c r="E106" s="1591">
        <f t="shared" si="113"/>
        <v>0</v>
      </c>
      <c r="G106" s="1591">
        <f t="shared" si="118"/>
        <v>0.1</v>
      </c>
      <c r="H106" s="1591">
        <f t="shared" si="118"/>
        <v>0</v>
      </c>
      <c r="I106" s="1591"/>
      <c r="J106" s="1591"/>
      <c r="K106" s="1516">
        <f>IF(スコア表示!X106=0,0,1)</f>
        <v>1</v>
      </c>
      <c r="L106" s="1516">
        <f>IF(スコア表示!AB106=0,0,1)</f>
        <v>0</v>
      </c>
      <c r="N106" s="1608">
        <f t="shared" si="114"/>
        <v>0.1</v>
      </c>
      <c r="O106" s="1608">
        <f t="shared" si="114"/>
        <v>0</v>
      </c>
      <c r="P106" s="1516"/>
      <c r="Q106" s="1516"/>
      <c r="R106" s="1516">
        <f>IF(スコア入力!R106="EB",重み_対象外!D106,U106)</f>
        <v>1.2375979112271543E-2</v>
      </c>
      <c r="S106" s="1516">
        <f>IF(スコア入力!Y106="EB",重み_対象外!E106,V106)</f>
        <v>0</v>
      </c>
      <c r="T106" s="1460"/>
      <c r="U106" s="1514">
        <f t="shared" si="115"/>
        <v>1.2375979112271543E-2</v>
      </c>
      <c r="V106" s="1514">
        <f t="shared" si="115"/>
        <v>0</v>
      </c>
      <c r="W106" s="1460"/>
      <c r="X106" s="1516">
        <f t="shared" si="73"/>
        <v>0.10000000000000002</v>
      </c>
      <c r="Y106" s="1516">
        <f t="shared" si="74"/>
        <v>0</v>
      </c>
      <c r="Z106" s="1544"/>
      <c r="AA106" s="1513" t="str">
        <f t="shared" si="92"/>
        <v>3.3.4</v>
      </c>
      <c r="AB106" s="1513" t="str">
        <f t="shared" si="103"/>
        <v xml:space="preserve"> Q2 3.3</v>
      </c>
      <c r="AC106" s="1513" t="str">
        <f t="shared" si="93"/>
        <v>通信配線の更新性</v>
      </c>
      <c r="AD106" s="1659">
        <f t="shared" si="94"/>
        <v>0.1</v>
      </c>
      <c r="AE106" s="1659">
        <f t="shared" si="95"/>
        <v>0.1</v>
      </c>
      <c r="AF106" s="1659">
        <f t="shared" si="96"/>
        <v>0.1</v>
      </c>
      <c r="AG106" s="1659">
        <f t="shared" si="97"/>
        <v>0.1</v>
      </c>
      <c r="AH106" s="1659">
        <f t="shared" si="98"/>
        <v>0.1</v>
      </c>
      <c r="AI106" s="1659">
        <f t="shared" si="99"/>
        <v>0.1</v>
      </c>
      <c r="AJ106" s="1659">
        <f t="shared" si="100"/>
        <v>0.1</v>
      </c>
      <c r="AK106" s="1661">
        <f t="shared" si="101"/>
        <v>0.1</v>
      </c>
      <c r="AL106" s="1659">
        <f t="shared" si="102"/>
        <v>0.1</v>
      </c>
      <c r="AM106" s="1659">
        <f t="shared" si="102"/>
        <v>0.1</v>
      </c>
      <c r="AN106" s="1660">
        <f t="shared" si="107"/>
        <v>0</v>
      </c>
      <c r="AO106" s="1659">
        <f t="shared" si="108"/>
        <v>0</v>
      </c>
      <c r="AP106" s="1659">
        <f t="shared" si="109"/>
        <v>0</v>
      </c>
      <c r="AQ106" s="1520"/>
      <c r="AR106" s="1547" t="s">
        <v>1390</v>
      </c>
      <c r="AS106" s="1593" t="s">
        <v>313</v>
      </c>
      <c r="AT106" s="1964" t="s">
        <v>317</v>
      </c>
      <c r="AU106" s="1523">
        <v>0.1</v>
      </c>
      <c r="AV106" s="1523">
        <v>0.1</v>
      </c>
      <c r="AW106" s="1523">
        <v>0.1</v>
      </c>
      <c r="AX106" s="1523">
        <v>0.1</v>
      </c>
      <c r="AY106" s="1523">
        <v>0.1</v>
      </c>
      <c r="AZ106" s="1523">
        <v>0.1</v>
      </c>
      <c r="BA106" s="1523">
        <v>0.1</v>
      </c>
      <c r="BB106" s="1524">
        <v>0.1</v>
      </c>
      <c r="BC106" s="1523">
        <v>0.1</v>
      </c>
      <c r="BD106" s="1523">
        <v>0.1</v>
      </c>
      <c r="BE106" s="1525"/>
      <c r="BF106" s="1523"/>
      <c r="BG106" s="1523"/>
      <c r="BI106" s="1547" t="s">
        <v>1390</v>
      </c>
      <c r="BJ106" s="1593" t="s">
        <v>313</v>
      </c>
      <c r="BK106" s="1964" t="s">
        <v>317</v>
      </c>
      <c r="BL106" s="1523">
        <v>0.1</v>
      </c>
      <c r="BM106" s="1523">
        <v>0.1</v>
      </c>
      <c r="BN106" s="1523">
        <v>0.1</v>
      </c>
      <c r="BO106" s="1523">
        <v>0.1</v>
      </c>
      <c r="BP106" s="1523">
        <v>0.1</v>
      </c>
      <c r="BQ106" s="1523">
        <v>0.1</v>
      </c>
      <c r="BR106" s="1523">
        <v>0.1</v>
      </c>
      <c r="BS106" s="1524">
        <v>0.1</v>
      </c>
      <c r="BT106" s="1523">
        <v>0.1</v>
      </c>
      <c r="BU106" s="1523">
        <v>0.1</v>
      </c>
      <c r="BV106" s="1525"/>
      <c r="BW106" s="1523"/>
      <c r="BX106" s="1523"/>
    </row>
    <row r="107" spans="1:77" ht="13.5" customHeight="1">
      <c r="B107" s="1521" t="str">
        <f t="shared" si="116"/>
        <v>3.3.5</v>
      </c>
      <c r="C107" s="1514" t="str">
        <f t="shared" si="117"/>
        <v>設備機器の更新性</v>
      </c>
      <c r="D107" s="1621">
        <f t="shared" si="113"/>
        <v>0.2</v>
      </c>
      <c r="E107" s="1591">
        <f t="shared" si="113"/>
        <v>0</v>
      </c>
      <c r="G107" s="1591">
        <f t="shared" si="118"/>
        <v>0.2</v>
      </c>
      <c r="H107" s="1591">
        <f t="shared" si="118"/>
        <v>0</v>
      </c>
      <c r="I107" s="1591"/>
      <c r="J107" s="1591"/>
      <c r="K107" s="1516">
        <f>IF(スコア表示!X107=0,0,1)</f>
        <v>1</v>
      </c>
      <c r="L107" s="1516">
        <f>IF(スコア表示!AB107=0,0,1)</f>
        <v>0</v>
      </c>
      <c r="N107" s="1608">
        <f t="shared" si="114"/>
        <v>0.2</v>
      </c>
      <c r="O107" s="1608">
        <f t="shared" si="114"/>
        <v>0</v>
      </c>
      <c r="P107" s="1516"/>
      <c r="Q107" s="1516"/>
      <c r="R107" s="1516">
        <f>IF(スコア入力!R107="EB",重み_対象外!D107,U107)</f>
        <v>2.4751958224543087E-2</v>
      </c>
      <c r="S107" s="1516">
        <f>IF(スコア入力!Y107="EB",重み_対象外!E107,V107)</f>
        <v>0</v>
      </c>
      <c r="T107" s="1460"/>
      <c r="U107" s="1514">
        <f t="shared" si="115"/>
        <v>2.4751958224543087E-2</v>
      </c>
      <c r="V107" s="1514">
        <f t="shared" si="115"/>
        <v>0</v>
      </c>
      <c r="W107" s="1460"/>
      <c r="X107" s="1516">
        <f t="shared" si="73"/>
        <v>0.20000000000000004</v>
      </c>
      <c r="Y107" s="1516">
        <f t="shared" si="74"/>
        <v>0</v>
      </c>
      <c r="Z107" s="1544"/>
      <c r="AA107" s="1513" t="str">
        <f t="shared" si="92"/>
        <v>3.3.5</v>
      </c>
      <c r="AB107" s="1513" t="str">
        <f t="shared" si="103"/>
        <v xml:space="preserve"> Q2 3.3</v>
      </c>
      <c r="AC107" s="1513" t="str">
        <f t="shared" si="93"/>
        <v>設備機器の更新性</v>
      </c>
      <c r="AD107" s="1659">
        <f t="shared" si="94"/>
        <v>0.2</v>
      </c>
      <c r="AE107" s="1659">
        <f t="shared" si="95"/>
        <v>0.2</v>
      </c>
      <c r="AF107" s="1659">
        <f t="shared" si="96"/>
        <v>0.2</v>
      </c>
      <c r="AG107" s="1659">
        <f t="shared" si="97"/>
        <v>0.2</v>
      </c>
      <c r="AH107" s="1659">
        <f t="shared" si="98"/>
        <v>0.2</v>
      </c>
      <c r="AI107" s="1659">
        <f t="shared" si="99"/>
        <v>0.2</v>
      </c>
      <c r="AJ107" s="1659">
        <f t="shared" si="100"/>
        <v>0.2</v>
      </c>
      <c r="AK107" s="1661">
        <f t="shared" si="101"/>
        <v>0.2</v>
      </c>
      <c r="AL107" s="1659">
        <f t="shared" si="102"/>
        <v>0.2</v>
      </c>
      <c r="AM107" s="1659">
        <f t="shared" si="102"/>
        <v>0.2</v>
      </c>
      <c r="AN107" s="1660">
        <f t="shared" si="107"/>
        <v>0</v>
      </c>
      <c r="AO107" s="1659">
        <f t="shared" si="108"/>
        <v>0</v>
      </c>
      <c r="AP107" s="1659">
        <f t="shared" si="109"/>
        <v>0</v>
      </c>
      <c r="AQ107" s="1520"/>
      <c r="AR107" s="1547" t="s">
        <v>1392</v>
      </c>
      <c r="AS107" s="1593" t="s">
        <v>313</v>
      </c>
      <c r="AT107" s="1964" t="s">
        <v>318</v>
      </c>
      <c r="AU107" s="1523">
        <v>0.2</v>
      </c>
      <c r="AV107" s="1523">
        <v>0.2</v>
      </c>
      <c r="AW107" s="1523">
        <v>0.2</v>
      </c>
      <c r="AX107" s="1523">
        <v>0.2</v>
      </c>
      <c r="AY107" s="1523">
        <v>0.2</v>
      </c>
      <c r="AZ107" s="1523">
        <v>0.2</v>
      </c>
      <c r="BA107" s="1523">
        <v>0.2</v>
      </c>
      <c r="BB107" s="1524">
        <v>0.2</v>
      </c>
      <c r="BC107" s="1523">
        <v>0.2</v>
      </c>
      <c r="BD107" s="1523">
        <v>0.2</v>
      </c>
      <c r="BE107" s="1525"/>
      <c r="BF107" s="1523"/>
      <c r="BG107" s="1523"/>
      <c r="BI107" s="1547" t="s">
        <v>1392</v>
      </c>
      <c r="BJ107" s="1593" t="s">
        <v>313</v>
      </c>
      <c r="BK107" s="1964" t="s">
        <v>318</v>
      </c>
      <c r="BL107" s="1523">
        <v>0.2</v>
      </c>
      <c r="BM107" s="1523">
        <v>0.2</v>
      </c>
      <c r="BN107" s="1523">
        <v>0.2</v>
      </c>
      <c r="BO107" s="1523">
        <v>0.2</v>
      </c>
      <c r="BP107" s="1523">
        <v>0.2</v>
      </c>
      <c r="BQ107" s="1523">
        <v>0.2</v>
      </c>
      <c r="BR107" s="1523">
        <v>0.2</v>
      </c>
      <c r="BS107" s="1524">
        <v>0.2</v>
      </c>
      <c r="BT107" s="1523">
        <v>0.2</v>
      </c>
      <c r="BU107" s="1523">
        <v>0.2</v>
      </c>
      <c r="BV107" s="1525"/>
      <c r="BW107" s="1523"/>
      <c r="BX107" s="1523"/>
    </row>
    <row r="108" spans="1:77" ht="13.5" customHeight="1">
      <c r="B108" s="1521" t="str">
        <f t="shared" si="116"/>
        <v>3.3.6</v>
      </c>
      <c r="C108" s="1514" t="str">
        <f t="shared" si="117"/>
        <v>バックアップスペースの確保</v>
      </c>
      <c r="D108" s="1621">
        <f t="shared" si="113"/>
        <v>0.2</v>
      </c>
      <c r="E108" s="1591">
        <f t="shared" si="113"/>
        <v>0</v>
      </c>
      <c r="G108" s="1591">
        <f t="shared" si="118"/>
        <v>0.2</v>
      </c>
      <c r="H108" s="1591">
        <f t="shared" si="118"/>
        <v>0</v>
      </c>
      <c r="I108" s="1591"/>
      <c r="J108" s="1591"/>
      <c r="K108" s="1516">
        <f>IF(スコア表示!X108=0,0,1)</f>
        <v>1</v>
      </c>
      <c r="L108" s="1516">
        <f>IF(スコア表示!AB108=0,0,1)</f>
        <v>0</v>
      </c>
      <c r="N108" s="1608">
        <f t="shared" si="114"/>
        <v>0.2</v>
      </c>
      <c r="O108" s="1608">
        <f t="shared" si="114"/>
        <v>0</v>
      </c>
      <c r="P108" s="1516"/>
      <c r="Q108" s="1516"/>
      <c r="R108" s="1516">
        <f>IF(スコア入力!R108="EB",重み_対象外!D108,U108)</f>
        <v>2.4751958224543087E-2</v>
      </c>
      <c r="S108" s="1516">
        <f>IF(スコア入力!Y108="EB",重み_対象外!E108,V108)</f>
        <v>0</v>
      </c>
      <c r="T108" s="1460"/>
      <c r="U108" s="1514">
        <f t="shared" si="115"/>
        <v>2.4751958224543087E-2</v>
      </c>
      <c r="V108" s="1514">
        <f t="shared" si="115"/>
        <v>0</v>
      </c>
      <c r="W108" s="1460"/>
      <c r="X108" s="1516">
        <f t="shared" si="73"/>
        <v>0.20000000000000004</v>
      </c>
      <c r="Y108" s="1516">
        <f t="shared" si="74"/>
        <v>0</v>
      </c>
      <c r="Z108" s="1544"/>
      <c r="AA108" s="1513" t="str">
        <f t="shared" si="92"/>
        <v>3.3.6</v>
      </c>
      <c r="AB108" s="1513" t="str">
        <f t="shared" si="103"/>
        <v xml:space="preserve"> Q2 3.3</v>
      </c>
      <c r="AC108" s="1513" t="str">
        <f t="shared" si="93"/>
        <v>バックアップスペースの確保</v>
      </c>
      <c r="AD108" s="1659">
        <f t="shared" si="94"/>
        <v>0.2</v>
      </c>
      <c r="AE108" s="1659">
        <f t="shared" si="95"/>
        <v>0.2</v>
      </c>
      <c r="AF108" s="1659">
        <f t="shared" si="96"/>
        <v>0.2</v>
      </c>
      <c r="AG108" s="1659">
        <f t="shared" si="97"/>
        <v>0.2</v>
      </c>
      <c r="AH108" s="1659">
        <f t="shared" si="98"/>
        <v>0.2</v>
      </c>
      <c r="AI108" s="1659">
        <f t="shared" si="99"/>
        <v>0.2</v>
      </c>
      <c r="AJ108" s="1659">
        <f t="shared" si="100"/>
        <v>0.2</v>
      </c>
      <c r="AK108" s="1661">
        <f t="shared" si="101"/>
        <v>0.2</v>
      </c>
      <c r="AL108" s="1659">
        <f t="shared" si="102"/>
        <v>0.2</v>
      </c>
      <c r="AM108" s="1659">
        <f t="shared" si="102"/>
        <v>0.2</v>
      </c>
      <c r="AN108" s="1660">
        <f t="shared" si="107"/>
        <v>0</v>
      </c>
      <c r="AO108" s="1659">
        <f t="shared" si="108"/>
        <v>0</v>
      </c>
      <c r="AP108" s="1659">
        <f t="shared" si="109"/>
        <v>0</v>
      </c>
      <c r="AQ108" s="1520"/>
      <c r="AR108" s="1547" t="s">
        <v>1393</v>
      </c>
      <c r="AS108" s="1593" t="s">
        <v>313</v>
      </c>
      <c r="AT108" s="1964" t="s">
        <v>675</v>
      </c>
      <c r="AU108" s="1523">
        <v>0.2</v>
      </c>
      <c r="AV108" s="1523">
        <v>0.2</v>
      </c>
      <c r="AW108" s="1523">
        <v>0.2</v>
      </c>
      <c r="AX108" s="1523">
        <v>0.2</v>
      </c>
      <c r="AY108" s="1523">
        <v>0.2</v>
      </c>
      <c r="AZ108" s="1523">
        <v>0.2</v>
      </c>
      <c r="BA108" s="1523">
        <v>0.2</v>
      </c>
      <c r="BB108" s="1524">
        <v>0.2</v>
      </c>
      <c r="BC108" s="1523">
        <v>0.2</v>
      </c>
      <c r="BD108" s="1523">
        <v>0.2</v>
      </c>
      <c r="BE108" s="1525"/>
      <c r="BF108" s="1523"/>
      <c r="BG108" s="1523"/>
      <c r="BI108" s="1547" t="s">
        <v>1393</v>
      </c>
      <c r="BJ108" s="1593" t="s">
        <v>313</v>
      </c>
      <c r="BK108" s="1964" t="s">
        <v>675</v>
      </c>
      <c r="BL108" s="1523">
        <v>0.2</v>
      </c>
      <c r="BM108" s="1523">
        <v>0.2</v>
      </c>
      <c r="BN108" s="1523">
        <v>0.2</v>
      </c>
      <c r="BO108" s="1523">
        <v>0.2</v>
      </c>
      <c r="BP108" s="1523">
        <v>0.2</v>
      </c>
      <c r="BQ108" s="1523">
        <v>0.2</v>
      </c>
      <c r="BR108" s="1523">
        <v>0.2</v>
      </c>
      <c r="BS108" s="1524">
        <v>0.2</v>
      </c>
      <c r="BT108" s="1523">
        <v>0.2</v>
      </c>
      <c r="BU108" s="1523">
        <v>0.2</v>
      </c>
      <c r="BV108" s="1525"/>
      <c r="BW108" s="1523"/>
      <c r="BX108" s="1523"/>
    </row>
    <row r="109" spans="1:77" s="1505" customFormat="1" ht="13.5" customHeight="1">
      <c r="A109"/>
      <c r="B109" s="1497" t="str">
        <f t="shared" si="116"/>
        <v>Q3</v>
      </c>
      <c r="C109" s="1497" t="str">
        <f t="shared" si="117"/>
        <v>室外環境（敷地内）</v>
      </c>
      <c r="D109" s="1956">
        <f>IF(I$8=0,0,G109/I$8)</f>
        <v>0.32610966057441254</v>
      </c>
      <c r="E109" s="1957">
        <f>IF(J$8=0,0,H109/J$8)</f>
        <v>0</v>
      </c>
      <c r="F109"/>
      <c r="G109" s="1957">
        <f t="shared" si="118"/>
        <v>0.32610966057441254</v>
      </c>
      <c r="H109" s="1957">
        <f t="shared" si="118"/>
        <v>0</v>
      </c>
      <c r="I109" s="1957">
        <f>G110+G111+G112</f>
        <v>1</v>
      </c>
      <c r="J109" s="1957">
        <f>H110+H111+H112</f>
        <v>0</v>
      </c>
      <c r="K109" s="1500">
        <f>IF(スコア表示!X109=0,0,1)</f>
        <v>1</v>
      </c>
      <c r="L109" s="1500">
        <f>IF(スコア表示!AB109=0,0,1)</f>
        <v>0</v>
      </c>
      <c r="M109"/>
      <c r="N109" s="1606">
        <f>IF(P$8=0,0,R109/P$8)</f>
        <v>0.32610966057441254</v>
      </c>
      <c r="O109" s="1606">
        <f>IF(Q$8=0,0,S109/Q$8)</f>
        <v>0</v>
      </c>
      <c r="P109" s="1500">
        <f>R110+R111+R112</f>
        <v>1</v>
      </c>
      <c r="Q109" s="1500">
        <f>S110+S111+S112</f>
        <v>0</v>
      </c>
      <c r="R109" s="1500">
        <f>IF(スコア入力!R109="EB",重み_対象外!D109,U109)</f>
        <v>0.32610966057441254</v>
      </c>
      <c r="S109" s="1500">
        <f>IF(スコア入力!Y109="EB",重み_対象外!E109,V109)</f>
        <v>0</v>
      </c>
      <c r="T109" s="1460"/>
      <c r="U109" s="1653">
        <f t="shared" ref="U109:V111" si="119">X109</f>
        <v>0.32610966057441254</v>
      </c>
      <c r="V109" s="1653">
        <f t="shared" si="119"/>
        <v>0</v>
      </c>
      <c r="W109" s="1460"/>
      <c r="X109" s="1500">
        <f t="shared" si="73"/>
        <v>0.32610966057441254</v>
      </c>
      <c r="Y109" s="1500">
        <f>(AN$7*AN109)+(AO$7*AO109)+(AP$7*AP109)</f>
        <v>0</v>
      </c>
      <c r="Z109" s="1540"/>
      <c r="AA109" s="1502" t="str">
        <f t="shared" si="92"/>
        <v>Q3</v>
      </c>
      <c r="AB109" s="1502" t="str">
        <f t="shared" si="103"/>
        <v xml:space="preserve"> Q</v>
      </c>
      <c r="AC109" s="1502" t="str">
        <f t="shared" si="93"/>
        <v>室外環境（敷地内）</v>
      </c>
      <c r="AD109" s="1654">
        <f t="shared" si="94"/>
        <v>0.3</v>
      </c>
      <c r="AE109" s="1654">
        <f t="shared" si="95"/>
        <v>0.3</v>
      </c>
      <c r="AF109" s="1654">
        <f t="shared" si="96"/>
        <v>0.3</v>
      </c>
      <c r="AG109" s="1654">
        <f t="shared" si="97"/>
        <v>0.3</v>
      </c>
      <c r="AH109" s="1654">
        <f t="shared" si="98"/>
        <v>0.3</v>
      </c>
      <c r="AI109" s="1654">
        <f t="shared" si="99"/>
        <v>0.3</v>
      </c>
      <c r="AJ109" s="1654">
        <f t="shared" si="100"/>
        <v>0.3</v>
      </c>
      <c r="AK109" s="1654">
        <f t="shared" si="101"/>
        <v>0.3</v>
      </c>
      <c r="AL109" s="1654">
        <f t="shared" si="102"/>
        <v>0.4</v>
      </c>
      <c r="AM109" s="1654">
        <f t="shared" si="102"/>
        <v>0.3</v>
      </c>
      <c r="AN109" s="1655">
        <f t="shared" si="107"/>
        <v>0</v>
      </c>
      <c r="AO109" s="1654">
        <f t="shared" si="108"/>
        <v>0</v>
      </c>
      <c r="AP109" s="1654">
        <f t="shared" si="109"/>
        <v>0</v>
      </c>
      <c r="AQ109" s="1504"/>
      <c r="AR109" s="1497" t="s">
        <v>1395</v>
      </c>
      <c r="AS109" s="1959" t="s">
        <v>229</v>
      </c>
      <c r="AT109" s="1958" t="s">
        <v>1397</v>
      </c>
      <c r="AU109" s="1960">
        <v>0.3</v>
      </c>
      <c r="AV109" s="1960">
        <v>0.3</v>
      </c>
      <c r="AW109" s="1960">
        <v>0.3</v>
      </c>
      <c r="AX109" s="1960">
        <v>0.3</v>
      </c>
      <c r="AY109" s="1960">
        <v>0.3</v>
      </c>
      <c r="AZ109" s="1960">
        <v>0.3</v>
      </c>
      <c r="BA109" s="1960">
        <v>0.3</v>
      </c>
      <c r="BB109" s="1960">
        <v>0.3</v>
      </c>
      <c r="BC109" s="1960">
        <v>0.4</v>
      </c>
      <c r="BD109" s="1960">
        <v>0.3</v>
      </c>
      <c r="BE109" s="1961"/>
      <c r="BF109" s="1960"/>
      <c r="BG109" s="1960"/>
      <c r="BH109"/>
      <c r="BI109" s="1497" t="s">
        <v>1395</v>
      </c>
      <c r="BJ109" s="1959" t="s">
        <v>229</v>
      </c>
      <c r="BK109" s="1958" t="s">
        <v>1397</v>
      </c>
      <c r="BL109" s="1960">
        <v>0.3</v>
      </c>
      <c r="BM109" s="1960">
        <v>0.3</v>
      </c>
      <c r="BN109" s="1960">
        <v>0.3</v>
      </c>
      <c r="BO109" s="1960">
        <v>0.3</v>
      </c>
      <c r="BP109" s="1960">
        <v>0.3</v>
      </c>
      <c r="BQ109" s="1960">
        <v>0.3</v>
      </c>
      <c r="BR109" s="1960">
        <v>0.3</v>
      </c>
      <c r="BS109" s="1960">
        <v>0.3</v>
      </c>
      <c r="BT109" s="1960">
        <v>0.4</v>
      </c>
      <c r="BU109" s="1960">
        <v>0.3</v>
      </c>
      <c r="BV109" s="1961"/>
      <c r="BW109" s="1960"/>
      <c r="BX109" s="1960"/>
      <c r="BY109"/>
    </row>
    <row r="110" spans="1:77" s="1505" customFormat="1" ht="13.5" customHeight="1">
      <c r="A110"/>
      <c r="B110" s="1527">
        <f t="shared" si="116"/>
        <v>1</v>
      </c>
      <c r="C110" s="1528" t="str">
        <f t="shared" si="117"/>
        <v>生物資源の保全と創出</v>
      </c>
      <c r="D110" s="1962">
        <f t="shared" ref="D110:E112" si="120">IF(I$109=0,0,G110/I$109)</f>
        <v>0.3</v>
      </c>
      <c r="E110" s="1643">
        <f t="shared" si="120"/>
        <v>0</v>
      </c>
      <c r="F110"/>
      <c r="G110" s="1643">
        <f t="shared" si="118"/>
        <v>0.3</v>
      </c>
      <c r="H110" s="1643">
        <f t="shared" si="118"/>
        <v>0</v>
      </c>
      <c r="I110" s="1643"/>
      <c r="J110" s="1643"/>
      <c r="K110" s="1509">
        <f>IF(スコア表示!X110=0,0,1)</f>
        <v>1</v>
      </c>
      <c r="L110" s="1509">
        <f>IF(スコア表示!AB110=0,0,1)</f>
        <v>0</v>
      </c>
      <c r="M110"/>
      <c r="N110" s="1607">
        <f t="shared" ref="N110:O112" si="121">IF(P$109=0,0,P110/P$109)</f>
        <v>0.3</v>
      </c>
      <c r="O110" s="1607">
        <f t="shared" si="121"/>
        <v>0</v>
      </c>
      <c r="P110" s="1610">
        <f>R110</f>
        <v>0.3</v>
      </c>
      <c r="Q110" s="1610">
        <f>S110</f>
        <v>0</v>
      </c>
      <c r="R110" s="1509">
        <f>IF(スコア入力!R110="EB",重み_対象外!D110,U110)</f>
        <v>0.3</v>
      </c>
      <c r="S110" s="1509">
        <f>IF(スコア入力!Y110="EB",重み_対象外!E110,V110)</f>
        <v>0</v>
      </c>
      <c r="T110" s="1460"/>
      <c r="U110" s="1610">
        <f t="shared" si="119"/>
        <v>0.3</v>
      </c>
      <c r="V110" s="1610">
        <f t="shared" si="119"/>
        <v>0</v>
      </c>
      <c r="W110" s="1460"/>
      <c r="X110" s="1509">
        <f t="shared" si="73"/>
        <v>0.3</v>
      </c>
      <c r="Y110" s="1509">
        <f t="shared" si="74"/>
        <v>0</v>
      </c>
      <c r="Z110" s="1542"/>
      <c r="AA110" s="1506">
        <f t="shared" si="92"/>
        <v>1</v>
      </c>
      <c r="AB110" s="1506" t="str">
        <f t="shared" si="103"/>
        <v xml:space="preserve"> Q3</v>
      </c>
      <c r="AC110" s="1506" t="str">
        <f t="shared" si="93"/>
        <v>生物資源の保全と創出</v>
      </c>
      <c r="AD110" s="1656">
        <f t="shared" si="94"/>
        <v>0.3</v>
      </c>
      <c r="AE110" s="1656">
        <f t="shared" si="95"/>
        <v>0.3</v>
      </c>
      <c r="AF110" s="1656">
        <f t="shared" si="96"/>
        <v>0.3</v>
      </c>
      <c r="AG110" s="1656">
        <f t="shared" si="97"/>
        <v>0.3</v>
      </c>
      <c r="AH110" s="1656">
        <f t="shared" si="98"/>
        <v>0.3</v>
      </c>
      <c r="AI110" s="1656">
        <f t="shared" si="99"/>
        <v>0.3</v>
      </c>
      <c r="AJ110" s="1656">
        <f t="shared" si="100"/>
        <v>0.3</v>
      </c>
      <c r="AK110" s="1668">
        <f t="shared" si="101"/>
        <v>0.3</v>
      </c>
      <c r="AL110" s="1656">
        <f t="shared" si="102"/>
        <v>0.3</v>
      </c>
      <c r="AM110" s="1656">
        <f t="shared" si="102"/>
        <v>0.3</v>
      </c>
      <c r="AN110" s="1658">
        <f t="shared" si="107"/>
        <v>0</v>
      </c>
      <c r="AO110" s="1656">
        <f t="shared" si="108"/>
        <v>0</v>
      </c>
      <c r="AP110" s="1656">
        <f t="shared" si="109"/>
        <v>0</v>
      </c>
      <c r="AQ110" s="1512"/>
      <c r="AR110" s="1541">
        <v>1</v>
      </c>
      <c r="AS110" s="1644" t="s">
        <v>319</v>
      </c>
      <c r="AT110" s="1687" t="s">
        <v>846</v>
      </c>
      <c r="AU110" s="1611">
        <v>0.3</v>
      </c>
      <c r="AV110" s="1611">
        <v>0.3</v>
      </c>
      <c r="AW110" s="1611">
        <v>0.3</v>
      </c>
      <c r="AX110" s="1611">
        <v>0.3</v>
      </c>
      <c r="AY110" s="1611">
        <v>0.3</v>
      </c>
      <c r="AZ110" s="1611">
        <v>0.3</v>
      </c>
      <c r="BA110" s="1611">
        <v>0.3</v>
      </c>
      <c r="BB110" s="1983">
        <v>0.3</v>
      </c>
      <c r="BC110" s="1611">
        <v>0.3</v>
      </c>
      <c r="BD110" s="1611">
        <v>0.3</v>
      </c>
      <c r="BE110" s="1963"/>
      <c r="BF110" s="1611"/>
      <c r="BG110" s="1611"/>
      <c r="BH110"/>
      <c r="BI110" s="1541">
        <v>1</v>
      </c>
      <c r="BJ110" s="1644" t="s">
        <v>319</v>
      </c>
      <c r="BK110" s="1687" t="s">
        <v>846</v>
      </c>
      <c r="BL110" s="1611">
        <v>0.3</v>
      </c>
      <c r="BM110" s="1611">
        <v>0.3</v>
      </c>
      <c r="BN110" s="1611">
        <v>0.3</v>
      </c>
      <c r="BO110" s="1611">
        <v>0.3</v>
      </c>
      <c r="BP110" s="1611">
        <v>0.3</v>
      </c>
      <c r="BQ110" s="1611">
        <v>0.3</v>
      </c>
      <c r="BR110" s="1611">
        <v>0.3</v>
      </c>
      <c r="BS110" s="1983">
        <v>0.3</v>
      </c>
      <c r="BT110" s="1611">
        <v>0.3</v>
      </c>
      <c r="BU110" s="1611">
        <v>0.3</v>
      </c>
      <c r="BV110" s="1963"/>
      <c r="BW110" s="1611"/>
      <c r="BX110" s="1611"/>
      <c r="BY110"/>
    </row>
    <row r="111" spans="1:77" s="1505" customFormat="1" ht="13.5" customHeight="1">
      <c r="A111"/>
      <c r="B111" s="1527">
        <f t="shared" si="116"/>
        <v>2</v>
      </c>
      <c r="C111" s="1528" t="str">
        <f t="shared" si="117"/>
        <v>まちなみ・景観への配慮</v>
      </c>
      <c r="D111" s="1962">
        <f t="shared" si="120"/>
        <v>0.40000000000000008</v>
      </c>
      <c r="E111" s="1643">
        <f t="shared" si="120"/>
        <v>0</v>
      </c>
      <c r="F111"/>
      <c r="G111" s="1643">
        <f t="shared" si="118"/>
        <v>0.40000000000000008</v>
      </c>
      <c r="H111" s="1643">
        <f t="shared" si="118"/>
        <v>0</v>
      </c>
      <c r="I111" s="1643"/>
      <c r="J111" s="1643"/>
      <c r="K111" s="1509">
        <f>IF(スコア表示!X111=0,0,1)</f>
        <v>1</v>
      </c>
      <c r="L111" s="1509">
        <f>IF(スコア表示!AB111=0,0,1)</f>
        <v>0</v>
      </c>
      <c r="M111"/>
      <c r="N111" s="1607">
        <f t="shared" si="121"/>
        <v>0.40000000000000008</v>
      </c>
      <c r="O111" s="1607">
        <f t="shared" si="121"/>
        <v>0</v>
      </c>
      <c r="P111" s="1610">
        <f>R111</f>
        <v>0.40000000000000008</v>
      </c>
      <c r="Q111" s="1610">
        <f>S111</f>
        <v>0</v>
      </c>
      <c r="R111" s="1509">
        <f>IF(スコア入力!R111="EB",重み_対象外!D111,U111)</f>
        <v>0.40000000000000008</v>
      </c>
      <c r="S111" s="1509">
        <f>IF(スコア入力!Y111="EB",重み_対象外!E111,V111)</f>
        <v>0</v>
      </c>
      <c r="T111" s="1460"/>
      <c r="U111" s="1610">
        <f t="shared" si="119"/>
        <v>0.40000000000000008</v>
      </c>
      <c r="V111" s="1610">
        <f t="shared" si="119"/>
        <v>0</v>
      </c>
      <c r="W111" s="1460"/>
      <c r="X111" s="1509">
        <f t="shared" si="73"/>
        <v>0.40000000000000008</v>
      </c>
      <c r="Y111" s="1509">
        <f t="shared" si="74"/>
        <v>0</v>
      </c>
      <c r="Z111" s="1542"/>
      <c r="AA111" s="1506">
        <f t="shared" si="92"/>
        <v>2</v>
      </c>
      <c r="AB111" s="1506" t="str">
        <f t="shared" si="103"/>
        <v xml:space="preserve"> Q3</v>
      </c>
      <c r="AC111" s="1506" t="str">
        <f t="shared" si="93"/>
        <v>まちなみ・景観への配慮</v>
      </c>
      <c r="AD111" s="1656">
        <f t="shared" si="94"/>
        <v>0.4</v>
      </c>
      <c r="AE111" s="1656">
        <f t="shared" si="95"/>
        <v>0.4</v>
      </c>
      <c r="AF111" s="1656">
        <f t="shared" si="96"/>
        <v>0.4</v>
      </c>
      <c r="AG111" s="1656">
        <f t="shared" si="97"/>
        <v>0.4</v>
      </c>
      <c r="AH111" s="1656">
        <f t="shared" si="98"/>
        <v>0.4</v>
      </c>
      <c r="AI111" s="1656">
        <f t="shared" si="99"/>
        <v>0.4</v>
      </c>
      <c r="AJ111" s="1656">
        <f t="shared" si="100"/>
        <v>0.4</v>
      </c>
      <c r="AK111" s="1668">
        <f t="shared" si="101"/>
        <v>0.4</v>
      </c>
      <c r="AL111" s="1656">
        <f t="shared" si="102"/>
        <v>0.4</v>
      </c>
      <c r="AM111" s="1656">
        <f t="shared" si="102"/>
        <v>0.4</v>
      </c>
      <c r="AN111" s="1658">
        <f t="shared" si="107"/>
        <v>0</v>
      </c>
      <c r="AO111" s="1656">
        <f t="shared" si="108"/>
        <v>0</v>
      </c>
      <c r="AP111" s="1656">
        <f t="shared" si="109"/>
        <v>0</v>
      </c>
      <c r="AQ111" s="1512"/>
      <c r="AR111" s="1541">
        <v>2</v>
      </c>
      <c r="AS111" s="1644" t="s">
        <v>319</v>
      </c>
      <c r="AT111" s="1687" t="s">
        <v>1399</v>
      </c>
      <c r="AU111" s="1611">
        <v>0.4</v>
      </c>
      <c r="AV111" s="1611">
        <v>0.4</v>
      </c>
      <c r="AW111" s="1611">
        <v>0.4</v>
      </c>
      <c r="AX111" s="1611">
        <v>0.4</v>
      </c>
      <c r="AY111" s="1611">
        <v>0.4</v>
      </c>
      <c r="AZ111" s="1611">
        <v>0.4</v>
      </c>
      <c r="BA111" s="1611">
        <v>0.4</v>
      </c>
      <c r="BB111" s="1983">
        <v>0.4</v>
      </c>
      <c r="BC111" s="1611">
        <v>0.4</v>
      </c>
      <c r="BD111" s="1611">
        <v>0.4</v>
      </c>
      <c r="BE111" s="1963"/>
      <c r="BF111" s="1611"/>
      <c r="BG111" s="1611"/>
      <c r="BH111"/>
      <c r="BI111" s="1541">
        <v>2</v>
      </c>
      <c r="BJ111" s="1644" t="s">
        <v>319</v>
      </c>
      <c r="BK111" s="1687" t="s">
        <v>1399</v>
      </c>
      <c r="BL111" s="1611">
        <v>0.4</v>
      </c>
      <c r="BM111" s="1611">
        <v>0.4</v>
      </c>
      <c r="BN111" s="1611">
        <v>0.4</v>
      </c>
      <c r="BO111" s="1611">
        <v>0.4</v>
      </c>
      <c r="BP111" s="1611">
        <v>0.4</v>
      </c>
      <c r="BQ111" s="1611">
        <v>0.4</v>
      </c>
      <c r="BR111" s="1611">
        <v>0.4</v>
      </c>
      <c r="BS111" s="1983">
        <v>0.4</v>
      </c>
      <c r="BT111" s="1611">
        <v>0.4</v>
      </c>
      <c r="BU111" s="1611">
        <v>0.4</v>
      </c>
      <c r="BV111" s="1963"/>
      <c r="BW111" s="1611"/>
      <c r="BX111" s="1611"/>
      <c r="BY111"/>
    </row>
    <row r="112" spans="1:77" s="1505" customFormat="1" ht="13.5" customHeight="1">
      <c r="A112"/>
      <c r="B112" s="1527">
        <f t="shared" si="116"/>
        <v>3</v>
      </c>
      <c r="C112" s="1528" t="str">
        <f t="shared" si="117"/>
        <v>地域性・アメニティへの配慮</v>
      </c>
      <c r="D112" s="1962">
        <f t="shared" si="120"/>
        <v>0.3</v>
      </c>
      <c r="E112" s="1643">
        <f t="shared" si="120"/>
        <v>0</v>
      </c>
      <c r="F112"/>
      <c r="G112" s="1643">
        <f t="shared" si="118"/>
        <v>0.3</v>
      </c>
      <c r="H112" s="1643">
        <f t="shared" si="118"/>
        <v>0</v>
      </c>
      <c r="I112" s="1625">
        <f>SUM(G113:G114)</f>
        <v>1</v>
      </c>
      <c r="J112" s="1625">
        <f>SUM(H113:H114)</f>
        <v>0</v>
      </c>
      <c r="K112" s="1625">
        <f>IF(スコア表示!X112=0,0,1)</f>
        <v>1</v>
      </c>
      <c r="L112" s="1625">
        <f>IF(スコア表示!AB112=0,0,1)</f>
        <v>0</v>
      </c>
      <c r="M112"/>
      <c r="N112" s="1607">
        <f t="shared" si="121"/>
        <v>0.3</v>
      </c>
      <c r="O112" s="1607">
        <f t="shared" si="121"/>
        <v>0</v>
      </c>
      <c r="P112" s="1610">
        <f>SUM(R113:R114)</f>
        <v>0.3</v>
      </c>
      <c r="Q112" s="1610">
        <f>SUM(S113:S114)</f>
        <v>0</v>
      </c>
      <c r="R112" s="1509">
        <f>IF(スコア入力!R112="EB",重み_対象外!D112,U112)</f>
        <v>0.3</v>
      </c>
      <c r="S112" s="1509">
        <f>IF(スコア入力!Y112="EB",重み_対象外!E112,V112)</f>
        <v>0</v>
      </c>
      <c r="T112" s="1460"/>
      <c r="U112" s="1507">
        <f>SUM(U113:U114)</f>
        <v>0.3</v>
      </c>
      <c r="V112" s="1507">
        <f>SUM(V113:V114)</f>
        <v>0</v>
      </c>
      <c r="W112" s="1460"/>
      <c r="X112" s="1509">
        <f t="shared" si="73"/>
        <v>0.3</v>
      </c>
      <c r="Y112" s="1509">
        <f t="shared" si="74"/>
        <v>0</v>
      </c>
      <c r="Z112" s="1542"/>
      <c r="AA112" s="1506">
        <f t="shared" si="92"/>
        <v>3</v>
      </c>
      <c r="AB112" s="1506" t="str">
        <f t="shared" si="103"/>
        <v xml:space="preserve"> Q3</v>
      </c>
      <c r="AC112" s="1506" t="str">
        <f t="shared" si="93"/>
        <v>地域性・アメニティへの配慮</v>
      </c>
      <c r="AD112" s="1656">
        <f t="shared" si="94"/>
        <v>0.3</v>
      </c>
      <c r="AE112" s="1656">
        <f t="shared" si="95"/>
        <v>0.3</v>
      </c>
      <c r="AF112" s="1656">
        <f t="shared" si="96"/>
        <v>0.3</v>
      </c>
      <c r="AG112" s="1656">
        <f t="shared" si="97"/>
        <v>0.3</v>
      </c>
      <c r="AH112" s="1656">
        <f t="shared" si="98"/>
        <v>0.3</v>
      </c>
      <c r="AI112" s="1656">
        <f t="shared" si="99"/>
        <v>0.3</v>
      </c>
      <c r="AJ112" s="1656">
        <f t="shared" si="100"/>
        <v>0.3</v>
      </c>
      <c r="AK112" s="1668">
        <f t="shared" si="101"/>
        <v>0.3</v>
      </c>
      <c r="AL112" s="1656">
        <f t="shared" si="102"/>
        <v>0.3</v>
      </c>
      <c r="AM112" s="1656">
        <f t="shared" si="102"/>
        <v>0.3</v>
      </c>
      <c r="AN112" s="1658">
        <f t="shared" si="107"/>
        <v>0</v>
      </c>
      <c r="AO112" s="1656">
        <f t="shared" si="108"/>
        <v>0</v>
      </c>
      <c r="AP112" s="1656">
        <f t="shared" si="109"/>
        <v>0</v>
      </c>
      <c r="AQ112" s="1512"/>
      <c r="AR112" s="1541">
        <v>3</v>
      </c>
      <c r="AS112" s="1644" t="s">
        <v>319</v>
      </c>
      <c r="AT112" s="1687" t="s">
        <v>1400</v>
      </c>
      <c r="AU112" s="1611">
        <v>0.3</v>
      </c>
      <c r="AV112" s="1611">
        <v>0.3</v>
      </c>
      <c r="AW112" s="1611">
        <v>0.3</v>
      </c>
      <c r="AX112" s="1611">
        <v>0.3</v>
      </c>
      <c r="AY112" s="1611">
        <v>0.3</v>
      </c>
      <c r="AZ112" s="1611">
        <v>0.3</v>
      </c>
      <c r="BA112" s="1611">
        <v>0.3</v>
      </c>
      <c r="BB112" s="1983">
        <v>0.3</v>
      </c>
      <c r="BC112" s="1611">
        <v>0.3</v>
      </c>
      <c r="BD112" s="1611">
        <v>0.3</v>
      </c>
      <c r="BE112" s="1963"/>
      <c r="BF112" s="1611"/>
      <c r="BG112" s="1611"/>
      <c r="BH112"/>
      <c r="BI112" s="1541">
        <v>3</v>
      </c>
      <c r="BJ112" s="1644" t="s">
        <v>319</v>
      </c>
      <c r="BK112" s="1687" t="s">
        <v>1400</v>
      </c>
      <c r="BL112" s="1611">
        <v>0.3</v>
      </c>
      <c r="BM112" s="1611">
        <v>0.3</v>
      </c>
      <c r="BN112" s="1611">
        <v>0.3</v>
      </c>
      <c r="BO112" s="1611">
        <v>0.3</v>
      </c>
      <c r="BP112" s="1611">
        <v>0.3</v>
      </c>
      <c r="BQ112" s="1611">
        <v>0.3</v>
      </c>
      <c r="BR112" s="1611">
        <v>0.3</v>
      </c>
      <c r="BS112" s="1983">
        <v>0.3</v>
      </c>
      <c r="BT112" s="1611">
        <v>0.3</v>
      </c>
      <c r="BU112" s="1611">
        <v>0.3</v>
      </c>
      <c r="BV112" s="1963"/>
      <c r="BW112" s="1611"/>
      <c r="BX112" s="1611"/>
      <c r="BY112"/>
    </row>
    <row r="113" spans="1:77" s="1505" customFormat="1" ht="13.5" customHeight="1">
      <c r="A113"/>
      <c r="B113" s="1517" t="str">
        <f t="shared" si="116"/>
        <v>3.1</v>
      </c>
      <c r="C113" s="1560" t="str">
        <f t="shared" si="117"/>
        <v>地域性への配慮、快適性の向上</v>
      </c>
      <c r="D113" s="1616">
        <f>IF(I$112=0,0,G113/I$112)</f>
        <v>0.5</v>
      </c>
      <c r="E113" s="1591">
        <f>IF(J$112=0,0,H113/J$112)</f>
        <v>0</v>
      </c>
      <c r="F113"/>
      <c r="G113" s="1591">
        <f t="shared" si="118"/>
        <v>0.5</v>
      </c>
      <c r="H113" s="1591">
        <f t="shared" si="118"/>
        <v>0</v>
      </c>
      <c r="I113" s="522"/>
      <c r="J113" s="1591"/>
      <c r="K113" s="522">
        <f>IF(スコア表示!X113=0,0,1)</f>
        <v>1</v>
      </c>
      <c r="L113" s="1516">
        <f>IF(スコア表示!AB113=0,0,1)</f>
        <v>0</v>
      </c>
      <c r="M113"/>
      <c r="N113" s="1613">
        <f>IF(P$112=0,0,R113/P$112)</f>
        <v>0.5</v>
      </c>
      <c r="O113" s="1613">
        <f>IF(Q$112=0,0,S113/Q$112)</f>
        <v>0</v>
      </c>
      <c r="P113" s="1624"/>
      <c r="Q113" s="1624"/>
      <c r="R113" s="1516">
        <f>IF(スコア入力!R113="EB",重み_対象外!D113,U113)</f>
        <v>0.15</v>
      </c>
      <c r="S113" s="1516">
        <f>IF(スコア入力!Y113="EB",重み_対象外!E113,V113)</f>
        <v>0</v>
      </c>
      <c r="T113" s="1460"/>
      <c r="U113" s="1514">
        <f>X$112*X113</f>
        <v>0.15</v>
      </c>
      <c r="V113" s="1514">
        <f>Y$112*Y113</f>
        <v>0</v>
      </c>
      <c r="W113" s="1460"/>
      <c r="X113" s="1516">
        <f t="shared" si="73"/>
        <v>0.5</v>
      </c>
      <c r="Y113" s="1516">
        <f t="shared" si="74"/>
        <v>0</v>
      </c>
      <c r="Z113" s="1542"/>
      <c r="AA113" s="1513" t="str">
        <f t="shared" si="92"/>
        <v>3.1</v>
      </c>
      <c r="AB113" s="1513" t="str">
        <f t="shared" si="103"/>
        <v xml:space="preserve"> Q3 3</v>
      </c>
      <c r="AC113" s="1513" t="str">
        <f t="shared" si="93"/>
        <v>地域性への配慮、快適性の向上</v>
      </c>
      <c r="AD113" s="1672">
        <f t="shared" si="94"/>
        <v>0.5</v>
      </c>
      <c r="AE113" s="1672">
        <f t="shared" si="95"/>
        <v>0.5</v>
      </c>
      <c r="AF113" s="1672">
        <f t="shared" si="96"/>
        <v>0.5</v>
      </c>
      <c r="AG113" s="1672">
        <f t="shared" si="97"/>
        <v>0.5</v>
      </c>
      <c r="AH113" s="1672">
        <f t="shared" si="98"/>
        <v>0.5</v>
      </c>
      <c r="AI113" s="1672">
        <f t="shared" si="99"/>
        <v>0.5</v>
      </c>
      <c r="AJ113" s="1672">
        <f t="shared" si="100"/>
        <v>0.5</v>
      </c>
      <c r="AK113" s="1672">
        <f t="shared" si="101"/>
        <v>0.5</v>
      </c>
      <c r="AL113" s="1672">
        <f t="shared" si="102"/>
        <v>0.5</v>
      </c>
      <c r="AM113" s="1672">
        <f t="shared" si="102"/>
        <v>0.5</v>
      </c>
      <c r="AN113" s="1673">
        <f t="shared" si="107"/>
        <v>0</v>
      </c>
      <c r="AO113" s="1672">
        <f t="shared" si="108"/>
        <v>0</v>
      </c>
      <c r="AP113" s="1672">
        <f t="shared" si="109"/>
        <v>0</v>
      </c>
      <c r="AQ113" s="1512"/>
      <c r="AR113" s="1547" t="s">
        <v>1402</v>
      </c>
      <c r="AS113" s="1593" t="s">
        <v>320</v>
      </c>
      <c r="AT113" s="1986" t="s">
        <v>1404</v>
      </c>
      <c r="AU113" s="1987">
        <v>0.5</v>
      </c>
      <c r="AV113" s="1987">
        <v>0.5</v>
      </c>
      <c r="AW113" s="1987">
        <v>0.5</v>
      </c>
      <c r="AX113" s="1987">
        <v>0.5</v>
      </c>
      <c r="AY113" s="1987">
        <v>0.5</v>
      </c>
      <c r="AZ113" s="1987">
        <v>0.5</v>
      </c>
      <c r="BA113" s="1987">
        <v>0.5</v>
      </c>
      <c r="BB113" s="1987">
        <v>0.5</v>
      </c>
      <c r="BC113" s="1987">
        <v>0.5</v>
      </c>
      <c r="BD113" s="1987">
        <v>0.5</v>
      </c>
      <c r="BE113" s="1988"/>
      <c r="BF113" s="1987"/>
      <c r="BG113" s="1987"/>
      <c r="BH113"/>
      <c r="BI113" s="1547" t="s">
        <v>1402</v>
      </c>
      <c r="BJ113" s="1593" t="s">
        <v>320</v>
      </c>
      <c r="BK113" s="1986" t="s">
        <v>1404</v>
      </c>
      <c r="BL113" s="1987">
        <v>0.5</v>
      </c>
      <c r="BM113" s="1987">
        <v>0.5</v>
      </c>
      <c r="BN113" s="1987">
        <v>0.5</v>
      </c>
      <c r="BO113" s="1987">
        <v>0.5</v>
      </c>
      <c r="BP113" s="1987">
        <v>0.5</v>
      </c>
      <c r="BQ113" s="1987">
        <v>0.5</v>
      </c>
      <c r="BR113" s="1987">
        <v>0.5</v>
      </c>
      <c r="BS113" s="1987">
        <v>0.5</v>
      </c>
      <c r="BT113" s="1987">
        <v>0.5</v>
      </c>
      <c r="BU113" s="1987">
        <v>0.5</v>
      </c>
      <c r="BV113" s="1988"/>
      <c r="BW113" s="1987"/>
      <c r="BX113" s="1987"/>
      <c r="BY113"/>
    </row>
    <row r="114" spans="1:77" s="1505" customFormat="1" ht="13.5" customHeight="1">
      <c r="A114"/>
      <c r="B114" s="1517" t="str">
        <f t="shared" si="116"/>
        <v>3.2</v>
      </c>
      <c r="C114" s="1560" t="str">
        <f t="shared" si="117"/>
        <v>敷地内温熱環境の向上</v>
      </c>
      <c r="D114" s="1616">
        <f>IF(I$112=0,0,G114/I$112)</f>
        <v>0.5</v>
      </c>
      <c r="E114" s="1591">
        <f>IF(J$112=0,0,H114/J$112)</f>
        <v>0</v>
      </c>
      <c r="F114"/>
      <c r="G114" s="1591">
        <f t="shared" si="118"/>
        <v>0.5</v>
      </c>
      <c r="H114" s="1591">
        <f t="shared" si="118"/>
        <v>0</v>
      </c>
      <c r="I114" s="522"/>
      <c r="J114" s="1591"/>
      <c r="K114" s="522">
        <f>IF(スコア表示!X114=0,0,1)</f>
        <v>1</v>
      </c>
      <c r="L114" s="1516">
        <f>IF(スコア表示!AB114=0,0,1)</f>
        <v>0</v>
      </c>
      <c r="M114"/>
      <c r="N114" s="1613">
        <f>IF(P$112=0,0,R114/P$112)</f>
        <v>0.5</v>
      </c>
      <c r="O114" s="1613">
        <f>IF(Q$112=0,0,S114/Q$112)</f>
        <v>0</v>
      </c>
      <c r="P114" s="1624"/>
      <c r="Q114" s="1624"/>
      <c r="R114" s="1516">
        <f>IF(スコア入力!R114="EB",重み_対象外!D114,U114)</f>
        <v>0.15</v>
      </c>
      <c r="S114" s="1516">
        <f>IF(スコア入力!Y114="EB",重み_対象外!E114,V114)</f>
        <v>0</v>
      </c>
      <c r="T114" s="1460"/>
      <c r="U114" s="1514">
        <f>X$112*X114</f>
        <v>0.15</v>
      </c>
      <c r="V114" s="1514">
        <f>Y$112*Y114</f>
        <v>0</v>
      </c>
      <c r="W114" s="1460"/>
      <c r="X114" s="1516">
        <f t="shared" si="73"/>
        <v>0.5</v>
      </c>
      <c r="Y114" s="1516">
        <f t="shared" si="74"/>
        <v>0</v>
      </c>
      <c r="Z114" s="1542"/>
      <c r="AA114" s="1513" t="str">
        <f t="shared" si="92"/>
        <v>3.2</v>
      </c>
      <c r="AB114" s="1513" t="str">
        <f t="shared" si="103"/>
        <v xml:space="preserve"> Q3 3</v>
      </c>
      <c r="AC114" s="1513" t="str">
        <f t="shared" si="93"/>
        <v>敷地内温熱環境の向上</v>
      </c>
      <c r="AD114" s="1672">
        <f t="shared" si="94"/>
        <v>0.5</v>
      </c>
      <c r="AE114" s="1672">
        <f t="shared" si="95"/>
        <v>0.5</v>
      </c>
      <c r="AF114" s="1672">
        <f t="shared" si="96"/>
        <v>0.5</v>
      </c>
      <c r="AG114" s="1672">
        <f t="shared" si="97"/>
        <v>0.5</v>
      </c>
      <c r="AH114" s="1672">
        <f t="shared" si="98"/>
        <v>0.5</v>
      </c>
      <c r="AI114" s="1672">
        <f t="shared" si="99"/>
        <v>0.5</v>
      </c>
      <c r="AJ114" s="1672">
        <f t="shared" si="100"/>
        <v>0.5</v>
      </c>
      <c r="AK114" s="1672">
        <f t="shared" si="101"/>
        <v>0.5</v>
      </c>
      <c r="AL114" s="1672">
        <f t="shared" si="102"/>
        <v>0.5</v>
      </c>
      <c r="AM114" s="1672">
        <f t="shared" si="102"/>
        <v>0.5</v>
      </c>
      <c r="AN114" s="1673">
        <f t="shared" si="107"/>
        <v>0</v>
      </c>
      <c r="AO114" s="1672">
        <f t="shared" si="108"/>
        <v>0</v>
      </c>
      <c r="AP114" s="1672">
        <f t="shared" si="109"/>
        <v>0</v>
      </c>
      <c r="AQ114" s="1512"/>
      <c r="AR114" s="1547" t="s">
        <v>1406</v>
      </c>
      <c r="AS114" s="1593" t="s">
        <v>320</v>
      </c>
      <c r="AT114" s="1986" t="s">
        <v>1408</v>
      </c>
      <c r="AU114" s="1987">
        <v>0.5</v>
      </c>
      <c r="AV114" s="1987">
        <v>0.5</v>
      </c>
      <c r="AW114" s="1987">
        <v>0.5</v>
      </c>
      <c r="AX114" s="1987">
        <v>0.5</v>
      </c>
      <c r="AY114" s="1987">
        <v>0.5</v>
      </c>
      <c r="AZ114" s="1987">
        <v>0.5</v>
      </c>
      <c r="BA114" s="1987">
        <v>0.5</v>
      </c>
      <c r="BB114" s="1987">
        <v>0.5</v>
      </c>
      <c r="BC114" s="1987">
        <v>0.5</v>
      </c>
      <c r="BD114" s="1987">
        <v>0.5</v>
      </c>
      <c r="BE114" s="1988"/>
      <c r="BF114" s="1987"/>
      <c r="BG114" s="1987"/>
      <c r="BH114"/>
      <c r="BI114" s="1547" t="s">
        <v>1406</v>
      </c>
      <c r="BJ114" s="1593" t="s">
        <v>320</v>
      </c>
      <c r="BK114" s="1986" t="s">
        <v>1408</v>
      </c>
      <c r="BL114" s="1987">
        <v>0.5</v>
      </c>
      <c r="BM114" s="1987">
        <v>0.5</v>
      </c>
      <c r="BN114" s="1987">
        <v>0.5</v>
      </c>
      <c r="BO114" s="1987">
        <v>0.5</v>
      </c>
      <c r="BP114" s="1987">
        <v>0.5</v>
      </c>
      <c r="BQ114" s="1987">
        <v>0.5</v>
      </c>
      <c r="BR114" s="1987">
        <v>0.5</v>
      </c>
      <c r="BS114" s="1987">
        <v>0.5</v>
      </c>
      <c r="BT114" s="1987">
        <v>0.5</v>
      </c>
      <c r="BU114" s="1987">
        <v>0.5</v>
      </c>
      <c r="BV114" s="1988"/>
      <c r="BW114" s="1987"/>
      <c r="BX114" s="1987"/>
      <c r="BY114"/>
    </row>
    <row r="115" spans="1:77" s="1505" customFormat="1" ht="13.5" hidden="1" customHeight="1">
      <c r="A115"/>
      <c r="B115" s="1563">
        <f t="shared" si="116"/>
        <v>0</v>
      </c>
      <c r="C115" s="1564">
        <f t="shared" si="117"/>
        <v>0</v>
      </c>
      <c r="D115" s="1962"/>
      <c r="E115" s="1643"/>
      <c r="F115"/>
      <c r="G115" s="1643">
        <f t="shared" si="118"/>
        <v>0</v>
      </c>
      <c r="H115" s="1643">
        <f t="shared" si="118"/>
        <v>0</v>
      </c>
      <c r="I115" s="1643"/>
      <c r="J115" s="1643"/>
      <c r="K115" s="1565">
        <f>IF(スコア表示!X115=0,0,1)</f>
        <v>0</v>
      </c>
      <c r="L115" s="1565">
        <f>IF(スコア表示!AB115=0,0,1)</f>
        <v>0</v>
      </c>
      <c r="M115"/>
      <c r="N115" s="1626"/>
      <c r="O115" s="1626"/>
      <c r="P115" s="1565"/>
      <c r="Q115" s="1565"/>
      <c r="R115" s="1565">
        <f>IF(スコア入力!R115="EB",重み_対象外!D115,U115)</f>
        <v>0</v>
      </c>
      <c r="S115" s="1565">
        <f>IF(スコア入力!Y115="EB",重み_対象外!E115,V115)</f>
        <v>0</v>
      </c>
      <c r="T115" s="1460"/>
      <c r="U115" s="1564"/>
      <c r="V115" s="1564"/>
      <c r="W115" s="1460"/>
      <c r="X115" s="1565">
        <f t="shared" si="73"/>
        <v>0</v>
      </c>
      <c r="Y115" s="1565">
        <f t="shared" si="74"/>
        <v>0</v>
      </c>
      <c r="Z115" s="1542"/>
      <c r="AA115" s="1566">
        <f t="shared" si="92"/>
        <v>0</v>
      </c>
      <c r="AB115" s="1566" t="str">
        <f t="shared" si="103"/>
        <v xml:space="preserve"> Q</v>
      </c>
      <c r="AC115" s="1566">
        <f t="shared" si="93"/>
        <v>0</v>
      </c>
      <c r="AD115" s="1675">
        <f t="shared" si="94"/>
        <v>0</v>
      </c>
      <c r="AE115" s="1675">
        <f t="shared" si="95"/>
        <v>0</v>
      </c>
      <c r="AF115" s="1675">
        <f t="shared" si="96"/>
        <v>0</v>
      </c>
      <c r="AG115" s="1675">
        <f t="shared" si="97"/>
        <v>0</v>
      </c>
      <c r="AH115" s="1675">
        <f t="shared" si="98"/>
        <v>0</v>
      </c>
      <c r="AI115" s="1675">
        <f t="shared" si="99"/>
        <v>0</v>
      </c>
      <c r="AJ115" s="1675">
        <f t="shared" si="100"/>
        <v>0</v>
      </c>
      <c r="AK115" s="1676">
        <f t="shared" si="101"/>
        <v>0</v>
      </c>
      <c r="AL115" s="1675">
        <f t="shared" si="102"/>
        <v>0</v>
      </c>
      <c r="AM115" s="1675">
        <f t="shared" si="102"/>
        <v>0</v>
      </c>
      <c r="AN115" s="1677">
        <f t="shared" si="107"/>
        <v>0</v>
      </c>
      <c r="AO115" s="1675">
        <f t="shared" si="108"/>
        <v>0</v>
      </c>
      <c r="AP115" s="1675">
        <f t="shared" si="109"/>
        <v>0</v>
      </c>
      <c r="AQ115" s="1512"/>
      <c r="AR115" s="1541"/>
      <c r="AS115" s="1644" t="s">
        <v>229</v>
      </c>
      <c r="AT115" s="1687"/>
      <c r="AU115" s="1611"/>
      <c r="AV115" s="1611"/>
      <c r="AW115" s="1611"/>
      <c r="AX115" s="1611"/>
      <c r="AY115" s="1611"/>
      <c r="AZ115" s="1611"/>
      <c r="BA115" s="1611"/>
      <c r="BB115" s="1983"/>
      <c r="BC115" s="1611"/>
      <c r="BD115" s="1611"/>
      <c r="BE115" s="1963"/>
      <c r="BF115" s="1611"/>
      <c r="BG115" s="1611"/>
      <c r="BH115"/>
      <c r="BI115" s="1541"/>
      <c r="BJ115" s="1644" t="s">
        <v>229</v>
      </c>
      <c r="BK115" s="1687"/>
      <c r="BL115" s="1611"/>
      <c r="BM115" s="1611"/>
      <c r="BN115" s="1611"/>
      <c r="BO115" s="1611"/>
      <c r="BP115" s="1611"/>
      <c r="BQ115" s="1611"/>
      <c r="BR115" s="1611"/>
      <c r="BS115" s="1983"/>
      <c r="BT115" s="1611"/>
      <c r="BU115" s="1611"/>
      <c r="BV115" s="1963"/>
      <c r="BW115" s="1611"/>
      <c r="BX115" s="1611"/>
      <c r="BY115"/>
    </row>
    <row r="116" spans="1:77" s="1496" customFormat="1" ht="13.5" customHeight="1">
      <c r="A116"/>
      <c r="B116" s="1486" t="str">
        <f t="shared" si="116"/>
        <v>LR</v>
      </c>
      <c r="C116" s="1487" t="str">
        <f t="shared" si="117"/>
        <v>建築物の環境負荷低減性</v>
      </c>
      <c r="D116" s="1947"/>
      <c r="E116" s="1948"/>
      <c r="F116"/>
      <c r="G116" s="1948" t="e">
        <f t="shared" si="118"/>
        <v>#VALUE!</v>
      </c>
      <c r="H116" s="1948">
        <f t="shared" si="118"/>
        <v>0</v>
      </c>
      <c r="I116" s="1948" t="e">
        <f>G117+G140+G159</f>
        <v>#VALUE!</v>
      </c>
      <c r="J116" s="1948">
        <f>H117+H140+H159</f>
        <v>0</v>
      </c>
      <c r="K116" s="1489" t="e">
        <f>IF(スコア表示!X116=0,0,1)</f>
        <v>#VALUE!</v>
      </c>
      <c r="L116" s="1489">
        <f>IF(スコア表示!AB116=0,0,1)</f>
        <v>0</v>
      </c>
      <c r="M116"/>
      <c r="N116" s="1605"/>
      <c r="O116" s="1605"/>
      <c r="P116" s="1489">
        <f>R117+R140+R159</f>
        <v>1</v>
      </c>
      <c r="Q116" s="1489">
        <f>S117+S140+S159</f>
        <v>0</v>
      </c>
      <c r="R116" s="1489">
        <f>IF(スコア入力!R116="EB",重み_対象外!D116,U116)</f>
        <v>0</v>
      </c>
      <c r="S116" s="1489">
        <f>IF(スコア入力!Y116="EB",重み_対象外!E116,V116)</f>
        <v>0</v>
      </c>
      <c r="T116" s="1460"/>
      <c r="U116" s="1652"/>
      <c r="V116" s="1652"/>
      <c r="W116" s="1460"/>
      <c r="X116" s="1489">
        <f t="shared" si="73"/>
        <v>0</v>
      </c>
      <c r="Y116" s="1489">
        <f t="shared" si="74"/>
        <v>0</v>
      </c>
      <c r="Z116" s="1490"/>
      <c r="AA116" s="1568" t="str">
        <f t="shared" ref="AA116:AA151" si="122">IF($AA$3=1,AR116,BI116)</f>
        <v>LR</v>
      </c>
      <c r="AB116" s="1568" t="str">
        <f t="shared" si="103"/>
        <v xml:space="preserve"> </v>
      </c>
      <c r="AC116" s="1568" t="str">
        <f t="shared" si="93"/>
        <v>建築物の環境負荷低減性</v>
      </c>
      <c r="AD116" s="1492">
        <f t="shared" si="94"/>
        <v>0</v>
      </c>
      <c r="AE116" s="1492">
        <f t="shared" si="95"/>
        <v>0</v>
      </c>
      <c r="AF116" s="1492">
        <f t="shared" si="96"/>
        <v>0</v>
      </c>
      <c r="AG116" s="1492">
        <f t="shared" si="97"/>
        <v>0</v>
      </c>
      <c r="AH116" s="1492">
        <f t="shared" si="98"/>
        <v>0</v>
      </c>
      <c r="AI116" s="1492">
        <f t="shared" si="99"/>
        <v>0</v>
      </c>
      <c r="AJ116" s="1492">
        <f t="shared" si="100"/>
        <v>0</v>
      </c>
      <c r="AK116" s="1493">
        <f t="shared" si="101"/>
        <v>0</v>
      </c>
      <c r="AL116" s="1492">
        <f t="shared" si="102"/>
        <v>0</v>
      </c>
      <c r="AM116" s="1492">
        <f t="shared" si="102"/>
        <v>0</v>
      </c>
      <c r="AN116" s="1494">
        <f t="shared" si="107"/>
        <v>0</v>
      </c>
      <c r="AO116" s="1678">
        <f t="shared" si="108"/>
        <v>0</v>
      </c>
      <c r="AP116" s="1678">
        <f t="shared" si="109"/>
        <v>0</v>
      </c>
      <c r="AQ116" s="1495"/>
      <c r="AR116" s="1949" t="s">
        <v>1409</v>
      </c>
      <c r="AS116" s="1945" t="s">
        <v>378</v>
      </c>
      <c r="AT116" s="1946" t="s">
        <v>379</v>
      </c>
      <c r="AU116" s="1951"/>
      <c r="AV116" s="1951"/>
      <c r="AW116" s="1951"/>
      <c r="AX116" s="1951"/>
      <c r="AY116" s="1951"/>
      <c r="AZ116" s="1951"/>
      <c r="BA116" s="1951"/>
      <c r="BB116" s="1952"/>
      <c r="BC116" s="1951"/>
      <c r="BD116" s="1951"/>
      <c r="BE116" s="1953"/>
      <c r="BF116" s="1954"/>
      <c r="BG116" s="1954"/>
      <c r="BH116"/>
      <c r="BI116" s="1949" t="s">
        <v>1409</v>
      </c>
      <c r="BJ116" s="1945" t="s">
        <v>378</v>
      </c>
      <c r="BK116" s="1946" t="s">
        <v>379</v>
      </c>
      <c r="BL116" s="1951"/>
      <c r="BM116" s="1951"/>
      <c r="BN116" s="1951"/>
      <c r="BO116" s="1951"/>
      <c r="BP116" s="1951"/>
      <c r="BQ116" s="1951"/>
      <c r="BR116" s="1951"/>
      <c r="BS116" s="1952"/>
      <c r="BT116" s="1951"/>
      <c r="BU116" s="1951"/>
      <c r="BV116" s="1953"/>
      <c r="BW116" s="1954"/>
      <c r="BX116" s="1954"/>
      <c r="BY116"/>
    </row>
    <row r="117" spans="1:77" s="1505" customFormat="1" ht="13.5" customHeight="1">
      <c r="A117"/>
      <c r="B117" s="1497" t="str">
        <f t="shared" si="116"/>
        <v>LR1</v>
      </c>
      <c r="C117" s="1497" t="str">
        <f t="shared" si="117"/>
        <v>エネルギー</v>
      </c>
      <c r="D117" s="1991" t="e">
        <f>IF(I$116=0,0,G117/I$116)</f>
        <v>#VALUE!</v>
      </c>
      <c r="E117" s="1957">
        <f>IF(J$116=0,0,H117/J$116)</f>
        <v>0</v>
      </c>
      <c r="F117"/>
      <c r="G117" s="1957">
        <f t="shared" si="118"/>
        <v>0.40000000000000008</v>
      </c>
      <c r="H117" s="1957">
        <f t="shared" si="118"/>
        <v>0</v>
      </c>
      <c r="I117" s="1957">
        <f>G118+G119+G124+G133</f>
        <v>1</v>
      </c>
      <c r="J117" s="1957">
        <f>H118+H119+H124+H133</f>
        <v>0</v>
      </c>
      <c r="K117" s="1500">
        <f>IF(スコア表示!X117=0,0,1)</f>
        <v>1</v>
      </c>
      <c r="L117" s="1500">
        <f>IF(スコア表示!AB117=0,0,1)</f>
        <v>0</v>
      </c>
      <c r="M117"/>
      <c r="N117" s="1631">
        <f>IF(P$116=0,0,R117/P$116)</f>
        <v>0.40000000000000008</v>
      </c>
      <c r="O117" s="1631">
        <f>IF(Q$116=0,0,S117/Q$116)</f>
        <v>0</v>
      </c>
      <c r="P117" s="1500">
        <f>R118+R119+R124+R133</f>
        <v>0.99554976855796973</v>
      </c>
      <c r="Q117" s="1500">
        <f>S118+S119+S124+S133</f>
        <v>0</v>
      </c>
      <c r="R117" s="1500">
        <f>IF(スコア入力!R117="EB",重み_対象外!D117,U117)</f>
        <v>0.40000000000000008</v>
      </c>
      <c r="S117" s="1500">
        <f>IF(スコア入力!Y117="EB",重み_対象外!E117,V117)</f>
        <v>0</v>
      </c>
      <c r="T117" s="1460"/>
      <c r="U117" s="1653">
        <f>X117</f>
        <v>0.40000000000000008</v>
      </c>
      <c r="V117" s="1653">
        <f>Y117</f>
        <v>0</v>
      </c>
      <c r="W117" s="1460"/>
      <c r="X117" s="1500">
        <f t="shared" si="73"/>
        <v>0.40000000000000008</v>
      </c>
      <c r="Y117" s="1500">
        <f t="shared" si="74"/>
        <v>0</v>
      </c>
      <c r="Z117" s="1540"/>
      <c r="AA117" s="1502" t="str">
        <f t="shared" si="122"/>
        <v>LR1</v>
      </c>
      <c r="AB117" s="1502" t="str">
        <f t="shared" ref="AB117:AB152" si="123">IF($AA$3=1,AS117,BJ117)</f>
        <v>LR</v>
      </c>
      <c r="AC117" s="1502" t="str">
        <f t="shared" si="93"/>
        <v>エネルギー</v>
      </c>
      <c r="AD117" s="1654">
        <f t="shared" si="94"/>
        <v>0.4</v>
      </c>
      <c r="AE117" s="1654">
        <f t="shared" si="95"/>
        <v>0.4</v>
      </c>
      <c r="AF117" s="1654">
        <f t="shared" si="96"/>
        <v>0.4</v>
      </c>
      <c r="AG117" s="1654">
        <f t="shared" si="97"/>
        <v>0.4</v>
      </c>
      <c r="AH117" s="1654">
        <f t="shared" si="98"/>
        <v>0.4</v>
      </c>
      <c r="AI117" s="1654">
        <f t="shared" si="99"/>
        <v>0.4</v>
      </c>
      <c r="AJ117" s="1654">
        <f t="shared" si="100"/>
        <v>0.4</v>
      </c>
      <c r="AK117" s="1654">
        <f t="shared" si="101"/>
        <v>0.4</v>
      </c>
      <c r="AL117" s="1654">
        <f t="shared" si="102"/>
        <v>0.4</v>
      </c>
      <c r="AM117" s="1654">
        <f t="shared" si="102"/>
        <v>0.4</v>
      </c>
      <c r="AN117" s="1655">
        <f t="shared" si="107"/>
        <v>0</v>
      </c>
      <c r="AO117" s="1654">
        <f t="shared" si="108"/>
        <v>0</v>
      </c>
      <c r="AP117" s="1654">
        <f t="shared" si="109"/>
        <v>0</v>
      </c>
      <c r="AQ117" s="1504"/>
      <c r="AR117" s="1497" t="s">
        <v>1410</v>
      </c>
      <c r="AS117" s="1959" t="s">
        <v>1412</v>
      </c>
      <c r="AT117" s="1958" t="s">
        <v>1414</v>
      </c>
      <c r="AU117" s="1960">
        <v>0.4</v>
      </c>
      <c r="AV117" s="1960">
        <v>0.4</v>
      </c>
      <c r="AW117" s="1960">
        <v>0.4</v>
      </c>
      <c r="AX117" s="1960">
        <v>0.4</v>
      </c>
      <c r="AY117" s="1960">
        <v>0.4</v>
      </c>
      <c r="AZ117" s="1960">
        <v>0.4</v>
      </c>
      <c r="BA117" s="1960">
        <v>0.4</v>
      </c>
      <c r="BB117" s="1960">
        <v>0.4</v>
      </c>
      <c r="BC117" s="1960">
        <v>0.4</v>
      </c>
      <c r="BD117" s="1960">
        <v>0.4</v>
      </c>
      <c r="BE117" s="1961"/>
      <c r="BF117" s="1960"/>
      <c r="BG117" s="1960"/>
      <c r="BH117"/>
      <c r="BI117" s="1497" t="s">
        <v>1410</v>
      </c>
      <c r="BJ117" s="1959" t="s">
        <v>1412</v>
      </c>
      <c r="BK117" s="1958" t="s">
        <v>1414</v>
      </c>
      <c r="BL117" s="1960">
        <v>0.4</v>
      </c>
      <c r="BM117" s="1960">
        <v>0.4</v>
      </c>
      <c r="BN117" s="1960">
        <v>0.4</v>
      </c>
      <c r="BO117" s="1960">
        <v>0.4</v>
      </c>
      <c r="BP117" s="1960">
        <v>0.4</v>
      </c>
      <c r="BQ117" s="1960">
        <v>0.4</v>
      </c>
      <c r="BR117" s="1960">
        <v>0.4</v>
      </c>
      <c r="BS117" s="1960">
        <v>0.4</v>
      </c>
      <c r="BT117" s="1960">
        <v>0.4</v>
      </c>
      <c r="BU117" s="1960">
        <v>0.4</v>
      </c>
      <c r="BV117" s="1961"/>
      <c r="BW117" s="1960"/>
      <c r="BX117" s="1960"/>
      <c r="BY117"/>
    </row>
    <row r="118" spans="1:77" s="1505" customFormat="1" ht="13.5" customHeight="1">
      <c r="A118"/>
      <c r="B118" s="1573">
        <f t="shared" si="116"/>
        <v>1</v>
      </c>
      <c r="C118" s="1541" t="str">
        <f t="shared" si="117"/>
        <v>建物外皮の熱負荷抑制</v>
      </c>
      <c r="D118" s="1962">
        <f>IF(I$117=0,0,G118/I$117)</f>
        <v>0.14844127688888098</v>
      </c>
      <c r="E118" s="1643">
        <f>IF(J$117=0,0,H118/J$117)</f>
        <v>0</v>
      </c>
      <c r="F118"/>
      <c r="G118" s="1643">
        <f t="shared" si="118"/>
        <v>0.14844127688888098</v>
      </c>
      <c r="H118" s="1643">
        <f t="shared" si="118"/>
        <v>0</v>
      </c>
      <c r="I118" s="1643"/>
      <c r="J118" s="1643"/>
      <c r="K118" s="1509">
        <f>IF(スコア表示!X118=0,0,1)</f>
        <v>1</v>
      </c>
      <c r="L118" s="1509">
        <f>IF(スコア表示!AB118=0,0,1)</f>
        <v>0</v>
      </c>
      <c r="M118"/>
      <c r="N118" s="1607">
        <f>IF(P$117=0,0,R118/P$117)</f>
        <v>0.14844127688888098</v>
      </c>
      <c r="O118" s="1607">
        <f>IF(Q$117=0,0,S118/Q$117)</f>
        <v>0</v>
      </c>
      <c r="P118" s="1509"/>
      <c r="Q118" s="1509"/>
      <c r="R118" s="1509">
        <f>IF(スコア入力!R118="EB",重み_対象外!D118,U118)</f>
        <v>0.14778067885117496</v>
      </c>
      <c r="S118" s="1509">
        <f>IF(スコア入力!Y118="EB",重み_対象外!E118,V118)</f>
        <v>0</v>
      </c>
      <c r="T118" s="1460"/>
      <c r="U118" s="1610">
        <f>X118</f>
        <v>0.14778067885117496</v>
      </c>
      <c r="V118" s="1610">
        <f>Y118</f>
        <v>0</v>
      </c>
      <c r="W118" s="1460"/>
      <c r="X118" s="1509">
        <f t="shared" si="73"/>
        <v>0.14778067885117496</v>
      </c>
      <c r="Y118" s="1509">
        <f t="shared" si="74"/>
        <v>0</v>
      </c>
      <c r="Z118" s="1542"/>
      <c r="AA118" s="1574">
        <f t="shared" si="122"/>
        <v>1</v>
      </c>
      <c r="AB118" s="1497">
        <v>1</v>
      </c>
      <c r="AC118" s="1680" t="s">
        <v>1687</v>
      </c>
      <c r="AD118" s="1665">
        <f t="shared" si="94"/>
        <v>0.2</v>
      </c>
      <c r="AE118" s="1665">
        <f t="shared" si="95"/>
        <v>0.2</v>
      </c>
      <c r="AF118" s="1665">
        <f t="shared" si="96"/>
        <v>0.2</v>
      </c>
      <c r="AG118" s="1665">
        <f t="shared" si="97"/>
        <v>0.2</v>
      </c>
      <c r="AH118" s="1665">
        <f t="shared" si="98"/>
        <v>0.2</v>
      </c>
      <c r="AI118" s="1665">
        <f t="shared" si="99"/>
        <v>0.2</v>
      </c>
      <c r="AJ118" s="1665">
        <f t="shared" si="100"/>
        <v>0.2</v>
      </c>
      <c r="AK118" s="1657">
        <f t="shared" si="101"/>
        <v>0.2</v>
      </c>
      <c r="AL118" s="1665">
        <f t="shared" si="102"/>
        <v>0</v>
      </c>
      <c r="AM118" s="1665">
        <f t="shared" si="102"/>
        <v>0.2</v>
      </c>
      <c r="AN118" s="1658">
        <f t="shared" si="107"/>
        <v>0</v>
      </c>
      <c r="AO118" s="1656">
        <f t="shared" si="108"/>
        <v>0</v>
      </c>
      <c r="AP118" s="1656">
        <f t="shared" si="109"/>
        <v>0</v>
      </c>
      <c r="AQ118" s="1512"/>
      <c r="AR118" s="1573">
        <v>1</v>
      </c>
      <c r="AS118" s="1497">
        <v>1</v>
      </c>
      <c r="AT118" s="1680" t="s">
        <v>1687</v>
      </c>
      <c r="AU118" s="1979">
        <v>0.2</v>
      </c>
      <c r="AV118" s="1979">
        <v>0.2</v>
      </c>
      <c r="AW118" s="1979">
        <v>0.2</v>
      </c>
      <c r="AX118" s="1979">
        <v>0.2</v>
      </c>
      <c r="AY118" s="1979">
        <v>0.2</v>
      </c>
      <c r="AZ118" s="1979">
        <v>0.2</v>
      </c>
      <c r="BA118" s="1979">
        <v>0.2</v>
      </c>
      <c r="BB118" s="1979">
        <v>0.2</v>
      </c>
      <c r="BC118" s="1979"/>
      <c r="BD118" s="1979">
        <v>0.2</v>
      </c>
      <c r="BE118" s="1963"/>
      <c r="BF118" s="1611"/>
      <c r="BG118" s="1611"/>
      <c r="BH118"/>
      <c r="BI118" s="1573">
        <v>1</v>
      </c>
      <c r="BJ118" s="1497">
        <v>1</v>
      </c>
      <c r="BK118" s="1680" t="s">
        <v>1687</v>
      </c>
      <c r="BL118" s="1979">
        <v>0.2</v>
      </c>
      <c r="BM118" s="1979">
        <v>0.2</v>
      </c>
      <c r="BN118" s="1979">
        <v>0.2</v>
      </c>
      <c r="BO118" s="1979">
        <v>0.2</v>
      </c>
      <c r="BP118" s="1979">
        <v>0.2</v>
      </c>
      <c r="BQ118" s="1979">
        <v>0.2</v>
      </c>
      <c r="BR118" s="1979">
        <v>0.2</v>
      </c>
      <c r="BS118" s="1979">
        <v>0.2</v>
      </c>
      <c r="BT118" s="1979"/>
      <c r="BU118" s="1979">
        <v>0.2</v>
      </c>
      <c r="BV118" s="1963"/>
      <c r="BW118" s="1611"/>
      <c r="BX118" s="1611"/>
      <c r="BY118"/>
    </row>
    <row r="119" spans="1:77" s="1505" customFormat="1" ht="13.5" customHeight="1">
      <c r="A119"/>
      <c r="B119" s="1541">
        <f t="shared" si="116"/>
        <v>2</v>
      </c>
      <c r="C119" s="1541" t="str">
        <f t="shared" si="117"/>
        <v>自然エネルギー利用</v>
      </c>
      <c r="D119" s="1962">
        <f>IF(I$117=0,0,G119/I$117)</f>
        <v>0.10700360595523577</v>
      </c>
      <c r="E119" s="1643">
        <f>IF(J$117=0,0,H119/J$117)</f>
        <v>0</v>
      </c>
      <c r="F119"/>
      <c r="G119" s="1643">
        <f>K119*N119</f>
        <v>0.10700360595523577</v>
      </c>
      <c r="H119" s="1643">
        <f t="shared" ref="H119" si="124">L119*O119</f>
        <v>0</v>
      </c>
      <c r="I119" s="1624">
        <f>SUM(G120:G121)</f>
        <v>1</v>
      </c>
      <c r="J119" s="1624">
        <f>SUM(H120:H121)</f>
        <v>0</v>
      </c>
      <c r="K119" s="1516">
        <f>IF(スコア表示!X119=0,0,1)</f>
        <v>1</v>
      </c>
      <c r="L119" s="1516">
        <f>IF(スコア表示!AB119=0,0,1)</f>
        <v>0</v>
      </c>
      <c r="M119"/>
      <c r="N119" s="1607">
        <f>IF(P$117=0,0,R119/P$117)</f>
        <v>0.10700360595523577</v>
      </c>
      <c r="O119" s="1607">
        <f>IF(Q$117=0,0,S119/Q$117)</f>
        <v>0</v>
      </c>
      <c r="P119" s="1624">
        <f>SUM(R120:R121)</f>
        <v>0.10652741514360316</v>
      </c>
      <c r="Q119" s="1624">
        <f>SUM(S120:S121)</f>
        <v>0</v>
      </c>
      <c r="R119" s="1509">
        <f>IF(スコア入力!R119="EB",重み_対象外!D119,U119)</f>
        <v>0.10652741514360316</v>
      </c>
      <c r="S119" s="1509">
        <f>IF(スコア入力!Y119="EB",重み_対象外!E119,V119)</f>
        <v>0</v>
      </c>
      <c r="T119" s="1460"/>
      <c r="U119" s="1507">
        <f>SUM(U120:U123)</f>
        <v>0.10652741514360316</v>
      </c>
      <c r="V119" s="1507">
        <f>SUM(V120:V123)</f>
        <v>0</v>
      </c>
      <c r="W119" s="1460"/>
      <c r="X119" s="1509">
        <f>SUMPRODUCT($AD$7:$AM$7,AD119:AM119)</f>
        <v>0.10652741514360314</v>
      </c>
      <c r="Y119" s="1679">
        <f t="shared" ref="Y119:Y121" si="125">(AN$7*AN119)+(AO$7*AO119)+(AP$7*AP119)</f>
        <v>0</v>
      </c>
      <c r="Z119" s="1542"/>
      <c r="AA119" s="1506">
        <f t="shared" si="122"/>
        <v>2</v>
      </c>
      <c r="AB119" s="1497">
        <v>2</v>
      </c>
      <c r="AC119" s="1680" t="s">
        <v>1688</v>
      </c>
      <c r="AD119" s="1665">
        <f t="shared" si="94"/>
        <v>0.1</v>
      </c>
      <c r="AE119" s="1665">
        <f t="shared" si="95"/>
        <v>0.1</v>
      </c>
      <c r="AF119" s="1665">
        <f t="shared" si="96"/>
        <v>0.1</v>
      </c>
      <c r="AG119" s="1665">
        <f t="shared" si="97"/>
        <v>0.1</v>
      </c>
      <c r="AH119" s="1665">
        <f t="shared" si="98"/>
        <v>0.1</v>
      </c>
      <c r="AI119" s="1665">
        <f t="shared" si="99"/>
        <v>0.1</v>
      </c>
      <c r="AJ119" s="1665">
        <f t="shared" si="100"/>
        <v>0.1</v>
      </c>
      <c r="AK119" s="1657">
        <f t="shared" si="101"/>
        <v>0.1</v>
      </c>
      <c r="AL119" s="1665">
        <f t="shared" si="102"/>
        <v>0.125</v>
      </c>
      <c r="AM119" s="1665">
        <f t="shared" si="102"/>
        <v>0.1</v>
      </c>
      <c r="AN119" s="1658">
        <f t="shared" si="107"/>
        <v>0</v>
      </c>
      <c r="AO119" s="1656">
        <f t="shared" si="108"/>
        <v>0</v>
      </c>
      <c r="AP119" s="1656">
        <f t="shared" si="109"/>
        <v>0</v>
      </c>
      <c r="AQ119" s="1512"/>
      <c r="AR119" s="1541">
        <v>2</v>
      </c>
      <c r="AS119" s="1497">
        <v>2</v>
      </c>
      <c r="AT119" s="1680" t="s">
        <v>1688</v>
      </c>
      <c r="AU119" s="1979">
        <v>0.1</v>
      </c>
      <c r="AV119" s="1979">
        <v>0.1</v>
      </c>
      <c r="AW119" s="1979">
        <v>0.1</v>
      </c>
      <c r="AX119" s="1979">
        <v>0.1</v>
      </c>
      <c r="AY119" s="1979">
        <v>0.1</v>
      </c>
      <c r="AZ119" s="1979">
        <v>0.1</v>
      </c>
      <c r="BA119" s="1979">
        <v>0.1</v>
      </c>
      <c r="BB119" s="1979">
        <v>0.1</v>
      </c>
      <c r="BC119" s="2250">
        <v>0.125</v>
      </c>
      <c r="BD119" s="1979">
        <v>0.1</v>
      </c>
      <c r="BE119" s="1963"/>
      <c r="BF119" s="1611"/>
      <c r="BG119" s="1611"/>
      <c r="BH119"/>
      <c r="BI119" s="1541">
        <v>2</v>
      </c>
      <c r="BJ119" s="1497">
        <v>2</v>
      </c>
      <c r="BK119" s="1680" t="s">
        <v>1688</v>
      </c>
      <c r="BL119" s="1979">
        <v>0.1</v>
      </c>
      <c r="BM119" s="1979">
        <v>0.1</v>
      </c>
      <c r="BN119" s="1979">
        <v>0.1</v>
      </c>
      <c r="BO119" s="1979">
        <v>0.1</v>
      </c>
      <c r="BP119" s="1979">
        <v>0.1</v>
      </c>
      <c r="BQ119" s="1979">
        <v>0.1</v>
      </c>
      <c r="BR119" s="1979">
        <v>0.1</v>
      </c>
      <c r="BS119" s="1979">
        <v>0.1</v>
      </c>
      <c r="BT119" s="2250">
        <v>0.125</v>
      </c>
      <c r="BU119" s="1979">
        <v>0.1</v>
      </c>
      <c r="BV119" s="1963"/>
      <c r="BW119" s="1611"/>
      <c r="BX119" s="1611"/>
      <c r="BY119"/>
    </row>
    <row r="120" spans="1:77" s="1505" customFormat="1" ht="13.5" customHeight="1">
      <c r="A120"/>
      <c r="B120" s="1541" t="str">
        <f t="shared" si="116"/>
        <v>2a</v>
      </c>
      <c r="C120" s="1541" t="str">
        <f t="shared" si="117"/>
        <v>小中学校・集合住宅</v>
      </c>
      <c r="D120" s="1962">
        <f>IF(I$124=0,0,G120/I$124)</f>
        <v>2.1333333333333333E-2</v>
      </c>
      <c r="E120" s="1643">
        <f>IF(J$124=0,0,H120/J$124)</f>
        <v>0</v>
      </c>
      <c r="F120"/>
      <c r="G120" s="1643">
        <f t="shared" ref="G120:G121" si="126">K120*N120</f>
        <v>2.0887728459530026E-2</v>
      </c>
      <c r="H120" s="1643">
        <f>L120*O120</f>
        <v>0</v>
      </c>
      <c r="I120" s="1643"/>
      <c r="J120" s="1643"/>
      <c r="K120" s="1509">
        <f>IF(スコア表示!X120=0,0,1)</f>
        <v>1</v>
      </c>
      <c r="L120" s="1509">
        <f>IF(スコア表示!AB120=0,0,1)</f>
        <v>0</v>
      </c>
      <c r="M120"/>
      <c r="N120" s="1607">
        <f>IF(P$119=0,0,R120/P$119)</f>
        <v>2.0887728459530026E-2</v>
      </c>
      <c r="O120" s="1607">
        <f>IF(Q$119=0,0,S120/Q$119)</f>
        <v>0</v>
      </c>
      <c r="P120" s="1509"/>
      <c r="Q120" s="1509"/>
      <c r="R120" s="1509">
        <f>IF(スコア入力!R120="EB",重み_対象外!D120,U120)</f>
        <v>2.2251157210152095E-3</v>
      </c>
      <c r="S120" s="1509">
        <f>IF(スコア入力!Y120="EB",重み_対象外!E120,V120)</f>
        <v>0</v>
      </c>
      <c r="T120" s="1460"/>
      <c r="U120" s="1514">
        <f>X119*X120</f>
        <v>2.2251157210152095E-3</v>
      </c>
      <c r="V120" s="1514">
        <f>Y119*Y120</f>
        <v>0</v>
      </c>
      <c r="W120" s="1460"/>
      <c r="X120" s="1509">
        <f>SUMPRODUCT($AD$7:$AM$7,AD120:AM120)</f>
        <v>2.0887728459530026E-2</v>
      </c>
      <c r="Y120" s="1509">
        <f>(AN$7*AN120)+(AO$7*AO120)+(AP$7*AP120)</f>
        <v>0</v>
      </c>
      <c r="Z120" s="1542"/>
      <c r="AA120" s="1547" t="s">
        <v>1707</v>
      </c>
      <c r="AB120" s="1497" t="s">
        <v>1710</v>
      </c>
      <c r="AC120" s="1680" t="s">
        <v>1293</v>
      </c>
      <c r="AD120" s="1636"/>
      <c r="AE120" s="1636"/>
      <c r="AF120" s="1636"/>
      <c r="AG120" s="1636"/>
      <c r="AH120" s="1636"/>
      <c r="AI120" s="1636"/>
      <c r="AJ120" s="1636">
        <v>1</v>
      </c>
      <c r="AK120" s="1636"/>
      <c r="AL120" s="1636"/>
      <c r="AM120" s="1636">
        <v>1</v>
      </c>
      <c r="AN120" s="1658">
        <f t="shared" si="107"/>
        <v>0</v>
      </c>
      <c r="AO120" s="1656">
        <f t="shared" si="108"/>
        <v>0</v>
      </c>
      <c r="AP120" s="1656">
        <f t="shared" si="109"/>
        <v>0</v>
      </c>
      <c r="AQ120" s="1512"/>
      <c r="AR120" s="1547" t="s">
        <v>1707</v>
      </c>
      <c r="AS120" s="1497" t="s">
        <v>1710</v>
      </c>
      <c r="AT120" s="1680" t="s">
        <v>1293</v>
      </c>
      <c r="AU120" s="1636"/>
      <c r="AV120" s="1636"/>
      <c r="AW120" s="1636"/>
      <c r="AX120" s="1636"/>
      <c r="AY120" s="1636"/>
      <c r="AZ120" s="1636"/>
      <c r="BA120" s="1636">
        <v>1</v>
      </c>
      <c r="BB120" s="1636"/>
      <c r="BC120" s="1636"/>
      <c r="BD120" s="1636">
        <v>1</v>
      </c>
      <c r="BE120" s="1963"/>
      <c r="BF120" s="1611"/>
      <c r="BG120" s="1611"/>
      <c r="BH120"/>
      <c r="BI120" s="1547" t="s">
        <v>1707</v>
      </c>
      <c r="BJ120" s="1497" t="s">
        <v>1710</v>
      </c>
      <c r="BK120" s="1680" t="s">
        <v>1293</v>
      </c>
      <c r="BL120" s="1636"/>
      <c r="BM120" s="1636"/>
      <c r="BN120" s="1636"/>
      <c r="BO120" s="1636"/>
      <c r="BP120" s="1636"/>
      <c r="BQ120" s="1636"/>
      <c r="BR120" s="1636">
        <v>1</v>
      </c>
      <c r="BS120" s="1636"/>
      <c r="BT120" s="1636"/>
      <c r="BU120" s="1636">
        <v>1</v>
      </c>
      <c r="BV120" s="1963"/>
      <c r="BW120" s="1611"/>
      <c r="BX120" s="1611"/>
      <c r="BY120"/>
    </row>
    <row r="121" spans="1:77" s="1505" customFormat="1" ht="13.5" customHeight="1">
      <c r="A121"/>
      <c r="B121" s="1541" t="str">
        <f t="shared" si="116"/>
        <v>2b</v>
      </c>
      <c r="C121" s="1541" t="str">
        <f t="shared" si="117"/>
        <v>上記以外</v>
      </c>
      <c r="D121" s="1962">
        <f>IF(I$124=0,0,G121/I$124)</f>
        <v>1</v>
      </c>
      <c r="E121" s="1643">
        <f>IF(J$124=0,0,H121/J$124)</f>
        <v>0</v>
      </c>
      <c r="F121"/>
      <c r="G121" s="1643">
        <f t="shared" si="126"/>
        <v>0.97911227154046998</v>
      </c>
      <c r="H121" s="1643">
        <f>L121*O121</f>
        <v>0</v>
      </c>
      <c r="I121" s="1643"/>
      <c r="J121" s="1643"/>
      <c r="K121" s="1509">
        <f>IF(スコア表示!X121=0,0,1)</f>
        <v>1</v>
      </c>
      <c r="L121" s="1509">
        <f>IF(スコア表示!AB121=0,0,1)</f>
        <v>0</v>
      </c>
      <c r="M121"/>
      <c r="N121" s="1607">
        <f>IF(P$119=0,0,R121/P$119)</f>
        <v>0.97911227154046998</v>
      </c>
      <c r="O121" s="1607">
        <f>IF(Q$119=0,0,S121/Q$119)</f>
        <v>0</v>
      </c>
      <c r="P121" s="1509"/>
      <c r="Q121" s="1509"/>
      <c r="R121" s="1509">
        <f>IF(スコア入力!R121="EB",重み_対象外!D121,U121)</f>
        <v>0.10430229942258795</v>
      </c>
      <c r="S121" s="1509">
        <f>IF(スコア入力!Y121="EB",重み_対象外!E121,V121)</f>
        <v>0</v>
      </c>
      <c r="T121" s="1460"/>
      <c r="U121" s="1514">
        <f>X119*X121</f>
        <v>0.10430229942258795</v>
      </c>
      <c r="V121" s="1514">
        <f>Y119*Y121</f>
        <v>0</v>
      </c>
      <c r="W121" s="1460"/>
      <c r="X121" s="1509">
        <f t="shared" ref="X121" si="127">SUMPRODUCT($AD$7:$AM$7,AD121:AM121)</f>
        <v>0.97911227154047009</v>
      </c>
      <c r="Y121" s="1509">
        <f t="shared" si="125"/>
        <v>0</v>
      </c>
      <c r="Z121" s="1542"/>
      <c r="AA121" s="1547" t="s">
        <v>1709</v>
      </c>
      <c r="AB121" s="1497" t="s">
        <v>1711</v>
      </c>
      <c r="AC121" s="1680" t="s">
        <v>1294</v>
      </c>
      <c r="AD121" s="1636">
        <v>1</v>
      </c>
      <c r="AE121" s="1636">
        <v>1</v>
      </c>
      <c r="AF121" s="1636">
        <v>1</v>
      </c>
      <c r="AG121" s="1636">
        <v>1</v>
      </c>
      <c r="AH121" s="1636">
        <v>1</v>
      </c>
      <c r="AI121" s="1636">
        <v>1</v>
      </c>
      <c r="AJ121" s="1636"/>
      <c r="AK121" s="1636">
        <v>1</v>
      </c>
      <c r="AL121" s="1636">
        <v>1</v>
      </c>
      <c r="AM121" s="1636"/>
      <c r="AN121" s="1658">
        <f t="shared" si="107"/>
        <v>0</v>
      </c>
      <c r="AO121" s="1656">
        <f t="shared" si="108"/>
        <v>0</v>
      </c>
      <c r="AP121" s="1656">
        <f t="shared" si="109"/>
        <v>0</v>
      </c>
      <c r="AQ121" s="1512"/>
      <c r="AR121" s="1547" t="s">
        <v>1709</v>
      </c>
      <c r="AS121" s="1497" t="s">
        <v>1711</v>
      </c>
      <c r="AT121" s="1680" t="s">
        <v>1294</v>
      </c>
      <c r="AU121" s="1636">
        <v>1</v>
      </c>
      <c r="AV121" s="1636">
        <v>1</v>
      </c>
      <c r="AW121" s="1636">
        <v>1</v>
      </c>
      <c r="AX121" s="1636">
        <v>1</v>
      </c>
      <c r="AY121" s="1636">
        <v>1</v>
      </c>
      <c r="AZ121" s="1636">
        <v>1</v>
      </c>
      <c r="BA121" s="1636"/>
      <c r="BB121" s="1636">
        <v>1</v>
      </c>
      <c r="BC121" s="1636">
        <v>1</v>
      </c>
      <c r="BD121" s="1636"/>
      <c r="BE121" s="1963"/>
      <c r="BF121" s="1611"/>
      <c r="BG121" s="1611"/>
      <c r="BH121"/>
      <c r="BI121" s="1547" t="s">
        <v>1709</v>
      </c>
      <c r="BJ121" s="1497" t="s">
        <v>1711</v>
      </c>
      <c r="BK121" s="1680" t="s">
        <v>1294</v>
      </c>
      <c r="BL121" s="1636">
        <v>1</v>
      </c>
      <c r="BM121" s="1636">
        <v>1</v>
      </c>
      <c r="BN121" s="1636">
        <v>1</v>
      </c>
      <c r="BO121" s="1636">
        <v>1</v>
      </c>
      <c r="BP121" s="1636">
        <v>1</v>
      </c>
      <c r="BQ121" s="1636">
        <v>1</v>
      </c>
      <c r="BR121" s="1636"/>
      <c r="BS121" s="1636">
        <v>1</v>
      </c>
      <c r="BT121" s="1636">
        <v>1</v>
      </c>
      <c r="BU121" s="1636"/>
      <c r="BV121" s="1963"/>
      <c r="BW121" s="1611"/>
      <c r="BX121" s="1611"/>
      <c r="BY121"/>
    </row>
    <row r="122" spans="1:77" ht="13.5" hidden="1" customHeight="1">
      <c r="B122" s="1547" t="str">
        <f t="shared" si="116"/>
        <v>2.1</v>
      </c>
      <c r="C122" s="1547" t="str">
        <f t="shared" si="117"/>
        <v>自然エネルギーの直接利用</v>
      </c>
      <c r="D122" s="1616">
        <f>IF(I$121=0,0,G122/I$121)</f>
        <v>0</v>
      </c>
      <c r="E122" s="1616">
        <f>IF(J$121=0,0,H122/J$121)</f>
        <v>0</v>
      </c>
      <c r="G122" s="1591">
        <f t="shared" si="118"/>
        <v>0</v>
      </c>
      <c r="H122" s="1591">
        <f t="shared" si="118"/>
        <v>0</v>
      </c>
      <c r="I122" s="1591"/>
      <c r="J122" s="1591"/>
      <c r="K122" s="1516">
        <f>IF(スコア表示!X122=0,0,1)</f>
        <v>0</v>
      </c>
      <c r="L122" s="1516">
        <f>IF(スコア表示!AB122=0,0,1)</f>
        <v>0</v>
      </c>
      <c r="N122" s="1613">
        <f>IF(P$121=0,0,R122/P$121)</f>
        <v>0</v>
      </c>
      <c r="O122" s="1613">
        <f>IF(Q$121=0,0,S122/Q$121)</f>
        <v>0</v>
      </c>
      <c r="P122" s="1516"/>
      <c r="Q122" s="1516"/>
      <c r="R122" s="1516">
        <f>IF(スコア入力!R122="EB",重み_対象外!D122,U122)</f>
        <v>0</v>
      </c>
      <c r="S122" s="1516">
        <f>IF(スコア入力!Y122="EB",重み_対象外!E122,V122)</f>
        <v>0</v>
      </c>
      <c r="T122" s="1460"/>
      <c r="U122" s="1514"/>
      <c r="V122" s="1514"/>
      <c r="W122" s="1460"/>
      <c r="X122" s="1516">
        <f t="shared" si="73"/>
        <v>0</v>
      </c>
      <c r="Y122" s="1516">
        <f t="shared" si="74"/>
        <v>0</v>
      </c>
      <c r="Z122" s="1544"/>
      <c r="AA122" s="1513" t="str">
        <f t="shared" si="122"/>
        <v>2.1</v>
      </c>
      <c r="AB122" s="1497" t="s">
        <v>1689</v>
      </c>
      <c r="AC122" s="1637" t="s">
        <v>689</v>
      </c>
      <c r="AD122" s="1659"/>
      <c r="AE122" s="1659"/>
      <c r="AF122" s="1659"/>
      <c r="AG122" s="1659"/>
      <c r="AH122" s="1659"/>
      <c r="AI122" s="1659"/>
      <c r="AJ122" s="1659"/>
      <c r="AK122" s="1659"/>
      <c r="AL122" s="1659"/>
      <c r="AM122" s="1659"/>
      <c r="AN122" s="1673">
        <f t="shared" si="107"/>
        <v>0</v>
      </c>
      <c r="AO122" s="1672">
        <f t="shared" si="108"/>
        <v>0</v>
      </c>
      <c r="AP122" s="1672">
        <f t="shared" si="109"/>
        <v>0</v>
      </c>
      <c r="AQ122" s="1578"/>
      <c r="AR122" s="1547" t="s">
        <v>1417</v>
      </c>
      <c r="AS122" s="1497" t="s">
        <v>1689</v>
      </c>
      <c r="AT122" s="1637" t="s">
        <v>689</v>
      </c>
      <c r="AU122" s="1523"/>
      <c r="AV122" s="1523"/>
      <c r="AW122" s="1523"/>
      <c r="AX122" s="1523"/>
      <c r="AY122" s="1523"/>
      <c r="AZ122" s="1523"/>
      <c r="BA122" s="1523"/>
      <c r="BB122" s="1523"/>
      <c r="BC122" s="1523"/>
      <c r="BD122" s="1523"/>
      <c r="BE122" s="1988"/>
      <c r="BF122" s="1987"/>
      <c r="BG122" s="1987"/>
      <c r="BI122" s="1547" t="s">
        <v>1417</v>
      </c>
      <c r="BJ122" s="1497" t="s">
        <v>1689</v>
      </c>
      <c r="BK122" s="1637"/>
      <c r="BL122" s="1523"/>
      <c r="BM122" s="1523"/>
      <c r="BN122" s="1523"/>
      <c r="BO122" s="1523"/>
      <c r="BP122" s="1523"/>
      <c r="BQ122" s="1523"/>
      <c r="BR122" s="1523"/>
      <c r="BS122" s="1523"/>
      <c r="BT122" s="1523"/>
      <c r="BU122" s="1523"/>
      <c r="BV122" s="1988"/>
      <c r="BW122" s="1987"/>
      <c r="BX122" s="1987"/>
    </row>
    <row r="123" spans="1:77" ht="13.5" hidden="1" customHeight="1">
      <c r="B123" s="1547" t="str">
        <f t="shared" si="116"/>
        <v>2.2</v>
      </c>
      <c r="C123" s="1547" t="str">
        <f t="shared" si="117"/>
        <v>自然エネルギーの変換利用</v>
      </c>
      <c r="D123" s="1616">
        <f>IF(I$121=0,0,G123/I$121)</f>
        <v>0</v>
      </c>
      <c r="E123" s="1616">
        <f>IF(J$121=0,0,H123/J$121)</f>
        <v>0</v>
      </c>
      <c r="G123" s="1591">
        <f t="shared" si="118"/>
        <v>0</v>
      </c>
      <c r="H123" s="1591">
        <f t="shared" si="118"/>
        <v>0</v>
      </c>
      <c r="I123" s="1591"/>
      <c r="J123" s="1591"/>
      <c r="K123" s="1516">
        <f>IF(スコア表示!X123=0,0,1)</f>
        <v>0</v>
      </c>
      <c r="L123" s="1516">
        <f>IF(スコア表示!AB123=0,0,1)</f>
        <v>0</v>
      </c>
      <c r="N123" s="1613">
        <f>IF(P$121=0,0,R123/P$121)</f>
        <v>0</v>
      </c>
      <c r="O123" s="1613">
        <f>IF(Q$121=0,0,S123/Q$121)</f>
        <v>0</v>
      </c>
      <c r="P123" s="1516"/>
      <c r="Q123" s="1516"/>
      <c r="R123" s="1516">
        <f>IF(スコア入力!R123="EB",重み_対象外!D123,U123)</f>
        <v>0</v>
      </c>
      <c r="S123" s="1516">
        <f>IF(スコア入力!Y123="EB",重み_対象外!E123,V123)</f>
        <v>0</v>
      </c>
      <c r="T123" s="1460"/>
      <c r="U123" s="1514"/>
      <c r="V123" s="1514"/>
      <c r="W123" s="1460"/>
      <c r="X123" s="1516">
        <f t="shared" si="73"/>
        <v>0</v>
      </c>
      <c r="Y123" s="1516">
        <f t="shared" si="74"/>
        <v>0</v>
      </c>
      <c r="Z123" s="1545"/>
      <c r="AA123" s="1513" t="str">
        <f t="shared" si="122"/>
        <v>2.2</v>
      </c>
      <c r="AB123" s="1497" t="s">
        <v>1690</v>
      </c>
      <c r="AC123" s="1637" t="s">
        <v>690</v>
      </c>
      <c r="AD123" s="1659">
        <f t="shared" si="94"/>
        <v>0</v>
      </c>
      <c r="AE123" s="1659">
        <f t="shared" si="95"/>
        <v>0</v>
      </c>
      <c r="AF123" s="1659">
        <f t="shared" si="96"/>
        <v>0</v>
      </c>
      <c r="AG123" s="1659">
        <f t="shared" si="97"/>
        <v>0</v>
      </c>
      <c r="AH123" s="1659">
        <f t="shared" si="98"/>
        <v>0</v>
      </c>
      <c r="AI123" s="1659">
        <f t="shared" si="99"/>
        <v>0</v>
      </c>
      <c r="AJ123" s="1659">
        <f t="shared" si="100"/>
        <v>0</v>
      </c>
      <c r="AK123" s="1661">
        <f t="shared" si="101"/>
        <v>0</v>
      </c>
      <c r="AL123" s="1659">
        <f t="shared" si="102"/>
        <v>0</v>
      </c>
      <c r="AM123" s="1659">
        <f t="shared" si="102"/>
        <v>0</v>
      </c>
      <c r="AN123" s="1673">
        <f t="shared" si="107"/>
        <v>0</v>
      </c>
      <c r="AO123" s="1672">
        <f t="shared" si="108"/>
        <v>0</v>
      </c>
      <c r="AP123" s="1672">
        <f t="shared" si="109"/>
        <v>0</v>
      </c>
      <c r="AQ123" s="1578"/>
      <c r="AR123" s="1547" t="s">
        <v>1419</v>
      </c>
      <c r="AS123" s="1497" t="s">
        <v>1690</v>
      </c>
      <c r="AT123" s="1637" t="s">
        <v>690</v>
      </c>
      <c r="AU123" s="1523"/>
      <c r="AV123" s="1523"/>
      <c r="AW123" s="1523"/>
      <c r="AX123" s="1523"/>
      <c r="AY123" s="1523"/>
      <c r="AZ123" s="1523"/>
      <c r="BA123" s="1523"/>
      <c r="BB123" s="1523"/>
      <c r="BC123" s="1523"/>
      <c r="BD123" s="1523"/>
      <c r="BE123" s="1988"/>
      <c r="BF123" s="1987"/>
      <c r="BG123" s="1987"/>
      <c r="BI123" s="1547" t="s">
        <v>1419</v>
      </c>
      <c r="BJ123" s="1497" t="s">
        <v>1690</v>
      </c>
      <c r="BK123" s="1637"/>
      <c r="BL123" s="1523"/>
      <c r="BM123" s="1523"/>
      <c r="BN123" s="1523"/>
      <c r="BO123" s="1523"/>
      <c r="BP123" s="1523"/>
      <c r="BQ123" s="1523"/>
      <c r="BR123" s="1523"/>
      <c r="BS123" s="1523"/>
      <c r="BT123" s="1523"/>
      <c r="BU123" s="1523"/>
      <c r="BV123" s="1988"/>
      <c r="BW123" s="1987"/>
      <c r="BX123" s="1987"/>
    </row>
    <row r="124" spans="1:77" s="1505" customFormat="1" ht="13.5" customHeight="1">
      <c r="A124"/>
      <c r="B124" s="1541">
        <f t="shared" si="116"/>
        <v>3</v>
      </c>
      <c r="C124" s="1541" t="str">
        <f t="shared" si="117"/>
        <v>設備システムの高効率化</v>
      </c>
      <c r="D124" s="1962">
        <f>IF(I$117=0,0,G124/I$117)</f>
        <v>0.53501802977617874</v>
      </c>
      <c r="E124" s="1643">
        <f>IF(J$117=0,0,H124/J$117)</f>
        <v>0</v>
      </c>
      <c r="F124"/>
      <c r="G124" s="1643">
        <f t="shared" si="118"/>
        <v>0.53501802977617874</v>
      </c>
      <c r="H124" s="1643">
        <f t="shared" si="118"/>
        <v>0</v>
      </c>
      <c r="I124" s="1624">
        <f>SUM(G125:G126)</f>
        <v>0.97911227154046998</v>
      </c>
      <c r="J124" s="1624">
        <f>SUM(H125:H126)</f>
        <v>0</v>
      </c>
      <c r="K124" s="1516">
        <f>IF(スコア表示!X124=0,0,1)</f>
        <v>1</v>
      </c>
      <c r="L124" s="1516">
        <f>IF(スコア表示!AB124=0,0,1)</f>
        <v>0</v>
      </c>
      <c r="M124"/>
      <c r="N124" s="1607">
        <f>IF(P$117=0,0,R124/P$117)</f>
        <v>0.53501802977617874</v>
      </c>
      <c r="O124" s="1607">
        <f>IF(Q$117=0,0,S124/Q$117)</f>
        <v>0</v>
      </c>
      <c r="P124" s="1624">
        <f>SUM(R125:R131)</f>
        <v>0.53263707571801566</v>
      </c>
      <c r="Q124" s="1624">
        <f>SUM(S125:S131)</f>
        <v>0</v>
      </c>
      <c r="R124" s="1509">
        <f>IF(スコア入力!R124="EB",重み_対象外!D124,U124)</f>
        <v>0.53263707571801566</v>
      </c>
      <c r="S124" s="1509">
        <f>IF(スコア入力!Y124="EB",重み_対象外!E124,V124)</f>
        <v>0</v>
      </c>
      <c r="T124" s="1460"/>
      <c r="U124" s="1507">
        <f>SUM(U125:U132)</f>
        <v>0.53263707571801566</v>
      </c>
      <c r="V124" s="1507">
        <f>SUM(V125:V132)</f>
        <v>0</v>
      </c>
      <c r="W124" s="1460"/>
      <c r="X124" s="1509">
        <f t="shared" si="73"/>
        <v>0.53263707571801566</v>
      </c>
      <c r="Y124" s="1679">
        <f t="shared" si="74"/>
        <v>0</v>
      </c>
      <c r="Z124" s="1542"/>
      <c r="AA124" s="1506">
        <f t="shared" si="122"/>
        <v>3</v>
      </c>
      <c r="AB124" s="1497">
        <v>3</v>
      </c>
      <c r="AC124" s="1680" t="s">
        <v>1691</v>
      </c>
      <c r="AD124" s="1665">
        <f t="shared" si="94"/>
        <v>0.5</v>
      </c>
      <c r="AE124" s="1665">
        <f t="shared" si="95"/>
        <v>0.5</v>
      </c>
      <c r="AF124" s="1665">
        <f t="shared" si="96"/>
        <v>0.5</v>
      </c>
      <c r="AG124" s="1665">
        <f t="shared" si="97"/>
        <v>0.5</v>
      </c>
      <c r="AH124" s="1665">
        <f t="shared" si="98"/>
        <v>0.5</v>
      </c>
      <c r="AI124" s="1665">
        <f t="shared" si="99"/>
        <v>0.5</v>
      </c>
      <c r="AJ124" s="1665">
        <f t="shared" si="100"/>
        <v>0.5</v>
      </c>
      <c r="AK124" s="1657">
        <f t="shared" si="101"/>
        <v>0.5</v>
      </c>
      <c r="AL124" s="1665">
        <f t="shared" si="102"/>
        <v>0.625</v>
      </c>
      <c r="AM124" s="1665">
        <f t="shared" si="102"/>
        <v>0.5</v>
      </c>
      <c r="AN124" s="1658">
        <f t="shared" si="107"/>
        <v>0</v>
      </c>
      <c r="AO124" s="1656">
        <f t="shared" si="108"/>
        <v>0</v>
      </c>
      <c r="AP124" s="1656">
        <f t="shared" si="109"/>
        <v>0</v>
      </c>
      <c r="AQ124" s="1512"/>
      <c r="AR124" s="1541">
        <v>3</v>
      </c>
      <c r="AS124" s="1497">
        <v>3</v>
      </c>
      <c r="AT124" s="1680" t="s">
        <v>1691</v>
      </c>
      <c r="AU124" s="1979">
        <v>0.5</v>
      </c>
      <c r="AV124" s="1979">
        <v>0.5</v>
      </c>
      <c r="AW124" s="1979">
        <v>0.5</v>
      </c>
      <c r="AX124" s="1979">
        <v>0.5</v>
      </c>
      <c r="AY124" s="1979">
        <v>0.5</v>
      </c>
      <c r="AZ124" s="1979">
        <v>0.5</v>
      </c>
      <c r="BA124" s="1979">
        <v>0.5</v>
      </c>
      <c r="BB124" s="1979">
        <v>0.5</v>
      </c>
      <c r="BC124" s="2250">
        <v>0.625</v>
      </c>
      <c r="BD124" s="1979">
        <v>0.5</v>
      </c>
      <c r="BE124" s="1963"/>
      <c r="BF124" s="1611"/>
      <c r="BG124" s="1611"/>
      <c r="BH124"/>
      <c r="BI124" s="1541">
        <v>3</v>
      </c>
      <c r="BJ124" s="1497">
        <v>3</v>
      </c>
      <c r="BK124" s="1680" t="s">
        <v>1691</v>
      </c>
      <c r="BL124" s="1979">
        <v>0.5</v>
      </c>
      <c r="BM124" s="1979">
        <v>0.5</v>
      </c>
      <c r="BN124" s="1979">
        <v>0.5</v>
      </c>
      <c r="BO124" s="1979">
        <v>0.5</v>
      </c>
      <c r="BP124" s="1979">
        <v>0.5</v>
      </c>
      <c r="BQ124" s="1979">
        <v>0.5</v>
      </c>
      <c r="BR124" s="1979">
        <v>0.5</v>
      </c>
      <c r="BS124" s="1979">
        <v>0.5</v>
      </c>
      <c r="BT124" s="2250">
        <v>0.625</v>
      </c>
      <c r="BU124" s="1979">
        <v>0.5</v>
      </c>
      <c r="BV124" s="1963"/>
      <c r="BW124" s="1611"/>
      <c r="BX124" s="1611"/>
      <c r="BY124"/>
    </row>
    <row r="125" spans="1:77" s="1505" customFormat="1" ht="13.5" customHeight="1">
      <c r="A125"/>
      <c r="B125" s="1541" t="str">
        <f t="shared" si="116"/>
        <v>3a.3b</v>
      </c>
      <c r="C125" s="1633" t="str">
        <f t="shared" si="117"/>
        <v>非住宅部分</v>
      </c>
      <c r="D125" s="1962">
        <f>IF(I$124=0,0,G125/I$124)</f>
        <v>1</v>
      </c>
      <c r="E125" s="1643">
        <f>IF(J$124=0,0,H125/J$124)</f>
        <v>0</v>
      </c>
      <c r="F125"/>
      <c r="G125" s="1643">
        <f t="shared" si="118"/>
        <v>0.97911227154046998</v>
      </c>
      <c r="H125" s="1643">
        <f t="shared" si="118"/>
        <v>0</v>
      </c>
      <c r="I125" s="1643"/>
      <c r="J125" s="1643"/>
      <c r="K125" s="1509">
        <f>IF(スコア表示!X125=0,0,1)</f>
        <v>1</v>
      </c>
      <c r="L125" s="1509">
        <f>IF(スコア表示!AB125=0,0,1)</f>
        <v>0</v>
      </c>
      <c r="M125"/>
      <c r="N125" s="1607">
        <f>IF(P$124=0,0,R125/P$124)</f>
        <v>0.97911227154046998</v>
      </c>
      <c r="O125" s="1607">
        <f>IF(Q$124=0,0,S125/Q$124)</f>
        <v>0</v>
      </c>
      <c r="P125" s="1509"/>
      <c r="Q125" s="1509"/>
      <c r="R125" s="1509">
        <f>IF(スコア入力!R125="EB",重み_対象外!D125,U125)</f>
        <v>0.52151149711293965</v>
      </c>
      <c r="S125" s="1509">
        <f>IF(スコア入力!Y125="EB",重み_対象外!E125,V125)</f>
        <v>0</v>
      </c>
      <c r="T125" s="1460"/>
      <c r="U125" s="1514">
        <f>X124*X125</f>
        <v>0.52151149711293965</v>
      </c>
      <c r="V125" s="1514">
        <f>Y124*Y125</f>
        <v>0</v>
      </c>
      <c r="W125" s="1460"/>
      <c r="X125" s="1509">
        <f t="shared" si="73"/>
        <v>0.97911227154047009</v>
      </c>
      <c r="Y125" s="1509">
        <f t="shared" si="74"/>
        <v>0</v>
      </c>
      <c r="Z125" s="1542"/>
      <c r="AA125" s="1506" t="str">
        <f t="shared" si="122"/>
        <v>3a.3b</v>
      </c>
      <c r="AB125" s="1497" t="s">
        <v>1692</v>
      </c>
      <c r="AC125" s="1680" t="s">
        <v>1693</v>
      </c>
      <c r="AD125" s="1665">
        <f t="shared" si="94"/>
        <v>1</v>
      </c>
      <c r="AE125" s="1665">
        <f t="shared" si="95"/>
        <v>1</v>
      </c>
      <c r="AF125" s="1665">
        <f t="shared" si="96"/>
        <v>1</v>
      </c>
      <c r="AG125" s="1665">
        <f t="shared" si="97"/>
        <v>1</v>
      </c>
      <c r="AH125" s="1665">
        <f t="shared" si="98"/>
        <v>1</v>
      </c>
      <c r="AI125" s="1665">
        <f t="shared" si="99"/>
        <v>1</v>
      </c>
      <c r="AJ125" s="1665">
        <f t="shared" si="100"/>
        <v>0</v>
      </c>
      <c r="AK125" s="1665">
        <f t="shared" si="101"/>
        <v>1</v>
      </c>
      <c r="AL125" s="1665">
        <f t="shared" si="102"/>
        <v>1</v>
      </c>
      <c r="AM125" s="1665">
        <f t="shared" si="102"/>
        <v>1</v>
      </c>
      <c r="AN125" s="1658">
        <f t="shared" si="107"/>
        <v>0</v>
      </c>
      <c r="AO125" s="1656">
        <f t="shared" si="108"/>
        <v>0</v>
      </c>
      <c r="AP125" s="1656">
        <f t="shared" si="109"/>
        <v>0</v>
      </c>
      <c r="AQ125" s="1512"/>
      <c r="AR125" s="1541" t="s">
        <v>1420</v>
      </c>
      <c r="AS125" s="1497" t="s">
        <v>1692</v>
      </c>
      <c r="AT125" s="1680" t="s">
        <v>1693</v>
      </c>
      <c r="AU125" s="1636">
        <v>1</v>
      </c>
      <c r="AV125" s="1636">
        <v>1</v>
      </c>
      <c r="AW125" s="1636">
        <v>1</v>
      </c>
      <c r="AX125" s="1636">
        <v>1</v>
      </c>
      <c r="AY125" s="1636">
        <v>1</v>
      </c>
      <c r="AZ125" s="1636">
        <v>1</v>
      </c>
      <c r="BA125" s="1636"/>
      <c r="BB125" s="1636">
        <v>1</v>
      </c>
      <c r="BC125" s="1636">
        <v>1</v>
      </c>
      <c r="BD125" s="1636">
        <v>1</v>
      </c>
      <c r="BE125" s="1963"/>
      <c r="BF125" s="1611"/>
      <c r="BG125" s="1611"/>
      <c r="BH125"/>
      <c r="BI125" s="1541" t="s">
        <v>1420</v>
      </c>
      <c r="BJ125" s="1497" t="s">
        <v>1692</v>
      </c>
      <c r="BK125" s="1680" t="s">
        <v>1693</v>
      </c>
      <c r="BL125" s="1636">
        <v>1</v>
      </c>
      <c r="BM125" s="1636">
        <v>1</v>
      </c>
      <c r="BN125" s="1636">
        <v>1</v>
      </c>
      <c r="BO125" s="1636">
        <v>1</v>
      </c>
      <c r="BP125" s="1636">
        <v>1</v>
      </c>
      <c r="BQ125" s="1636">
        <v>1</v>
      </c>
      <c r="BR125" s="1636"/>
      <c r="BS125" s="1636">
        <v>1</v>
      </c>
      <c r="BT125" s="1636">
        <v>1</v>
      </c>
      <c r="BU125" s="1636">
        <v>1</v>
      </c>
      <c r="BV125" s="1963"/>
      <c r="BW125" s="1611"/>
      <c r="BX125" s="1611"/>
      <c r="BY125"/>
    </row>
    <row r="126" spans="1:77" s="1505" customFormat="1" ht="13.5" customHeight="1">
      <c r="A126"/>
      <c r="B126" s="1541" t="str">
        <f t="shared" si="116"/>
        <v>3b.c</v>
      </c>
      <c r="C126" s="1633" t="str">
        <f t="shared" si="117"/>
        <v>集合住宅の評価</v>
      </c>
      <c r="D126" s="1962">
        <f>IF(I$124=0,0,G126/I$124)</f>
        <v>0</v>
      </c>
      <c r="E126" s="1643">
        <f>IF(J$124=0,0,H126/J$124)</f>
        <v>0</v>
      </c>
      <c r="F126"/>
      <c r="G126" s="1643">
        <f t="shared" si="118"/>
        <v>0</v>
      </c>
      <c r="H126" s="1643">
        <f t="shared" si="118"/>
        <v>0</v>
      </c>
      <c r="I126" s="1643">
        <f>G127+G128+G129+G130+G131</f>
        <v>0</v>
      </c>
      <c r="J126" s="1643">
        <f>H127+H128+H129+H130+H131</f>
        <v>0</v>
      </c>
      <c r="K126" s="1509">
        <f>IF(スコア表示!X126=0,0,1)</f>
        <v>0</v>
      </c>
      <c r="L126" s="1509">
        <f>IF(スコア表示!AB126=0,0,1)</f>
        <v>0</v>
      </c>
      <c r="M126"/>
      <c r="N126" s="1607">
        <f>IF(P$124=0,0,R126/P$124)</f>
        <v>2.0887728459530026E-2</v>
      </c>
      <c r="O126" s="1607">
        <f>IF(Q$124=0,0,S126/Q$124)</f>
        <v>0</v>
      </c>
      <c r="P126" s="1509"/>
      <c r="Q126" s="1509"/>
      <c r="R126" s="1509">
        <f>IF(スコア入力!R126="EB",重み_対象外!D126,U126)</f>
        <v>1.1125578605076045E-2</v>
      </c>
      <c r="S126" s="1509">
        <f>IF(スコア入力!Y126="EB",重み_対象外!E126,V126)</f>
        <v>0</v>
      </c>
      <c r="T126" s="1460"/>
      <c r="U126" s="1514">
        <f>X124*X126</f>
        <v>1.1125578605076045E-2</v>
      </c>
      <c r="V126" s="1514">
        <f>Y124*Y126</f>
        <v>0</v>
      </c>
      <c r="W126" s="1460"/>
      <c r="X126" s="1509">
        <f t="shared" si="73"/>
        <v>2.0887728459530026E-2</v>
      </c>
      <c r="Y126" s="1509">
        <f t="shared" si="74"/>
        <v>0</v>
      </c>
      <c r="Z126" s="1542"/>
      <c r="AA126" s="1506" t="str">
        <f t="shared" si="122"/>
        <v>3b.c</v>
      </c>
      <c r="AB126" s="1497" t="s">
        <v>1694</v>
      </c>
      <c r="AC126" s="1680" t="s">
        <v>1695</v>
      </c>
      <c r="AD126" s="1665">
        <f t="shared" si="94"/>
        <v>0</v>
      </c>
      <c r="AE126" s="1665">
        <f t="shared" si="95"/>
        <v>0</v>
      </c>
      <c r="AF126" s="1665">
        <f t="shared" si="96"/>
        <v>0</v>
      </c>
      <c r="AG126" s="1665">
        <f t="shared" si="97"/>
        <v>0</v>
      </c>
      <c r="AH126" s="1665">
        <f t="shared" si="98"/>
        <v>0</v>
      </c>
      <c r="AI126" s="1665">
        <f t="shared" si="99"/>
        <v>0</v>
      </c>
      <c r="AJ126" s="1665">
        <f t="shared" si="100"/>
        <v>1</v>
      </c>
      <c r="AK126" s="1665">
        <f t="shared" si="101"/>
        <v>0</v>
      </c>
      <c r="AL126" s="1665">
        <f t="shared" si="102"/>
        <v>0</v>
      </c>
      <c r="AM126" s="1665">
        <f t="shared" si="102"/>
        <v>0</v>
      </c>
      <c r="AN126" s="1658">
        <f t="shared" si="107"/>
        <v>0</v>
      </c>
      <c r="AO126" s="1656">
        <f t="shared" si="108"/>
        <v>0</v>
      </c>
      <c r="AP126" s="1656">
        <f t="shared" si="109"/>
        <v>0</v>
      </c>
      <c r="AQ126" s="1512"/>
      <c r="AR126" s="1541" t="s">
        <v>1423</v>
      </c>
      <c r="AS126" s="1497" t="s">
        <v>1694</v>
      </c>
      <c r="AT126" s="1680" t="s">
        <v>1695</v>
      </c>
      <c r="AU126" s="1575"/>
      <c r="AV126" s="1575"/>
      <c r="AW126" s="1575"/>
      <c r="AX126" s="1575"/>
      <c r="AY126" s="1575"/>
      <c r="AZ126" s="1575"/>
      <c r="BA126" s="1636">
        <v>1</v>
      </c>
      <c r="BB126" s="1575"/>
      <c r="BC126" s="1575"/>
      <c r="BD126" s="1636"/>
      <c r="BE126" s="1963"/>
      <c r="BF126" s="1611"/>
      <c r="BG126" s="1611"/>
      <c r="BH126"/>
      <c r="BI126" s="1541" t="s">
        <v>1423</v>
      </c>
      <c r="BJ126" s="1497" t="s">
        <v>1694</v>
      </c>
      <c r="BK126" s="1680" t="s">
        <v>1695</v>
      </c>
      <c r="BL126" s="1575"/>
      <c r="BM126" s="1575"/>
      <c r="BN126" s="1575"/>
      <c r="BO126" s="1575"/>
      <c r="BP126" s="1575"/>
      <c r="BQ126" s="1575"/>
      <c r="BR126" s="1636">
        <v>1</v>
      </c>
      <c r="BS126" s="1575"/>
      <c r="BT126" s="1575"/>
      <c r="BU126" s="1636"/>
      <c r="BV126" s="1963"/>
      <c r="BW126" s="1611"/>
      <c r="BX126" s="1611"/>
      <c r="BY126"/>
    </row>
    <row r="127" spans="1:77" ht="13.5" hidden="1" customHeight="1">
      <c r="B127" s="1513">
        <f t="shared" si="116"/>
        <v>3.1</v>
      </c>
      <c r="C127" s="1634" t="str">
        <f t="shared" si="117"/>
        <v>空調設備</v>
      </c>
      <c r="D127" s="1616">
        <f t="shared" ref="D127:E131" si="128">IF(I$126=0,0,G127/I$126)</f>
        <v>0</v>
      </c>
      <c r="E127" s="1591">
        <f t="shared" si="128"/>
        <v>0</v>
      </c>
      <c r="G127" s="1591">
        <f t="shared" si="118"/>
        <v>0</v>
      </c>
      <c r="H127" s="1591">
        <f t="shared" si="118"/>
        <v>0</v>
      </c>
      <c r="I127" s="1591"/>
      <c r="J127" s="1591"/>
      <c r="K127" s="1516">
        <f>IF(スコア表示!X127=0,0,1)</f>
        <v>0</v>
      </c>
      <c r="L127" s="1516">
        <f>IF(スコア表示!AB127=0,0,1)</f>
        <v>0</v>
      </c>
      <c r="N127" s="1613">
        <f t="shared" ref="N127:O131" si="129">IF(P$126=0,0,R127/P$126)</f>
        <v>0</v>
      </c>
      <c r="O127" s="1613">
        <f t="shared" si="129"/>
        <v>0</v>
      </c>
      <c r="P127" s="1516"/>
      <c r="Q127" s="1516"/>
      <c r="R127" s="1516">
        <f>IF(スコア入力!R127="EB",重み_対象外!D127,U127)</f>
        <v>0</v>
      </c>
      <c r="S127" s="1516">
        <f>IF(スコア入力!Y127="EB",重み_対象外!E127,V127)</f>
        <v>0</v>
      </c>
      <c r="T127" s="1460"/>
      <c r="U127" s="1514"/>
      <c r="V127" s="1514"/>
      <c r="W127" s="1460"/>
      <c r="X127" s="1516">
        <f t="shared" si="73"/>
        <v>0</v>
      </c>
      <c r="Y127" s="1516">
        <f t="shared" si="74"/>
        <v>0</v>
      </c>
      <c r="Z127" s="1544"/>
      <c r="AA127" s="1513">
        <f t="shared" si="122"/>
        <v>3.1</v>
      </c>
      <c r="AB127" s="1497">
        <v>3.1</v>
      </c>
      <c r="AC127" s="1637" t="s">
        <v>692</v>
      </c>
      <c r="AD127" s="1659">
        <f t="shared" ref="AD127:AD162" si="130">IF($AA$3=1,AU127,BL127)</f>
        <v>0</v>
      </c>
      <c r="AE127" s="1659">
        <f t="shared" ref="AE127:AE162" si="131">IF($AA$3=1,AV127,BM127)</f>
        <v>0</v>
      </c>
      <c r="AF127" s="1659">
        <f t="shared" ref="AF127:AF162" si="132">IF($AA$3=1,AW127,BN127)</f>
        <v>0</v>
      </c>
      <c r="AG127" s="1659">
        <f t="shared" ref="AG127:AG162" si="133">IF($AA$3=1,AX127,BO127)</f>
        <v>0</v>
      </c>
      <c r="AH127" s="1659">
        <f t="shared" ref="AH127:AH162" si="134">IF($AA$3=1,AY127,BP127)</f>
        <v>0</v>
      </c>
      <c r="AI127" s="1659">
        <f t="shared" ref="AI127:AJ162" si="135">IF($AA$3=1,AZ127,BQ127)</f>
        <v>0</v>
      </c>
      <c r="AJ127" s="1659">
        <f t="shared" si="135"/>
        <v>0</v>
      </c>
      <c r="AK127" s="1661">
        <f t="shared" ref="AK127:AK162" si="136">IF($AA$3=1,BB127,BS127)</f>
        <v>0</v>
      </c>
      <c r="AL127" s="1659">
        <f t="shared" ref="AL127:AM162" si="137">IF($AA$3=1,BC127,BT127)</f>
        <v>0</v>
      </c>
      <c r="AM127" s="1659">
        <f t="shared" si="137"/>
        <v>0</v>
      </c>
      <c r="AN127" s="1660">
        <f t="shared" si="107"/>
        <v>0</v>
      </c>
      <c r="AO127" s="1659">
        <f t="shared" si="108"/>
        <v>0</v>
      </c>
      <c r="AP127" s="1659">
        <f t="shared" si="109"/>
        <v>0</v>
      </c>
      <c r="AQ127" s="1520"/>
      <c r="AR127" s="1547">
        <v>3.1</v>
      </c>
      <c r="AS127" s="1497">
        <v>3.1</v>
      </c>
      <c r="AT127" s="1637" t="s">
        <v>692</v>
      </c>
      <c r="AU127" s="1523"/>
      <c r="AV127" s="1523"/>
      <c r="AW127" s="1523"/>
      <c r="AX127" s="1523"/>
      <c r="AY127" s="1523"/>
      <c r="AZ127" s="1523"/>
      <c r="BA127" s="1523"/>
      <c r="BB127" s="1524"/>
      <c r="BC127" s="1523"/>
      <c r="BD127" s="1523"/>
      <c r="BE127" s="1525"/>
      <c r="BF127" s="1523"/>
      <c r="BG127" s="1523"/>
      <c r="BI127" s="1547">
        <v>3.1</v>
      </c>
      <c r="BJ127" s="1497">
        <v>3.1</v>
      </c>
      <c r="BK127" s="1637" t="s">
        <v>692</v>
      </c>
      <c r="BL127" s="1523"/>
      <c r="BM127" s="1523"/>
      <c r="BN127" s="1523"/>
      <c r="BO127" s="1523"/>
      <c r="BP127" s="1523"/>
      <c r="BQ127" s="1523"/>
      <c r="BR127" s="1523"/>
      <c r="BS127" s="1524"/>
      <c r="BT127" s="1523"/>
      <c r="BU127" s="1523"/>
      <c r="BV127" s="1525"/>
      <c r="BW127" s="1523"/>
      <c r="BX127" s="1523"/>
    </row>
    <row r="128" spans="1:77" ht="13.5" hidden="1" customHeight="1">
      <c r="B128" s="1513">
        <f t="shared" si="116"/>
        <v>3.2</v>
      </c>
      <c r="C128" s="1634" t="str">
        <f t="shared" si="117"/>
        <v>換気設備</v>
      </c>
      <c r="D128" s="1616">
        <f t="shared" si="128"/>
        <v>0</v>
      </c>
      <c r="E128" s="1591">
        <f t="shared" si="128"/>
        <v>0</v>
      </c>
      <c r="G128" s="1591">
        <f t="shared" si="118"/>
        <v>0</v>
      </c>
      <c r="H128" s="1591">
        <f t="shared" si="118"/>
        <v>0</v>
      </c>
      <c r="I128" s="1591"/>
      <c r="J128" s="1591"/>
      <c r="K128" s="1516">
        <f>IF(スコア表示!X128=0,0,1)</f>
        <v>0</v>
      </c>
      <c r="L128" s="1516">
        <f>IF(スコア表示!AB128=0,0,1)</f>
        <v>0</v>
      </c>
      <c r="N128" s="1613">
        <f t="shared" si="129"/>
        <v>0</v>
      </c>
      <c r="O128" s="1613">
        <f t="shared" si="129"/>
        <v>0</v>
      </c>
      <c r="P128" s="1516"/>
      <c r="Q128" s="1516"/>
      <c r="R128" s="1516">
        <f>IF(スコア入力!R128="EB",重み_対象外!D128,U128)</f>
        <v>0</v>
      </c>
      <c r="S128" s="1516">
        <f>IF(スコア入力!Y128="EB",重み_対象外!E128,V128)</f>
        <v>0</v>
      </c>
      <c r="T128" s="1460"/>
      <c r="U128" s="1514"/>
      <c r="V128" s="1514"/>
      <c r="W128" s="1460"/>
      <c r="X128" s="1516">
        <f t="shared" si="73"/>
        <v>0</v>
      </c>
      <c r="Y128" s="1516">
        <f t="shared" si="74"/>
        <v>0</v>
      </c>
      <c r="Z128" s="1545"/>
      <c r="AA128" s="1513">
        <f t="shared" si="122"/>
        <v>3.2</v>
      </c>
      <c r="AB128" s="1497">
        <v>3.2</v>
      </c>
      <c r="AC128" s="1637" t="s">
        <v>693</v>
      </c>
      <c r="AD128" s="1659">
        <f t="shared" si="130"/>
        <v>0</v>
      </c>
      <c r="AE128" s="1659">
        <f t="shared" si="131"/>
        <v>0</v>
      </c>
      <c r="AF128" s="1659">
        <f t="shared" si="132"/>
        <v>0</v>
      </c>
      <c r="AG128" s="1659">
        <f t="shared" si="133"/>
        <v>0</v>
      </c>
      <c r="AH128" s="1659">
        <f t="shared" si="134"/>
        <v>0</v>
      </c>
      <c r="AI128" s="1659">
        <f t="shared" si="135"/>
        <v>0</v>
      </c>
      <c r="AJ128" s="1659">
        <f>IF($AA$3=1,BA128,BR128)</f>
        <v>0</v>
      </c>
      <c r="AK128" s="1661">
        <f t="shared" si="136"/>
        <v>0</v>
      </c>
      <c r="AL128" s="1659">
        <f t="shared" si="137"/>
        <v>0</v>
      </c>
      <c r="AM128" s="1659">
        <f t="shared" si="137"/>
        <v>0</v>
      </c>
      <c r="AN128" s="1660">
        <f t="shared" si="107"/>
        <v>0</v>
      </c>
      <c r="AO128" s="1659">
        <f t="shared" si="108"/>
        <v>0</v>
      </c>
      <c r="AP128" s="1659">
        <f t="shared" si="109"/>
        <v>0</v>
      </c>
      <c r="AQ128" s="1532"/>
      <c r="AR128" s="1547">
        <v>3.2</v>
      </c>
      <c r="AS128" s="1497">
        <v>3.2</v>
      </c>
      <c r="AT128" s="1637" t="s">
        <v>693</v>
      </c>
      <c r="AU128" s="1523"/>
      <c r="AV128" s="1523"/>
      <c r="AW128" s="1523"/>
      <c r="AX128" s="1523"/>
      <c r="AY128" s="1523"/>
      <c r="AZ128" s="1523"/>
      <c r="BA128" s="1523"/>
      <c r="BB128" s="1524"/>
      <c r="BC128" s="1523"/>
      <c r="BD128" s="1523"/>
      <c r="BE128" s="1525"/>
      <c r="BF128" s="1523"/>
      <c r="BG128" s="1523"/>
      <c r="BI128" s="1547">
        <v>3.2</v>
      </c>
      <c r="BJ128" s="1497">
        <v>3.2</v>
      </c>
      <c r="BK128" s="1637" t="s">
        <v>693</v>
      </c>
      <c r="BL128" s="1523"/>
      <c r="BM128" s="1523"/>
      <c r="BN128" s="1523"/>
      <c r="BO128" s="1523"/>
      <c r="BP128" s="1523"/>
      <c r="BQ128" s="1523"/>
      <c r="BR128" s="1523"/>
      <c r="BS128" s="1524"/>
      <c r="BT128" s="1523"/>
      <c r="BU128" s="1523"/>
      <c r="BV128" s="1525"/>
      <c r="BW128" s="1523"/>
      <c r="BX128" s="1523"/>
    </row>
    <row r="129" spans="1:77" ht="13.5" hidden="1" customHeight="1">
      <c r="B129" s="1513">
        <f t="shared" si="116"/>
        <v>3.3</v>
      </c>
      <c r="C129" s="1634" t="str">
        <f t="shared" si="117"/>
        <v>照明設備</v>
      </c>
      <c r="D129" s="1616">
        <f t="shared" si="128"/>
        <v>0</v>
      </c>
      <c r="E129" s="1591">
        <f t="shared" si="128"/>
        <v>0</v>
      </c>
      <c r="G129" s="1591">
        <f t="shared" si="118"/>
        <v>0</v>
      </c>
      <c r="H129" s="1591">
        <f t="shared" si="118"/>
        <v>0</v>
      </c>
      <c r="I129" s="1591"/>
      <c r="J129" s="1591"/>
      <c r="K129" s="1516">
        <f>IF(スコア表示!X129=0,0,1)</f>
        <v>0</v>
      </c>
      <c r="L129" s="1516">
        <f>IF(スコア表示!AB129=0,0,1)</f>
        <v>0</v>
      </c>
      <c r="N129" s="1613">
        <f t="shared" si="129"/>
        <v>0</v>
      </c>
      <c r="O129" s="1613">
        <f t="shared" si="129"/>
        <v>0</v>
      </c>
      <c r="P129" s="1516"/>
      <c r="Q129" s="1516"/>
      <c r="R129" s="1516">
        <f>IF(スコア入力!R129="EB",重み_対象外!D129,U129)</f>
        <v>0</v>
      </c>
      <c r="S129" s="1516">
        <f>IF(スコア入力!Y129="EB",重み_対象外!E129,V129)</f>
        <v>0</v>
      </c>
      <c r="T129" s="1460"/>
      <c r="U129" s="1514"/>
      <c r="V129" s="1514"/>
      <c r="W129" s="1460"/>
      <c r="X129" s="1516">
        <f t="shared" si="73"/>
        <v>0</v>
      </c>
      <c r="Y129" s="1516">
        <f t="shared" si="74"/>
        <v>0</v>
      </c>
      <c r="Z129" s="1544"/>
      <c r="AA129" s="1513">
        <f t="shared" si="122"/>
        <v>3.3</v>
      </c>
      <c r="AB129" s="1497">
        <v>3.3</v>
      </c>
      <c r="AC129" s="1637" t="s">
        <v>694</v>
      </c>
      <c r="AD129" s="1659">
        <f t="shared" si="130"/>
        <v>0</v>
      </c>
      <c r="AE129" s="1659">
        <f t="shared" si="131"/>
        <v>0</v>
      </c>
      <c r="AF129" s="1659">
        <f t="shared" si="132"/>
        <v>0</v>
      </c>
      <c r="AG129" s="1659">
        <f t="shared" si="133"/>
        <v>0</v>
      </c>
      <c r="AH129" s="1659">
        <f t="shared" si="134"/>
        <v>0</v>
      </c>
      <c r="AI129" s="1659">
        <f t="shared" si="135"/>
        <v>0</v>
      </c>
      <c r="AJ129" s="1659">
        <f t="shared" si="135"/>
        <v>0</v>
      </c>
      <c r="AK129" s="1661">
        <f t="shared" si="136"/>
        <v>0</v>
      </c>
      <c r="AL129" s="1659">
        <f t="shared" si="137"/>
        <v>0</v>
      </c>
      <c r="AM129" s="1659">
        <f t="shared" si="137"/>
        <v>0</v>
      </c>
      <c r="AN129" s="1660">
        <f t="shared" si="107"/>
        <v>0</v>
      </c>
      <c r="AO129" s="1659">
        <f t="shared" si="108"/>
        <v>0</v>
      </c>
      <c r="AP129" s="1659">
        <f t="shared" si="109"/>
        <v>0</v>
      </c>
      <c r="AQ129" s="1520"/>
      <c r="AR129" s="1547">
        <v>3.3</v>
      </c>
      <c r="AS129" s="1497">
        <v>3.3</v>
      </c>
      <c r="AT129" s="1637" t="s">
        <v>694</v>
      </c>
      <c r="AU129" s="1523"/>
      <c r="AV129" s="1523"/>
      <c r="AW129" s="1523"/>
      <c r="AX129" s="1523"/>
      <c r="AY129" s="1523"/>
      <c r="AZ129" s="1523"/>
      <c r="BA129" s="1523"/>
      <c r="BB129" s="1524"/>
      <c r="BC129" s="1523"/>
      <c r="BD129" s="1523"/>
      <c r="BE129" s="1525"/>
      <c r="BF129" s="1523"/>
      <c r="BG129" s="1523"/>
      <c r="BI129" s="1547">
        <v>3.3</v>
      </c>
      <c r="BJ129" s="1497">
        <v>3.3</v>
      </c>
      <c r="BK129" s="1637" t="s">
        <v>694</v>
      </c>
      <c r="BL129" s="1523"/>
      <c r="BM129" s="1523"/>
      <c r="BN129" s="1523"/>
      <c r="BO129" s="1523"/>
      <c r="BP129" s="1523"/>
      <c r="BQ129" s="1523"/>
      <c r="BR129" s="1523"/>
      <c r="BS129" s="1524"/>
      <c r="BT129" s="1523"/>
      <c r="BU129" s="1523"/>
      <c r="BV129" s="1525"/>
      <c r="BW129" s="1523"/>
      <c r="BX129" s="1523"/>
    </row>
    <row r="130" spans="1:77" ht="13.5" hidden="1" customHeight="1">
      <c r="B130" s="1576">
        <f t="shared" si="116"/>
        <v>3.4</v>
      </c>
      <c r="C130" s="1634" t="str">
        <f t="shared" si="117"/>
        <v>給湯設備</v>
      </c>
      <c r="D130" s="1616">
        <f t="shared" si="128"/>
        <v>0</v>
      </c>
      <c r="E130" s="1591">
        <f t="shared" si="128"/>
        <v>0</v>
      </c>
      <c r="G130" s="1591">
        <f t="shared" si="118"/>
        <v>0</v>
      </c>
      <c r="H130" s="1591">
        <f t="shared" si="118"/>
        <v>0</v>
      </c>
      <c r="I130" s="1591"/>
      <c r="J130" s="1591"/>
      <c r="K130" s="1516">
        <f>IF(スコア表示!X130=0,0,1)</f>
        <v>0</v>
      </c>
      <c r="L130" s="1516">
        <f>IF(スコア表示!AB130=0,0,1)</f>
        <v>0</v>
      </c>
      <c r="N130" s="1613">
        <f t="shared" si="129"/>
        <v>0</v>
      </c>
      <c r="O130" s="1613">
        <f t="shared" si="129"/>
        <v>0</v>
      </c>
      <c r="P130" s="1516"/>
      <c r="Q130" s="1516"/>
      <c r="R130" s="1516">
        <f>IF(スコア入力!R130="EB",重み_対象外!D130,U130)</f>
        <v>0</v>
      </c>
      <c r="S130" s="1516">
        <f>IF(スコア入力!Y130="EB",重み_対象外!E130,V130)</f>
        <v>0</v>
      </c>
      <c r="T130" s="1460"/>
      <c r="U130" s="1514"/>
      <c r="V130" s="1514"/>
      <c r="W130" s="1460"/>
      <c r="X130" s="1516">
        <f t="shared" si="73"/>
        <v>0</v>
      </c>
      <c r="Y130" s="1516">
        <f t="shared" si="74"/>
        <v>0</v>
      </c>
      <c r="Z130" s="1545"/>
      <c r="AA130" s="1576">
        <f t="shared" si="122"/>
        <v>3.4</v>
      </c>
      <c r="AB130" s="1497">
        <v>3.4</v>
      </c>
      <c r="AC130" s="1637" t="s">
        <v>324</v>
      </c>
      <c r="AD130" s="1659">
        <f t="shared" si="130"/>
        <v>0</v>
      </c>
      <c r="AE130" s="1659">
        <f t="shared" si="131"/>
        <v>0</v>
      </c>
      <c r="AF130" s="1659">
        <f t="shared" si="132"/>
        <v>0</v>
      </c>
      <c r="AG130" s="1659">
        <f t="shared" si="133"/>
        <v>0</v>
      </c>
      <c r="AH130" s="1659">
        <f t="shared" si="134"/>
        <v>0</v>
      </c>
      <c r="AI130" s="1659">
        <f t="shared" si="135"/>
        <v>0</v>
      </c>
      <c r="AJ130" s="1659">
        <f t="shared" si="135"/>
        <v>0</v>
      </c>
      <c r="AK130" s="1661">
        <f t="shared" si="136"/>
        <v>0</v>
      </c>
      <c r="AL130" s="1659">
        <f t="shared" si="137"/>
        <v>0</v>
      </c>
      <c r="AM130" s="1659">
        <f t="shared" si="137"/>
        <v>0</v>
      </c>
      <c r="AN130" s="1660">
        <f t="shared" ref="AN130:AN164" si="138">IF($AA$3=1,BE130,BV130)</f>
        <v>0</v>
      </c>
      <c r="AO130" s="1659">
        <f t="shared" ref="AO130:AO164" si="139">IF($AA$3=1,BF130,BW130)</f>
        <v>0</v>
      </c>
      <c r="AP130" s="1659"/>
      <c r="AQ130" s="1532"/>
      <c r="AR130" s="1992">
        <v>3.4</v>
      </c>
      <c r="AS130" s="1497">
        <v>3.4</v>
      </c>
      <c r="AT130" s="1637" t="s">
        <v>324</v>
      </c>
      <c r="AU130" s="1523"/>
      <c r="AV130" s="1523"/>
      <c r="AW130" s="1523"/>
      <c r="AX130" s="1523"/>
      <c r="AY130" s="1523"/>
      <c r="AZ130" s="1523"/>
      <c r="BA130" s="1523"/>
      <c r="BB130" s="1524"/>
      <c r="BC130" s="1523"/>
      <c r="BD130" s="1523"/>
      <c r="BE130" s="1525"/>
      <c r="BF130" s="1523"/>
      <c r="BG130" s="1523"/>
      <c r="BI130" s="1992">
        <v>3.4</v>
      </c>
      <c r="BJ130" s="1497">
        <v>3.4</v>
      </c>
      <c r="BK130" s="1637" t="s">
        <v>324</v>
      </c>
      <c r="BL130" s="1523"/>
      <c r="BM130" s="1523"/>
      <c r="BN130" s="1523"/>
      <c r="BO130" s="1523"/>
      <c r="BP130" s="1523"/>
      <c r="BQ130" s="1523"/>
      <c r="BR130" s="1523"/>
      <c r="BS130" s="1524"/>
      <c r="BT130" s="1523"/>
      <c r="BU130" s="1523"/>
      <c r="BV130" s="1525"/>
      <c r="BW130" s="1523"/>
      <c r="BX130" s="1523"/>
    </row>
    <row r="131" spans="1:77" ht="13.5" hidden="1" customHeight="1">
      <c r="B131" s="1576">
        <f t="shared" si="116"/>
        <v>3.5</v>
      </c>
      <c r="C131" s="1634" t="str">
        <f t="shared" si="117"/>
        <v>昇降機設備</v>
      </c>
      <c r="D131" s="1616">
        <f t="shared" si="128"/>
        <v>0</v>
      </c>
      <c r="E131" s="1591">
        <f t="shared" si="128"/>
        <v>0</v>
      </c>
      <c r="G131" s="1591">
        <f t="shared" si="118"/>
        <v>0</v>
      </c>
      <c r="H131" s="1591">
        <f t="shared" si="118"/>
        <v>0</v>
      </c>
      <c r="I131" s="1591"/>
      <c r="J131" s="1591"/>
      <c r="K131" s="1516">
        <f>IF(スコア表示!X131=0,0,1)</f>
        <v>0</v>
      </c>
      <c r="L131" s="1516">
        <f>IF(スコア表示!AB131=0,0,1)</f>
        <v>0</v>
      </c>
      <c r="N131" s="1613">
        <f t="shared" si="129"/>
        <v>0</v>
      </c>
      <c r="O131" s="1613">
        <f t="shared" si="129"/>
        <v>0</v>
      </c>
      <c r="P131" s="1516"/>
      <c r="Q131" s="1516"/>
      <c r="R131" s="1516">
        <f>IF(スコア入力!R131="EB",重み_対象外!D131,U131)</f>
        <v>0</v>
      </c>
      <c r="S131" s="1516">
        <f>IF(スコア入力!Y131="EB",重み_対象外!E131,V131)</f>
        <v>0</v>
      </c>
      <c r="T131" s="1460"/>
      <c r="U131" s="1514"/>
      <c r="V131" s="1514"/>
      <c r="W131" s="1460"/>
      <c r="X131" s="1516">
        <f t="shared" si="73"/>
        <v>0</v>
      </c>
      <c r="Y131" s="1516">
        <f t="shared" si="74"/>
        <v>0</v>
      </c>
      <c r="Z131" s="1545"/>
      <c r="AA131" s="1576">
        <f t="shared" si="122"/>
        <v>3.5</v>
      </c>
      <c r="AB131" s="1497">
        <v>3.5</v>
      </c>
      <c r="AC131" s="1637" t="s">
        <v>695</v>
      </c>
      <c r="AD131" s="1659">
        <f t="shared" si="130"/>
        <v>0</v>
      </c>
      <c r="AE131" s="1659">
        <f t="shared" si="131"/>
        <v>0</v>
      </c>
      <c r="AF131" s="1659">
        <f t="shared" si="132"/>
        <v>0</v>
      </c>
      <c r="AG131" s="1659">
        <f t="shared" si="133"/>
        <v>0</v>
      </c>
      <c r="AH131" s="1659">
        <f t="shared" si="134"/>
        <v>0</v>
      </c>
      <c r="AI131" s="1659">
        <f t="shared" si="135"/>
        <v>0</v>
      </c>
      <c r="AJ131" s="1659">
        <f t="shared" si="135"/>
        <v>0</v>
      </c>
      <c r="AK131" s="1661">
        <f t="shared" si="136"/>
        <v>0</v>
      </c>
      <c r="AL131" s="1659">
        <f t="shared" si="137"/>
        <v>0</v>
      </c>
      <c r="AM131" s="1659">
        <f t="shared" si="137"/>
        <v>0</v>
      </c>
      <c r="AN131" s="1660">
        <f t="shared" si="138"/>
        <v>0</v>
      </c>
      <c r="AO131" s="1659">
        <f t="shared" si="139"/>
        <v>0</v>
      </c>
      <c r="AP131" s="1659">
        <f t="shared" ref="AP131:AP164" si="140">IF($AA$3=1,BG131,BX131)</f>
        <v>0</v>
      </c>
      <c r="AQ131" s="1532"/>
      <c r="AR131" s="1992">
        <v>3.5</v>
      </c>
      <c r="AS131" s="1497">
        <v>3.5</v>
      </c>
      <c r="AT131" s="1637" t="s">
        <v>695</v>
      </c>
      <c r="AU131" s="1523"/>
      <c r="AV131" s="1523"/>
      <c r="AW131" s="1523"/>
      <c r="AX131" s="1523"/>
      <c r="AY131" s="1523"/>
      <c r="AZ131" s="1523"/>
      <c r="BA131" s="1523"/>
      <c r="BB131" s="1524"/>
      <c r="BC131" s="1523"/>
      <c r="BD131" s="1523"/>
      <c r="BE131" s="1525"/>
      <c r="BF131" s="1523"/>
      <c r="BG131" s="1523"/>
      <c r="BI131" s="1992">
        <v>3.5</v>
      </c>
      <c r="BJ131" s="1497">
        <v>3.5</v>
      </c>
      <c r="BK131" s="1637" t="s">
        <v>695</v>
      </c>
      <c r="BL131" s="1523"/>
      <c r="BM131" s="1523"/>
      <c r="BN131" s="1523"/>
      <c r="BO131" s="1523"/>
      <c r="BP131" s="1523"/>
      <c r="BQ131" s="1523"/>
      <c r="BR131" s="1523"/>
      <c r="BS131" s="1524"/>
      <c r="BT131" s="1523"/>
      <c r="BU131" s="1523"/>
      <c r="BV131" s="1525"/>
      <c r="BW131" s="1523"/>
      <c r="BX131" s="1523"/>
    </row>
    <row r="132" spans="1:77" ht="13.5" customHeight="1">
      <c r="B132" s="1576">
        <f t="shared" si="116"/>
        <v>0</v>
      </c>
      <c r="C132" s="1635" t="str">
        <f t="shared" si="117"/>
        <v>実績値を用いた総合評価</v>
      </c>
      <c r="D132" s="1962">
        <f>IF(I$124=0,0,G132/I$124)</f>
        <v>0</v>
      </c>
      <c r="E132" s="1643"/>
      <c r="F132" s="2329"/>
      <c r="G132" s="1643">
        <f>K132*N132</f>
        <v>0</v>
      </c>
      <c r="H132" s="1643">
        <f>L132*O132</f>
        <v>0</v>
      </c>
      <c r="I132" s="1643"/>
      <c r="J132" s="1643"/>
      <c r="K132" s="1516">
        <f>IF(スコア表示!X132=0,0,1)</f>
        <v>1</v>
      </c>
      <c r="L132" s="1516">
        <f>IF(スコア表示!AB132=0,0,1)</f>
        <v>0</v>
      </c>
      <c r="N132" s="1607">
        <f>IF(P$124=0,0,R132/P$124)</f>
        <v>0</v>
      </c>
      <c r="O132" s="1607">
        <f>IF(Q$124=0,0,S132/Q$124)</f>
        <v>0</v>
      </c>
      <c r="P132" s="1516"/>
      <c r="Q132" s="1516"/>
      <c r="R132" s="1516">
        <f>IF(スコア入力!R132="EB",重み_対象外!D132,U132)</f>
        <v>0</v>
      </c>
      <c r="S132" s="1516">
        <f>IF(スコア入力!Y132="EB",重み_対象外!E132,V132)</f>
        <v>0</v>
      </c>
      <c r="T132" s="1460"/>
      <c r="U132" s="1514"/>
      <c r="V132" s="1514"/>
      <c r="W132" s="1460"/>
      <c r="X132" s="1516">
        <f t="shared" si="73"/>
        <v>0</v>
      </c>
      <c r="Y132" s="1516">
        <f t="shared" si="74"/>
        <v>0</v>
      </c>
      <c r="Z132" s="1545"/>
      <c r="AA132" s="1576">
        <f t="shared" si="122"/>
        <v>0</v>
      </c>
      <c r="AB132" s="1497">
        <v>3</v>
      </c>
      <c r="AC132" s="1680" t="s">
        <v>1565</v>
      </c>
      <c r="AD132" s="1659">
        <f t="shared" si="130"/>
        <v>0</v>
      </c>
      <c r="AE132" s="1659">
        <f t="shared" si="131"/>
        <v>0</v>
      </c>
      <c r="AF132" s="1659">
        <f t="shared" si="132"/>
        <v>0</v>
      </c>
      <c r="AG132" s="1659">
        <f t="shared" si="133"/>
        <v>0</v>
      </c>
      <c r="AH132" s="1659">
        <f t="shared" si="134"/>
        <v>0</v>
      </c>
      <c r="AI132" s="1659">
        <f t="shared" si="135"/>
        <v>0</v>
      </c>
      <c r="AJ132" s="1659">
        <f t="shared" ref="AJ132:AJ180" si="141">IF($AA$3=1,BA132,BR132)</f>
        <v>0</v>
      </c>
      <c r="AK132" s="1661">
        <f t="shared" si="136"/>
        <v>0</v>
      </c>
      <c r="AL132" s="1659">
        <f t="shared" si="137"/>
        <v>0</v>
      </c>
      <c r="AM132" s="1659">
        <f t="shared" si="137"/>
        <v>0</v>
      </c>
      <c r="AN132" s="1660">
        <f t="shared" si="138"/>
        <v>0</v>
      </c>
      <c r="AO132" s="1659">
        <f t="shared" si="139"/>
        <v>0</v>
      </c>
      <c r="AP132" s="1659">
        <f t="shared" si="140"/>
        <v>0</v>
      </c>
      <c r="AQ132" s="1532"/>
      <c r="AR132" s="1992"/>
      <c r="AS132" s="1497">
        <v>3</v>
      </c>
      <c r="AT132" s="1680" t="s">
        <v>1565</v>
      </c>
      <c r="AU132" s="1523"/>
      <c r="AV132" s="1523"/>
      <c r="AW132" s="1523"/>
      <c r="AX132" s="1523"/>
      <c r="AY132" s="1523"/>
      <c r="AZ132" s="1523"/>
      <c r="BA132" s="1523"/>
      <c r="BB132" s="1524"/>
      <c r="BC132" s="1523"/>
      <c r="BD132" s="1523"/>
      <c r="BE132" s="1525"/>
      <c r="BF132" s="1523"/>
      <c r="BG132" s="1523"/>
      <c r="BI132" s="1992"/>
      <c r="BJ132" s="1497">
        <v>3</v>
      </c>
      <c r="BK132" s="1680" t="s">
        <v>1565</v>
      </c>
      <c r="BL132" s="1523"/>
      <c r="BM132" s="1523"/>
      <c r="BN132" s="1523"/>
      <c r="BO132" s="1523"/>
      <c r="BP132" s="1523"/>
      <c r="BQ132" s="1523"/>
      <c r="BR132" s="1523"/>
      <c r="BS132" s="1524"/>
      <c r="BT132" s="1523"/>
      <c r="BU132" s="1523"/>
      <c r="BV132" s="1525"/>
      <c r="BW132" s="1523"/>
      <c r="BX132" s="1523"/>
    </row>
    <row r="133" spans="1:77" s="1505" customFormat="1" ht="13.5" customHeight="1">
      <c r="A133"/>
      <c r="B133" s="1573">
        <f t="shared" si="116"/>
        <v>4</v>
      </c>
      <c r="C133" s="1541" t="str">
        <f t="shared" si="117"/>
        <v>効率的運用</v>
      </c>
      <c r="D133" s="1962">
        <f>IF(I$117=0,0,G133/I$117)</f>
        <v>0.20953708737970453</v>
      </c>
      <c r="E133" s="1643">
        <f>IF(J$117=0,0,H133/J$117)</f>
        <v>0</v>
      </c>
      <c r="F133"/>
      <c r="G133" s="1643">
        <f>K133*N133</f>
        <v>0.20953708737970453</v>
      </c>
      <c r="H133" s="1643">
        <f t="shared" si="118"/>
        <v>0</v>
      </c>
      <c r="I133" s="1643">
        <f>G134+G137</f>
        <v>1</v>
      </c>
      <c r="J133" s="1643">
        <f>H134+H137</f>
        <v>0</v>
      </c>
      <c r="K133" s="1509">
        <f>IF(スコア表示!X133=0,0,1)</f>
        <v>1</v>
      </c>
      <c r="L133" s="1509">
        <f>IF(スコア表示!AB133=0,0,1)</f>
        <v>0</v>
      </c>
      <c r="M133"/>
      <c r="N133" s="1607">
        <f>IF(P$117=0,0,R133/P$117)</f>
        <v>0.20953708737970453</v>
      </c>
      <c r="O133" s="1607">
        <f>IF(Q$117=0,0,S133/Q$117)</f>
        <v>0</v>
      </c>
      <c r="P133" s="1509">
        <f>SUM(R134:R139)</f>
        <v>0.20860459884517593</v>
      </c>
      <c r="Q133" s="1509">
        <f>SUM(S134:S139)</f>
        <v>0</v>
      </c>
      <c r="R133" s="1509">
        <f>IF(スコア入力!R133="EB",重み_対象外!D133,U133)</f>
        <v>0.20860459884517593</v>
      </c>
      <c r="S133" s="1509">
        <f>IF(スコア入力!Y133="EB",重み_対象外!E133,V133)</f>
        <v>0</v>
      </c>
      <c r="T133" s="1460"/>
      <c r="U133" s="1507">
        <f>SUM(U134:U139)</f>
        <v>0.20860459884517593</v>
      </c>
      <c r="V133" s="1507">
        <f>SUM(V134:V139)</f>
        <v>0</v>
      </c>
      <c r="W133" s="1460"/>
      <c r="X133" s="1509">
        <f t="shared" si="73"/>
        <v>0.21305483028720629</v>
      </c>
      <c r="Y133" s="1509">
        <f t="shared" si="74"/>
        <v>0</v>
      </c>
      <c r="Z133" s="1542"/>
      <c r="AA133" s="1574">
        <f t="shared" si="122"/>
        <v>4</v>
      </c>
      <c r="AB133" s="1497">
        <v>4</v>
      </c>
      <c r="AC133" s="1680" t="s">
        <v>1696</v>
      </c>
      <c r="AD133" s="1665">
        <f t="shared" si="130"/>
        <v>0.2</v>
      </c>
      <c r="AE133" s="1665">
        <f t="shared" si="131"/>
        <v>0.2</v>
      </c>
      <c r="AF133" s="1665">
        <f t="shared" si="132"/>
        <v>0.2</v>
      </c>
      <c r="AG133" s="1665">
        <f t="shared" si="133"/>
        <v>0.2</v>
      </c>
      <c r="AH133" s="1665">
        <f t="shared" si="134"/>
        <v>0.2</v>
      </c>
      <c r="AI133" s="1665">
        <f t="shared" si="135"/>
        <v>0.2</v>
      </c>
      <c r="AJ133" s="1665">
        <f t="shared" si="141"/>
        <v>0.2</v>
      </c>
      <c r="AK133" s="1657">
        <f t="shared" si="136"/>
        <v>0.2</v>
      </c>
      <c r="AL133" s="1665">
        <f t="shared" si="137"/>
        <v>0.25</v>
      </c>
      <c r="AM133" s="1665">
        <f t="shared" si="137"/>
        <v>0.2</v>
      </c>
      <c r="AN133" s="1658">
        <f t="shared" si="138"/>
        <v>0</v>
      </c>
      <c r="AO133" s="1656">
        <f t="shared" si="139"/>
        <v>0</v>
      </c>
      <c r="AP133" s="1656">
        <f t="shared" si="140"/>
        <v>0</v>
      </c>
      <c r="AQ133" s="1512"/>
      <c r="AR133" s="1573">
        <v>4</v>
      </c>
      <c r="AS133" s="1497">
        <v>4</v>
      </c>
      <c r="AT133" s="1680" t="s">
        <v>1696</v>
      </c>
      <c r="AU133" s="1979">
        <v>0.2</v>
      </c>
      <c r="AV133" s="1979">
        <v>0.2</v>
      </c>
      <c r="AW133" s="1979">
        <v>0.2</v>
      </c>
      <c r="AX133" s="1979">
        <v>0.2</v>
      </c>
      <c r="AY133" s="1979">
        <v>0.2</v>
      </c>
      <c r="AZ133" s="1979">
        <v>0.2</v>
      </c>
      <c r="BA133" s="1979">
        <v>0.2</v>
      </c>
      <c r="BB133" s="1979">
        <v>0.2</v>
      </c>
      <c r="BC133" s="1979">
        <v>0.25</v>
      </c>
      <c r="BD133" s="1979">
        <v>0.2</v>
      </c>
      <c r="BE133" s="1963"/>
      <c r="BF133" s="1611"/>
      <c r="BG133" s="1611"/>
      <c r="BH133"/>
      <c r="BI133" s="1573">
        <v>4</v>
      </c>
      <c r="BJ133" s="1497">
        <v>4</v>
      </c>
      <c r="BK133" s="1680" t="s">
        <v>1696</v>
      </c>
      <c r="BL133" s="1979">
        <v>0.2</v>
      </c>
      <c r="BM133" s="1979">
        <v>0.2</v>
      </c>
      <c r="BN133" s="1979">
        <v>0.2</v>
      </c>
      <c r="BO133" s="1979">
        <v>0.2</v>
      </c>
      <c r="BP133" s="1979">
        <v>0.2</v>
      </c>
      <c r="BQ133" s="1979">
        <v>0.2</v>
      </c>
      <c r="BR133" s="1979">
        <v>0.2</v>
      </c>
      <c r="BS133" s="1979">
        <v>0.2</v>
      </c>
      <c r="BT133" s="1979">
        <v>0.25</v>
      </c>
      <c r="BU133" s="1979">
        <v>0.2</v>
      </c>
      <c r="BV133" s="1963"/>
      <c r="BW133" s="1611"/>
      <c r="BX133" s="1611"/>
      <c r="BY133"/>
    </row>
    <row r="134" spans="1:77" ht="13.5" customHeight="1">
      <c r="B134" s="1513">
        <f t="shared" si="116"/>
        <v>4.0999999999999996</v>
      </c>
      <c r="C134" s="1547" t="str">
        <f t="shared" si="117"/>
        <v>住宅以外の評価</v>
      </c>
      <c r="D134" s="1616">
        <f>IF(I$133=0,0,G134/I$133)</f>
        <v>0.97911227154046998</v>
      </c>
      <c r="E134" s="1616">
        <f>IF(J$133=0,0,H134/J$133)</f>
        <v>0</v>
      </c>
      <c r="G134" s="1591">
        <f>K134*N134</f>
        <v>0.97911227154046998</v>
      </c>
      <c r="H134" s="1591">
        <f t="shared" si="118"/>
        <v>0</v>
      </c>
      <c r="I134" s="1591">
        <f>SUM(G135:G136)</f>
        <v>1</v>
      </c>
      <c r="J134" s="1591">
        <f>SUM(H135:H136)</f>
        <v>0</v>
      </c>
      <c r="K134" s="1516">
        <f>IF(スコア表示!X134=0,0,1)</f>
        <v>1</v>
      </c>
      <c r="L134" s="1516">
        <f>IF(スコア表示!AB134=0,0,1)</f>
        <v>0</v>
      </c>
      <c r="N134" s="1613">
        <f>IF(P$133=0,0,P134/P$133)</f>
        <v>0.97911227154046998</v>
      </c>
      <c r="O134" s="1613">
        <f>IF(Q$133=0,0,Q134/Q$133)</f>
        <v>0</v>
      </c>
      <c r="P134" s="1516">
        <f>SUM(R135:R136)</f>
        <v>0.20424732262908871</v>
      </c>
      <c r="Q134" s="1516">
        <f>SUM(S135:S136)</f>
        <v>0</v>
      </c>
      <c r="R134" s="1516">
        <f>IF(スコア入力!R134="EB",重み_対象外!D134,U134)</f>
        <v>0</v>
      </c>
      <c r="S134" s="1516">
        <f>IF(スコア入力!Y134="EB",重み_対象外!E134,V134)</f>
        <v>0</v>
      </c>
      <c r="T134" s="1460"/>
      <c r="U134" s="1514"/>
      <c r="V134" s="1514"/>
      <c r="W134" s="1460"/>
      <c r="X134" s="1516">
        <f t="shared" si="73"/>
        <v>0.97911227154047009</v>
      </c>
      <c r="Y134" s="1516">
        <f t="shared" si="74"/>
        <v>0</v>
      </c>
      <c r="Z134" s="1577"/>
      <c r="AA134" s="1547">
        <v>4.0999999999999996</v>
      </c>
      <c r="AB134" s="1497">
        <v>4.0999999999999996</v>
      </c>
      <c r="AC134" s="1637" t="s">
        <v>1697</v>
      </c>
      <c r="AD134" s="1659">
        <f t="shared" si="130"/>
        <v>1</v>
      </c>
      <c r="AE134" s="1659">
        <f t="shared" si="131"/>
        <v>1</v>
      </c>
      <c r="AF134" s="1659">
        <f t="shared" si="132"/>
        <v>1</v>
      </c>
      <c r="AG134" s="1659">
        <f t="shared" si="133"/>
        <v>1</v>
      </c>
      <c r="AH134" s="1659">
        <f t="shared" si="134"/>
        <v>1</v>
      </c>
      <c r="AI134" s="1659">
        <f t="shared" si="135"/>
        <v>1</v>
      </c>
      <c r="AJ134" s="1659">
        <f t="shared" si="141"/>
        <v>0</v>
      </c>
      <c r="AK134" s="1661">
        <f t="shared" si="136"/>
        <v>1</v>
      </c>
      <c r="AL134" s="1659">
        <f t="shared" si="137"/>
        <v>1</v>
      </c>
      <c r="AM134" s="1659">
        <f t="shared" si="137"/>
        <v>1</v>
      </c>
      <c r="AN134" s="1660">
        <f t="shared" si="138"/>
        <v>0</v>
      </c>
      <c r="AO134" s="1672">
        <f t="shared" si="139"/>
        <v>0</v>
      </c>
      <c r="AP134" s="1672">
        <f t="shared" si="140"/>
        <v>0</v>
      </c>
      <c r="AQ134" s="1578"/>
      <c r="AR134" s="1547">
        <v>4.0999999999999996</v>
      </c>
      <c r="AS134" s="1497">
        <v>4.0999999999999996</v>
      </c>
      <c r="AT134" s="1637" t="s">
        <v>1697</v>
      </c>
      <c r="AU134" s="1523">
        <v>1</v>
      </c>
      <c r="AV134" s="1523">
        <v>1</v>
      </c>
      <c r="AW134" s="1523">
        <v>1</v>
      </c>
      <c r="AX134" s="1523">
        <v>1</v>
      </c>
      <c r="AY134" s="1523">
        <v>1</v>
      </c>
      <c r="AZ134" s="1523">
        <v>1</v>
      </c>
      <c r="BA134" s="1523"/>
      <c r="BB134" s="1523">
        <v>1</v>
      </c>
      <c r="BC134" s="1523">
        <v>1</v>
      </c>
      <c r="BD134" s="1523">
        <v>1</v>
      </c>
      <c r="BE134" s="1525"/>
      <c r="BF134" s="1987"/>
      <c r="BG134" s="1987"/>
      <c r="BI134" s="1547">
        <v>4.0999999999999996</v>
      </c>
      <c r="BJ134" s="1497">
        <v>4.0999999999999996</v>
      </c>
      <c r="BK134" s="1637" t="s">
        <v>1697</v>
      </c>
      <c r="BL134" s="1523">
        <v>1</v>
      </c>
      <c r="BM134" s="1523">
        <v>1</v>
      </c>
      <c r="BN134" s="1523">
        <v>1</v>
      </c>
      <c r="BO134" s="1523">
        <v>1</v>
      </c>
      <c r="BP134" s="1523">
        <v>1</v>
      </c>
      <c r="BQ134" s="1523">
        <v>1</v>
      </c>
      <c r="BR134" s="1523"/>
      <c r="BS134" s="1523">
        <v>1</v>
      </c>
      <c r="BT134" s="1523">
        <v>1</v>
      </c>
      <c r="BU134" s="1523">
        <v>1</v>
      </c>
      <c r="BV134" s="1525"/>
      <c r="BW134" s="1987"/>
      <c r="BX134" s="1987"/>
    </row>
    <row r="135" spans="1:77" ht="13.5" customHeight="1">
      <c r="B135" s="1513" t="str">
        <f t="shared" ref="B135:B139" si="142">AA135</f>
        <v>4.1.1</v>
      </c>
      <c r="C135" s="1547" t="str">
        <f t="shared" ref="C135:C139" si="143">AC135</f>
        <v>モニタリング</v>
      </c>
      <c r="D135" s="1616">
        <f>IF(I$134=0,0,G135/I$134)</f>
        <v>0.5</v>
      </c>
      <c r="E135" s="1616">
        <f>IF(J$134=0,0,H135/J$134)</f>
        <v>0</v>
      </c>
      <c r="G135" s="1591">
        <f t="shared" si="118"/>
        <v>0.5</v>
      </c>
      <c r="H135" s="1591">
        <f t="shared" si="118"/>
        <v>0</v>
      </c>
      <c r="I135" s="1591"/>
      <c r="J135" s="1591"/>
      <c r="K135" s="1516">
        <f>IF(スコア表示!X135=0,0,1)</f>
        <v>1</v>
      </c>
      <c r="L135" s="1516">
        <f>IF(スコア表示!AB135=0,0,1)</f>
        <v>0</v>
      </c>
      <c r="N135" s="1608">
        <f>IF(P$134&gt;0,R135/P$134,0)</f>
        <v>0.5</v>
      </c>
      <c r="O135" s="1608">
        <f>IF(Q$134&gt;0,S135/Q$134,0)</f>
        <v>0</v>
      </c>
      <c r="P135" s="1516"/>
      <c r="Q135" s="1516"/>
      <c r="R135" s="1516">
        <f>IF(スコア入力!R135="EB",重み_対象外!D135,U135)</f>
        <v>0.10212366131454435</v>
      </c>
      <c r="S135" s="1516">
        <f>IF(スコア入力!Y135="EB",重み_対象外!E135,V135)</f>
        <v>0</v>
      </c>
      <c r="T135" s="1460"/>
      <c r="U135" s="1514">
        <f>X$133*X$134*X135</f>
        <v>0.10212366131454435</v>
      </c>
      <c r="V135" s="1514">
        <f>Y$133*Y$134*Y135</f>
        <v>0</v>
      </c>
      <c r="W135" s="1460"/>
      <c r="X135" s="1516">
        <f t="shared" si="73"/>
        <v>0.48955613577023505</v>
      </c>
      <c r="Y135" s="1516">
        <f t="shared" si="74"/>
        <v>0</v>
      </c>
      <c r="Z135" s="1577"/>
      <c r="AA135" s="1547" t="s">
        <v>1346</v>
      </c>
      <c r="AB135" s="1497" t="s">
        <v>1698</v>
      </c>
      <c r="AC135" s="1637" t="s">
        <v>1699</v>
      </c>
      <c r="AD135" s="1659">
        <f t="shared" ref="AD135:AD139" si="144">IF($AA$3=1,AU135,BL135)</f>
        <v>0.5</v>
      </c>
      <c r="AE135" s="1659">
        <f t="shared" ref="AE135:AE139" si="145">IF($AA$3=1,AV135,BM135)</f>
        <v>0.5</v>
      </c>
      <c r="AF135" s="1659">
        <f t="shared" ref="AF135:AF139" si="146">IF($AA$3=1,AW135,BN135)</f>
        <v>0.5</v>
      </c>
      <c r="AG135" s="1659">
        <f t="shared" ref="AG135:AG139" si="147">IF($AA$3=1,AX135,BO135)</f>
        <v>0.5</v>
      </c>
      <c r="AH135" s="1659">
        <f t="shared" ref="AH135:AH139" si="148">IF($AA$3=1,AY135,BP135)</f>
        <v>0.5</v>
      </c>
      <c r="AI135" s="1659">
        <f t="shared" ref="AI135:AI139" si="149">IF($AA$3=1,AZ135,BQ135)</f>
        <v>0.5</v>
      </c>
      <c r="AJ135" s="1659">
        <f t="shared" ref="AJ135:AJ139" si="150">IF($AA$3=1,BA135,BR135)</f>
        <v>0</v>
      </c>
      <c r="AK135" s="1661">
        <f t="shared" ref="AK135:AK139" si="151">IF($AA$3=1,BB135,BS135)</f>
        <v>0.5</v>
      </c>
      <c r="AL135" s="1659">
        <f t="shared" ref="AL135:AL139" si="152">IF($AA$3=1,BC135,BT135)</f>
        <v>0.5</v>
      </c>
      <c r="AM135" s="1659">
        <f t="shared" ref="AM135:AM139" si="153">IF($AA$3=1,BD135,BU135)</f>
        <v>0.5</v>
      </c>
      <c r="AN135" s="1660"/>
      <c r="AO135" s="1672"/>
      <c r="AP135" s="1672"/>
      <c r="AQ135" s="1578"/>
      <c r="AR135" s="1547" t="s">
        <v>1427</v>
      </c>
      <c r="AS135" s="1497" t="s">
        <v>1698</v>
      </c>
      <c r="AT135" s="1637" t="s">
        <v>1699</v>
      </c>
      <c r="AU135" s="1523">
        <v>0.5</v>
      </c>
      <c r="AV135" s="1523">
        <v>0.5</v>
      </c>
      <c r="AW135" s="1523">
        <v>0.5</v>
      </c>
      <c r="AX135" s="1523">
        <v>0.5</v>
      </c>
      <c r="AY135" s="1523">
        <v>0.5</v>
      </c>
      <c r="AZ135" s="1523">
        <v>0.5</v>
      </c>
      <c r="BA135" s="1523"/>
      <c r="BB135" s="1523">
        <v>0.5</v>
      </c>
      <c r="BC135" s="1523">
        <v>0.5</v>
      </c>
      <c r="BD135" s="1523">
        <v>0.5</v>
      </c>
      <c r="BE135" s="1525"/>
      <c r="BF135" s="1987"/>
      <c r="BG135" s="1987"/>
      <c r="BI135" s="1547" t="s">
        <v>1427</v>
      </c>
      <c r="BJ135" s="1497" t="s">
        <v>1698</v>
      </c>
      <c r="BK135" s="1637" t="s">
        <v>1699</v>
      </c>
      <c r="BL135" s="1523">
        <v>0.5</v>
      </c>
      <c r="BM135" s="1523">
        <v>0.5</v>
      </c>
      <c r="BN135" s="1523">
        <v>0.5</v>
      </c>
      <c r="BO135" s="1523">
        <v>0.5</v>
      </c>
      <c r="BP135" s="1523">
        <v>0.5</v>
      </c>
      <c r="BQ135" s="1523">
        <v>0.5</v>
      </c>
      <c r="BR135" s="1523"/>
      <c r="BS135" s="1523">
        <v>0.5</v>
      </c>
      <c r="BT135" s="1523">
        <v>0.5</v>
      </c>
      <c r="BU135" s="1523">
        <v>0.5</v>
      </c>
      <c r="BV135" s="1525"/>
      <c r="BW135" s="1987"/>
      <c r="BX135" s="1987"/>
    </row>
    <row r="136" spans="1:77" ht="13.5" customHeight="1">
      <c r="B136" s="1513" t="str">
        <f t="shared" si="142"/>
        <v>4.1.2</v>
      </c>
      <c r="C136" s="1547" t="str">
        <f t="shared" si="143"/>
        <v>運用管理体制</v>
      </c>
      <c r="D136" s="1621">
        <f>IF(I$134&gt;0,G136/I$134,0)</f>
        <v>0.5</v>
      </c>
      <c r="E136" s="1621">
        <f>IF(J$134&gt;0,H136/J$134,0)</f>
        <v>0</v>
      </c>
      <c r="G136" s="1591">
        <f t="shared" si="118"/>
        <v>0.5</v>
      </c>
      <c r="H136" s="1591">
        <f t="shared" si="118"/>
        <v>0</v>
      </c>
      <c r="I136" s="1591"/>
      <c r="J136" s="1591"/>
      <c r="K136" s="1516">
        <f>IF(スコア表示!X136=0,0,1)</f>
        <v>1</v>
      </c>
      <c r="L136" s="1516">
        <f>IF(スコア表示!AB136=0,0,1)</f>
        <v>0</v>
      </c>
      <c r="N136" s="1608">
        <f>IF(P$134&gt;0,R136/P$134,0)</f>
        <v>0.5</v>
      </c>
      <c r="O136" s="1608">
        <f>IF(Q$134&gt;0,S136/Q$134,0)</f>
        <v>0</v>
      </c>
      <c r="P136" s="1516"/>
      <c r="Q136" s="1516"/>
      <c r="R136" s="1516">
        <f>IF(スコア入力!R136="EB",重み_対象外!D136,U136)</f>
        <v>0.10212366131454435</v>
      </c>
      <c r="S136" s="1516">
        <f>IF(スコア入力!Y136="EB",重み_対象外!E136,V136)</f>
        <v>0</v>
      </c>
      <c r="T136" s="1460"/>
      <c r="U136" s="1514">
        <f>X$133*X$134*X136</f>
        <v>0.10212366131454435</v>
      </c>
      <c r="V136" s="1514">
        <f>Y$133*Y$134*Y136</f>
        <v>0</v>
      </c>
      <c r="W136" s="1460"/>
      <c r="X136" s="1516">
        <f t="shared" si="73"/>
        <v>0.48955613577023505</v>
      </c>
      <c r="Y136" s="1516">
        <f t="shared" si="74"/>
        <v>0</v>
      </c>
      <c r="Z136" s="1577"/>
      <c r="AA136" s="1547" t="s">
        <v>1347</v>
      </c>
      <c r="AB136" s="1497" t="s">
        <v>1700</v>
      </c>
      <c r="AC136" s="1637" t="s">
        <v>1701</v>
      </c>
      <c r="AD136" s="1659">
        <f t="shared" si="144"/>
        <v>0.5</v>
      </c>
      <c r="AE136" s="1659">
        <f t="shared" si="145"/>
        <v>0.5</v>
      </c>
      <c r="AF136" s="1659">
        <f t="shared" si="146"/>
        <v>0.5</v>
      </c>
      <c r="AG136" s="1659">
        <f t="shared" si="147"/>
        <v>0.5</v>
      </c>
      <c r="AH136" s="1659">
        <f t="shared" si="148"/>
        <v>0.5</v>
      </c>
      <c r="AI136" s="1659">
        <f t="shared" si="149"/>
        <v>0.5</v>
      </c>
      <c r="AJ136" s="1659">
        <f t="shared" si="150"/>
        <v>0</v>
      </c>
      <c r="AK136" s="1661">
        <f t="shared" si="151"/>
        <v>0.5</v>
      </c>
      <c r="AL136" s="1659">
        <f t="shared" si="152"/>
        <v>0.5</v>
      </c>
      <c r="AM136" s="1659">
        <f t="shared" si="153"/>
        <v>0.5</v>
      </c>
      <c r="AN136" s="1660"/>
      <c r="AO136" s="1672"/>
      <c r="AP136" s="1672"/>
      <c r="AQ136" s="1578"/>
      <c r="AR136" s="1547" t="s">
        <v>1431</v>
      </c>
      <c r="AS136" s="1497" t="s">
        <v>1700</v>
      </c>
      <c r="AT136" s="1637" t="s">
        <v>1701</v>
      </c>
      <c r="AU136" s="1523">
        <v>0.5</v>
      </c>
      <c r="AV136" s="1523">
        <v>0.5</v>
      </c>
      <c r="AW136" s="1523">
        <v>0.5</v>
      </c>
      <c r="AX136" s="1523">
        <v>0.5</v>
      </c>
      <c r="AY136" s="1523">
        <v>0.5</v>
      </c>
      <c r="AZ136" s="1523">
        <v>0.5</v>
      </c>
      <c r="BA136" s="1523"/>
      <c r="BB136" s="1523">
        <v>0.5</v>
      </c>
      <c r="BC136" s="1523">
        <v>0.5</v>
      </c>
      <c r="BD136" s="1523">
        <v>0.5</v>
      </c>
      <c r="BE136" s="1525"/>
      <c r="BF136" s="1987"/>
      <c r="BG136" s="1987"/>
      <c r="BI136" s="1547" t="s">
        <v>1431</v>
      </c>
      <c r="BJ136" s="1497" t="s">
        <v>1700</v>
      </c>
      <c r="BK136" s="1637" t="s">
        <v>1701</v>
      </c>
      <c r="BL136" s="1523">
        <v>0.5</v>
      </c>
      <c r="BM136" s="1523">
        <v>0.5</v>
      </c>
      <c r="BN136" s="1523">
        <v>0.5</v>
      </c>
      <c r="BO136" s="1523">
        <v>0.5</v>
      </c>
      <c r="BP136" s="1523">
        <v>0.5</v>
      </c>
      <c r="BQ136" s="1523">
        <v>0.5</v>
      </c>
      <c r="BR136" s="1523"/>
      <c r="BS136" s="1523">
        <v>0.5</v>
      </c>
      <c r="BT136" s="1523">
        <v>0.5</v>
      </c>
      <c r="BU136" s="1523">
        <v>0.5</v>
      </c>
      <c r="BV136" s="1525"/>
      <c r="BW136" s="1987"/>
      <c r="BX136" s="1987"/>
    </row>
    <row r="137" spans="1:77" s="1580" customFormat="1" ht="13.5" customHeight="1">
      <c r="A137"/>
      <c r="B137" s="1513">
        <f t="shared" si="142"/>
        <v>4.2</v>
      </c>
      <c r="C137" s="1547" t="str">
        <f t="shared" si="143"/>
        <v>住宅の評価</v>
      </c>
      <c r="D137" s="1616">
        <f>IF(I$133=0,0,G137/I$133)</f>
        <v>2.0887728459530026E-2</v>
      </c>
      <c r="E137" s="1616">
        <f>IF(J$133=0,0,H137/J$133)</f>
        <v>0</v>
      </c>
      <c r="F137"/>
      <c r="G137" s="1591">
        <f t="shared" ref="G137:H139" si="154">K137*N137</f>
        <v>2.0887728459530026E-2</v>
      </c>
      <c r="H137" s="1591">
        <f t="shared" si="154"/>
        <v>0</v>
      </c>
      <c r="I137" s="1591">
        <f>SUM(G138:G139)</f>
        <v>1</v>
      </c>
      <c r="J137" s="1591">
        <f>SUM(H138:H139)</f>
        <v>0</v>
      </c>
      <c r="K137" s="1516">
        <f>IF(スコア表示!X137=0,0,1)</f>
        <v>1</v>
      </c>
      <c r="L137" s="1516">
        <f>IF(スコア表示!AB137=0,0,1)</f>
        <v>0</v>
      </c>
      <c r="M137"/>
      <c r="N137" s="1613">
        <f>IF(P$133=0,0,P137/P$133)</f>
        <v>2.0887728459530026E-2</v>
      </c>
      <c r="O137" s="1613">
        <f>IF(Q$133=0,0,Q137/Q$133)</f>
        <v>0</v>
      </c>
      <c r="P137" s="1516">
        <f>SUM(R138:R139)</f>
        <v>4.3572762160872256E-3</v>
      </c>
      <c r="Q137" s="1516">
        <f>SUM(S138:S139)</f>
        <v>0</v>
      </c>
      <c r="R137" s="1516">
        <f>IF(スコア入力!R137="EB",重み_対象外!D137,U137)</f>
        <v>0</v>
      </c>
      <c r="S137" s="1516">
        <f>IF(スコア入力!Y137="EB",重み_対象外!E137,V137)</f>
        <v>0</v>
      </c>
      <c r="T137" s="1460"/>
      <c r="U137" s="1514"/>
      <c r="V137" s="1514"/>
      <c r="W137" s="1460"/>
      <c r="X137" s="1516">
        <f t="shared" si="73"/>
        <v>2.0887728459530026E-2</v>
      </c>
      <c r="Y137" s="1516">
        <f t="shared" si="74"/>
        <v>0</v>
      </c>
      <c r="Z137" s="1577"/>
      <c r="AA137" s="1547">
        <v>4.2</v>
      </c>
      <c r="AB137" s="1497">
        <v>4.2</v>
      </c>
      <c r="AC137" s="1637" t="s">
        <v>1702</v>
      </c>
      <c r="AD137" s="1659">
        <f t="shared" si="144"/>
        <v>0</v>
      </c>
      <c r="AE137" s="1659">
        <f t="shared" si="145"/>
        <v>0</v>
      </c>
      <c r="AF137" s="1659">
        <f t="shared" si="146"/>
        <v>0</v>
      </c>
      <c r="AG137" s="1659">
        <f t="shared" si="147"/>
        <v>0</v>
      </c>
      <c r="AH137" s="1659">
        <f t="shared" si="148"/>
        <v>0</v>
      </c>
      <c r="AI137" s="1659">
        <f t="shared" si="149"/>
        <v>0</v>
      </c>
      <c r="AJ137" s="1659">
        <f t="shared" si="150"/>
        <v>1</v>
      </c>
      <c r="AK137" s="1661">
        <f t="shared" si="151"/>
        <v>0</v>
      </c>
      <c r="AL137" s="1659">
        <f t="shared" si="152"/>
        <v>0</v>
      </c>
      <c r="AM137" s="1659">
        <f t="shared" si="153"/>
        <v>0</v>
      </c>
      <c r="AN137" s="1660">
        <f t="shared" si="138"/>
        <v>0</v>
      </c>
      <c r="AO137" s="1672">
        <f t="shared" si="139"/>
        <v>0</v>
      </c>
      <c r="AP137" s="1672">
        <f t="shared" si="140"/>
        <v>0</v>
      </c>
      <c r="AQ137" s="1578"/>
      <c r="AR137" s="1547">
        <v>4.2</v>
      </c>
      <c r="AS137" s="1497">
        <v>4.2</v>
      </c>
      <c r="AT137" s="1637" t="s">
        <v>1702</v>
      </c>
      <c r="AU137" s="1523"/>
      <c r="AV137" s="1523"/>
      <c r="AW137" s="1523"/>
      <c r="AX137" s="1523"/>
      <c r="AY137" s="1523"/>
      <c r="AZ137" s="1523"/>
      <c r="BA137" s="1523">
        <v>1</v>
      </c>
      <c r="BB137" s="1524"/>
      <c r="BC137" s="1523"/>
      <c r="BD137" s="1523"/>
      <c r="BE137" s="1525"/>
      <c r="BF137" s="1987"/>
      <c r="BG137" s="1987"/>
      <c r="BH137"/>
      <c r="BI137" s="1547">
        <v>4.2</v>
      </c>
      <c r="BJ137" s="1497">
        <v>4.2</v>
      </c>
      <c r="BK137" s="1637" t="s">
        <v>1702</v>
      </c>
      <c r="BL137" s="1523"/>
      <c r="BM137" s="1523"/>
      <c r="BN137" s="1523"/>
      <c r="BO137" s="1523"/>
      <c r="BP137" s="1523"/>
      <c r="BQ137" s="1523"/>
      <c r="BR137" s="1523">
        <v>1</v>
      </c>
      <c r="BS137" s="1524"/>
      <c r="BT137" s="1523"/>
      <c r="BU137" s="1523"/>
      <c r="BV137" s="1525"/>
      <c r="BW137" s="1987"/>
      <c r="BX137" s="1987"/>
      <c r="BY137"/>
    </row>
    <row r="138" spans="1:77" s="1580" customFormat="1" ht="13.5" customHeight="1">
      <c r="A138"/>
      <c r="B138" s="1513" t="str">
        <f t="shared" si="142"/>
        <v>4.2.1</v>
      </c>
      <c r="C138" s="1547" t="str">
        <f t="shared" si="143"/>
        <v>住まい方の提示</v>
      </c>
      <c r="D138" s="1621">
        <f>IF(I$137&gt;0,G138/I$137,0)</f>
        <v>0.5</v>
      </c>
      <c r="E138" s="1621">
        <f>IF(J$137&gt;0,H138/J$137,0)</f>
        <v>0</v>
      </c>
      <c r="F138"/>
      <c r="G138" s="1591">
        <f t="shared" si="154"/>
        <v>0.5</v>
      </c>
      <c r="H138" s="1591">
        <f t="shared" si="154"/>
        <v>0</v>
      </c>
      <c r="I138" s="1591"/>
      <c r="J138" s="1591"/>
      <c r="K138" s="1516">
        <f>IF(スコア表示!X138=0,0,1)</f>
        <v>1</v>
      </c>
      <c r="L138" s="1516">
        <f>IF(スコア表示!AB138=0,0,1)</f>
        <v>0</v>
      </c>
      <c r="M138"/>
      <c r="N138" s="1608">
        <f>IF(P$137&gt;0,R138/P$137,0)</f>
        <v>0.5</v>
      </c>
      <c r="O138" s="1608">
        <f>IF(Q$137&gt;0,S138/Q$137,0)</f>
        <v>0</v>
      </c>
      <c r="P138" s="1516"/>
      <c r="Q138" s="1516"/>
      <c r="R138" s="1516">
        <f>IF(スコア入力!R138="EB",重み_対象外!D138,U138)</f>
        <v>2.1786381080436128E-3</v>
      </c>
      <c r="S138" s="1516">
        <f>IF(スコア入力!Y138="EB",重み_対象外!E138,V138)</f>
        <v>0</v>
      </c>
      <c r="T138" s="1460"/>
      <c r="U138" s="1514">
        <f>X$133*X$134*X138</f>
        <v>2.1786381080436128E-3</v>
      </c>
      <c r="V138" s="1514">
        <f>Y$133*Y$134*Y138</f>
        <v>0</v>
      </c>
      <c r="W138" s="1460"/>
      <c r="X138" s="1516">
        <f>SUMPRODUCT($AD$7:$AM$7,AD138:AM138)</f>
        <v>1.0443864229765013E-2</v>
      </c>
      <c r="Y138" s="1516">
        <f>(AN$7*AN138)+(AO$7*AO138)+(AP$7*AP138)</f>
        <v>0</v>
      </c>
      <c r="Z138" s="1577"/>
      <c r="AA138" s="1547" t="s">
        <v>1351</v>
      </c>
      <c r="AB138" s="1497" t="s">
        <v>1703</v>
      </c>
      <c r="AC138" s="1637" t="s">
        <v>1704</v>
      </c>
      <c r="AD138" s="1659">
        <f t="shared" si="144"/>
        <v>0</v>
      </c>
      <c r="AE138" s="1659">
        <f t="shared" si="145"/>
        <v>0</v>
      </c>
      <c r="AF138" s="1659">
        <f t="shared" si="146"/>
        <v>0</v>
      </c>
      <c r="AG138" s="1659">
        <f t="shared" si="147"/>
        <v>0</v>
      </c>
      <c r="AH138" s="1659">
        <f t="shared" si="148"/>
        <v>0</v>
      </c>
      <c r="AI138" s="1659">
        <f t="shared" si="149"/>
        <v>0</v>
      </c>
      <c r="AJ138" s="1659">
        <f t="shared" si="150"/>
        <v>0.5</v>
      </c>
      <c r="AK138" s="1661">
        <f t="shared" si="151"/>
        <v>0</v>
      </c>
      <c r="AL138" s="1659">
        <f t="shared" si="152"/>
        <v>0</v>
      </c>
      <c r="AM138" s="1659">
        <f t="shared" si="153"/>
        <v>0</v>
      </c>
      <c r="AN138" s="1660"/>
      <c r="AO138" s="1672"/>
      <c r="AP138" s="1672"/>
      <c r="AQ138" s="1578"/>
      <c r="AR138" s="1547" t="s">
        <v>1351</v>
      </c>
      <c r="AS138" s="1497" t="s">
        <v>1703</v>
      </c>
      <c r="AT138" s="1637" t="s">
        <v>1704</v>
      </c>
      <c r="AU138" s="1523"/>
      <c r="AV138" s="1523"/>
      <c r="AW138" s="1523"/>
      <c r="AX138" s="1523"/>
      <c r="AY138" s="1523"/>
      <c r="AZ138" s="1523"/>
      <c r="BA138" s="1523">
        <v>0.5</v>
      </c>
      <c r="BB138" s="1524"/>
      <c r="BC138" s="1523"/>
      <c r="BD138" s="1523"/>
      <c r="BE138" s="1525"/>
      <c r="BF138" s="1987"/>
      <c r="BG138" s="1987"/>
      <c r="BH138"/>
      <c r="BI138" s="1547" t="s">
        <v>1351</v>
      </c>
      <c r="BJ138" s="1497" t="s">
        <v>1703</v>
      </c>
      <c r="BK138" s="1637" t="s">
        <v>1704</v>
      </c>
      <c r="BL138" s="1523"/>
      <c r="BM138" s="1523"/>
      <c r="BN138" s="1523"/>
      <c r="BO138" s="1523"/>
      <c r="BP138" s="1523"/>
      <c r="BQ138" s="1523"/>
      <c r="BR138" s="1523">
        <v>0.5</v>
      </c>
      <c r="BS138" s="1524"/>
      <c r="BT138" s="1523"/>
      <c r="BU138" s="1523"/>
      <c r="BV138" s="1525"/>
      <c r="BW138" s="1987"/>
      <c r="BX138" s="1987"/>
      <c r="BY138"/>
    </row>
    <row r="139" spans="1:77" s="1580" customFormat="1" ht="13.5" customHeight="1">
      <c r="A139"/>
      <c r="B139" s="1513" t="str">
        <f t="shared" si="142"/>
        <v>4.2.2</v>
      </c>
      <c r="C139" s="1547" t="str">
        <f t="shared" si="143"/>
        <v>エネルギーの管理と制御</v>
      </c>
      <c r="D139" s="1621">
        <f>IF(I$137&gt;0,G139/I$137,0)</f>
        <v>0.5</v>
      </c>
      <c r="E139" s="1621">
        <f>IF(J$137&gt;0,H139/J$137,0)</f>
        <v>0</v>
      </c>
      <c r="F139"/>
      <c r="G139" s="1591">
        <f t="shared" si="154"/>
        <v>0.5</v>
      </c>
      <c r="H139" s="1591">
        <f t="shared" si="154"/>
        <v>0</v>
      </c>
      <c r="I139" s="1591"/>
      <c r="J139" s="1591"/>
      <c r="K139" s="1516">
        <f>IF(スコア表示!X139=0,0,1)</f>
        <v>1</v>
      </c>
      <c r="L139" s="1516">
        <f>IF(スコア表示!AB139=0,0,1)</f>
        <v>0</v>
      </c>
      <c r="M139"/>
      <c r="N139" s="1608">
        <f>IF(P$137&gt;0,R139/P$137,0)</f>
        <v>0.5</v>
      </c>
      <c r="O139" s="1608">
        <f>IF(Q$137&gt;0,S139/Q$137,0)</f>
        <v>0</v>
      </c>
      <c r="P139" s="1516"/>
      <c r="Q139" s="1516"/>
      <c r="R139" s="1516">
        <f>IF(スコア入力!R139="EB",重み_対象外!D139,U139)</f>
        <v>2.1786381080436128E-3</v>
      </c>
      <c r="S139" s="1516">
        <f>IF(スコア入力!Y139="EB",重み_対象外!E139,V139)</f>
        <v>0</v>
      </c>
      <c r="T139" s="1460"/>
      <c r="U139" s="1514">
        <f>X$133*X$134*X139</f>
        <v>2.1786381080436128E-3</v>
      </c>
      <c r="V139" s="1514">
        <f>Y$133*Y$134*Y139</f>
        <v>0</v>
      </c>
      <c r="W139" s="1460"/>
      <c r="X139" s="1516">
        <f t="shared" si="73"/>
        <v>1.0443864229765013E-2</v>
      </c>
      <c r="Y139" s="1516">
        <f t="shared" si="74"/>
        <v>0</v>
      </c>
      <c r="Z139" s="1577"/>
      <c r="AA139" s="1547" t="s">
        <v>1352</v>
      </c>
      <c r="AB139" s="1497" t="s">
        <v>1705</v>
      </c>
      <c r="AC139" s="1637" t="s">
        <v>1568</v>
      </c>
      <c r="AD139" s="1659">
        <f t="shared" si="144"/>
        <v>0</v>
      </c>
      <c r="AE139" s="1659">
        <f t="shared" si="145"/>
        <v>0</v>
      </c>
      <c r="AF139" s="1659">
        <f t="shared" si="146"/>
        <v>0</v>
      </c>
      <c r="AG139" s="1659">
        <f t="shared" si="147"/>
        <v>0</v>
      </c>
      <c r="AH139" s="1659">
        <f t="shared" si="148"/>
        <v>0</v>
      </c>
      <c r="AI139" s="1659">
        <f t="shared" si="149"/>
        <v>0</v>
      </c>
      <c r="AJ139" s="1659">
        <f t="shared" si="150"/>
        <v>0.5</v>
      </c>
      <c r="AK139" s="1661">
        <f t="shared" si="151"/>
        <v>0</v>
      </c>
      <c r="AL139" s="1659">
        <f t="shared" si="152"/>
        <v>0</v>
      </c>
      <c r="AM139" s="1659">
        <f t="shared" si="153"/>
        <v>0</v>
      </c>
      <c r="AN139" s="1660"/>
      <c r="AO139" s="1672"/>
      <c r="AP139" s="1672"/>
      <c r="AQ139" s="1578"/>
      <c r="AR139" s="1547" t="s">
        <v>1353</v>
      </c>
      <c r="AS139" s="1497" t="s">
        <v>1705</v>
      </c>
      <c r="AT139" s="1637" t="s">
        <v>1568</v>
      </c>
      <c r="AU139" s="1523"/>
      <c r="AV139" s="1523"/>
      <c r="AW139" s="1523"/>
      <c r="AX139" s="1523"/>
      <c r="AY139" s="1523"/>
      <c r="AZ139" s="1523"/>
      <c r="BA139" s="1523">
        <v>0.5</v>
      </c>
      <c r="BB139" s="1524"/>
      <c r="BC139" s="1523"/>
      <c r="BD139" s="1523"/>
      <c r="BE139" s="1525"/>
      <c r="BF139" s="1987"/>
      <c r="BG139" s="1987"/>
      <c r="BH139"/>
      <c r="BI139" s="1547" t="s">
        <v>1353</v>
      </c>
      <c r="BJ139" s="1497" t="s">
        <v>1705</v>
      </c>
      <c r="BK139" s="1637" t="s">
        <v>1568</v>
      </c>
      <c r="BL139" s="1523"/>
      <c r="BM139" s="1523"/>
      <c r="BN139" s="1523"/>
      <c r="BO139" s="1523"/>
      <c r="BP139" s="1523"/>
      <c r="BQ139" s="1523"/>
      <c r="BR139" s="1523">
        <v>0.5</v>
      </c>
      <c r="BS139" s="1524"/>
      <c r="BT139" s="1523"/>
      <c r="BU139" s="1523"/>
      <c r="BV139" s="1525"/>
      <c r="BW139" s="1987"/>
      <c r="BX139" s="1987"/>
      <c r="BY139"/>
    </row>
    <row r="140" spans="1:77" s="1505" customFormat="1" ht="13.5" customHeight="1">
      <c r="A140"/>
      <c r="B140" s="1497" t="str">
        <f t="shared" si="116"/>
        <v>LR2</v>
      </c>
      <c r="C140" s="1497" t="str">
        <f t="shared" si="117"/>
        <v>資源・マテリアル</v>
      </c>
      <c r="D140" s="1991" t="e">
        <f>IF(I$116=0,0,G140/I$116)</f>
        <v>#VALUE!</v>
      </c>
      <c r="E140" s="1957">
        <f>IF(J$116=0,0,H140/J$116)</f>
        <v>0</v>
      </c>
      <c r="F140"/>
      <c r="G140" s="1957">
        <f t="shared" si="118"/>
        <v>0.3</v>
      </c>
      <c r="H140" s="1957">
        <f t="shared" si="118"/>
        <v>0</v>
      </c>
      <c r="I140" s="1957">
        <f>G141+G146+G153</f>
        <v>1</v>
      </c>
      <c r="J140" s="1957">
        <f>H141+H146+H153</f>
        <v>0</v>
      </c>
      <c r="K140" s="1500">
        <f>IF(スコア表示!X140=0,0,1)</f>
        <v>1</v>
      </c>
      <c r="L140" s="1500">
        <f>IF(スコア表示!AB140=0,0,1)</f>
        <v>0</v>
      </c>
      <c r="M140"/>
      <c r="N140" s="1631">
        <f>IF(P$116=0,0,R140/P$116)</f>
        <v>0.3</v>
      </c>
      <c r="O140" s="1631">
        <f>IF(Q$116=0,0,S140/Q$116)</f>
        <v>0</v>
      </c>
      <c r="P140" s="1500">
        <f>R141+R146+R153</f>
        <v>1.0000000000000002</v>
      </c>
      <c r="Q140" s="1500">
        <f>S141+S146+S153</f>
        <v>0</v>
      </c>
      <c r="R140" s="1500">
        <f>IF(スコア入力!R140="EB",重み_対象外!D140,U140)</f>
        <v>0.3</v>
      </c>
      <c r="S140" s="1500">
        <f>IF(スコア入力!Y140="EB",重み_対象外!E140,V140)</f>
        <v>0</v>
      </c>
      <c r="T140" s="1460"/>
      <c r="U140" s="1653">
        <f>X140</f>
        <v>0.3</v>
      </c>
      <c r="V140" s="1653">
        <f>Y140</f>
        <v>0</v>
      </c>
      <c r="W140" s="1460"/>
      <c r="X140" s="1500">
        <f t="shared" si="73"/>
        <v>0.3</v>
      </c>
      <c r="Y140" s="1500">
        <f t="shared" si="74"/>
        <v>0</v>
      </c>
      <c r="Z140" s="1501"/>
      <c r="AA140" s="1581" t="str">
        <f t="shared" si="122"/>
        <v>LR2</v>
      </c>
      <c r="AB140" s="1581" t="str">
        <f t="shared" si="123"/>
        <v>LR</v>
      </c>
      <c r="AC140" s="1502" t="str">
        <f t="shared" ref="AC140:AC162" si="155">IF($AA$3=1,AT140,BK140)</f>
        <v>資源・マテリアル</v>
      </c>
      <c r="AD140" s="1654">
        <f t="shared" si="130"/>
        <v>0.3</v>
      </c>
      <c r="AE140" s="1654">
        <f t="shared" si="131"/>
        <v>0.3</v>
      </c>
      <c r="AF140" s="1654">
        <f t="shared" si="132"/>
        <v>0.3</v>
      </c>
      <c r="AG140" s="1654">
        <f t="shared" si="133"/>
        <v>0.3</v>
      </c>
      <c r="AH140" s="1654">
        <f t="shared" si="134"/>
        <v>0.3</v>
      </c>
      <c r="AI140" s="1654">
        <f t="shared" si="135"/>
        <v>0.3</v>
      </c>
      <c r="AJ140" s="1654">
        <f t="shared" si="141"/>
        <v>0.3</v>
      </c>
      <c r="AK140" s="1681">
        <f t="shared" si="136"/>
        <v>0.3</v>
      </c>
      <c r="AL140" s="1654">
        <f t="shared" si="137"/>
        <v>0.3</v>
      </c>
      <c r="AM140" s="1654">
        <f t="shared" si="137"/>
        <v>0.3</v>
      </c>
      <c r="AN140" s="1682">
        <f t="shared" si="138"/>
        <v>0</v>
      </c>
      <c r="AO140" s="1683">
        <f t="shared" si="139"/>
        <v>0</v>
      </c>
      <c r="AP140" s="1683">
        <f t="shared" si="140"/>
        <v>0</v>
      </c>
      <c r="AQ140" s="1585"/>
      <c r="AR140" s="1498" t="s">
        <v>1438</v>
      </c>
      <c r="AS140" s="1994" t="s">
        <v>1412</v>
      </c>
      <c r="AT140" s="1958" t="s">
        <v>1439</v>
      </c>
      <c r="AU140" s="1960">
        <v>0.3</v>
      </c>
      <c r="AV140" s="1960">
        <v>0.3</v>
      </c>
      <c r="AW140" s="1960">
        <v>0.3</v>
      </c>
      <c r="AX140" s="1960">
        <v>0.3</v>
      </c>
      <c r="AY140" s="1960">
        <v>0.3</v>
      </c>
      <c r="AZ140" s="1960">
        <v>0.3</v>
      </c>
      <c r="BA140" s="1960">
        <v>0.3</v>
      </c>
      <c r="BB140" s="1995">
        <v>0.3</v>
      </c>
      <c r="BC140" s="1960">
        <v>0.3</v>
      </c>
      <c r="BD140" s="1960">
        <v>0.3</v>
      </c>
      <c r="BE140" s="1996"/>
      <c r="BF140" s="1997"/>
      <c r="BG140" s="1997"/>
      <c r="BH140"/>
      <c r="BI140" s="1498" t="s">
        <v>1438</v>
      </c>
      <c r="BJ140" s="1994" t="s">
        <v>1412</v>
      </c>
      <c r="BK140" s="1958" t="s">
        <v>1439</v>
      </c>
      <c r="BL140" s="1960">
        <v>0.3</v>
      </c>
      <c r="BM140" s="1960">
        <v>0.3</v>
      </c>
      <c r="BN140" s="1960">
        <v>0.3</v>
      </c>
      <c r="BO140" s="1960">
        <v>0.3</v>
      </c>
      <c r="BP140" s="1960">
        <v>0.3</v>
      </c>
      <c r="BQ140" s="1960">
        <v>0.3</v>
      </c>
      <c r="BR140" s="1960">
        <v>0.3</v>
      </c>
      <c r="BS140" s="1995">
        <v>0.3</v>
      </c>
      <c r="BT140" s="1960">
        <v>0.3</v>
      </c>
      <c r="BU140" s="1960">
        <v>0.3</v>
      </c>
      <c r="BV140" s="1996"/>
      <c r="BW140" s="1997"/>
      <c r="BX140" s="1997"/>
      <c r="BY140"/>
    </row>
    <row r="141" spans="1:77" s="1505" customFormat="1" ht="13.5" customHeight="1">
      <c r="A141"/>
      <c r="B141" s="1573">
        <f t="shared" ref="B141:B172" si="156">AA141</f>
        <v>1</v>
      </c>
      <c r="C141" s="1541" t="str">
        <f t="shared" ref="C141:C172" si="157">AC141</f>
        <v>水資源保護</v>
      </c>
      <c r="D141" s="1962">
        <f>IF(I$140=0,0,G141/I$140)</f>
        <v>0.19999999999999998</v>
      </c>
      <c r="E141" s="1643">
        <f>IF(J$140=0,0,H141/J$140)</f>
        <v>0</v>
      </c>
      <c r="F141"/>
      <c r="G141" s="1643">
        <f t="shared" ref="G141:H172" si="158">K141*N141</f>
        <v>0.19999999999999998</v>
      </c>
      <c r="H141" s="1643">
        <f t="shared" si="158"/>
        <v>0</v>
      </c>
      <c r="I141" s="1643">
        <f>G142+G143</f>
        <v>1</v>
      </c>
      <c r="J141" s="1643">
        <f>H142+H143</f>
        <v>0</v>
      </c>
      <c r="K141" s="1509">
        <f>IF(スコア表示!X141=0,0,1)</f>
        <v>1</v>
      </c>
      <c r="L141" s="1509">
        <f>IF(スコア表示!AB141=0,0,1)</f>
        <v>0</v>
      </c>
      <c r="M141"/>
      <c r="N141" s="1607">
        <f>IF(P$140=0,0,R141/P$140)</f>
        <v>0.19999999999999998</v>
      </c>
      <c r="O141" s="1607">
        <f>IF(Q$140=0,0,S141/Q$140)</f>
        <v>0</v>
      </c>
      <c r="P141" s="1509">
        <f>SUM(R142:R145)</f>
        <v>0.20000000000000004</v>
      </c>
      <c r="Q141" s="1509">
        <f>SUM(S142:S145)</f>
        <v>0</v>
      </c>
      <c r="R141" s="1509">
        <f>IF(スコア入力!R141="EB",重み_対象外!D141,U141)</f>
        <v>0.20000000000000004</v>
      </c>
      <c r="S141" s="1509">
        <f>IF(スコア入力!Y141="EB",重み_対象外!E141,V141)</f>
        <v>0</v>
      </c>
      <c r="T141" s="1460"/>
      <c r="U141" s="1507">
        <f>SUM(U142:U145)</f>
        <v>0.20000000000000004</v>
      </c>
      <c r="V141" s="1507">
        <f>SUM(V142:V145)</f>
        <v>0</v>
      </c>
      <c r="W141" s="1460"/>
      <c r="X141" s="1509">
        <f t="shared" si="73"/>
        <v>0.20000000000000004</v>
      </c>
      <c r="Y141" s="1509">
        <f t="shared" si="74"/>
        <v>0</v>
      </c>
      <c r="Z141" s="1501"/>
      <c r="AA141" s="1574">
        <f t="shared" si="122"/>
        <v>1</v>
      </c>
      <c r="AB141" s="1506" t="str">
        <f t="shared" si="123"/>
        <v>LR2</v>
      </c>
      <c r="AC141" s="1506" t="str">
        <f t="shared" si="155"/>
        <v>水資源保護</v>
      </c>
      <c r="AD141" s="1656">
        <f t="shared" si="130"/>
        <v>0.2</v>
      </c>
      <c r="AE141" s="1656">
        <f t="shared" si="131"/>
        <v>0.2</v>
      </c>
      <c r="AF141" s="1656">
        <f t="shared" si="132"/>
        <v>0.2</v>
      </c>
      <c r="AG141" s="1656">
        <f t="shared" si="133"/>
        <v>0.2</v>
      </c>
      <c r="AH141" s="1656">
        <f t="shared" si="134"/>
        <v>0.2</v>
      </c>
      <c r="AI141" s="1656">
        <f t="shared" si="135"/>
        <v>0.2</v>
      </c>
      <c r="AJ141" s="1656">
        <f t="shared" si="141"/>
        <v>0.2</v>
      </c>
      <c r="AK141" s="1668">
        <f t="shared" si="136"/>
        <v>0.2</v>
      </c>
      <c r="AL141" s="1656">
        <f t="shared" si="137"/>
        <v>0.2</v>
      </c>
      <c r="AM141" s="1656">
        <f t="shared" si="137"/>
        <v>0.2</v>
      </c>
      <c r="AN141" s="1684">
        <f t="shared" si="138"/>
        <v>0</v>
      </c>
      <c r="AO141" s="1685">
        <f t="shared" si="139"/>
        <v>0</v>
      </c>
      <c r="AP141" s="1685">
        <f t="shared" si="140"/>
        <v>0</v>
      </c>
      <c r="AQ141" s="1585"/>
      <c r="AR141" s="1573">
        <v>1</v>
      </c>
      <c r="AS141" s="1644" t="s">
        <v>326</v>
      </c>
      <c r="AT141" s="1680" t="s">
        <v>700</v>
      </c>
      <c r="AU141" s="1611">
        <v>0.2</v>
      </c>
      <c r="AV141" s="1611">
        <v>0.2</v>
      </c>
      <c r="AW141" s="1611">
        <v>0.2</v>
      </c>
      <c r="AX141" s="1611">
        <v>0.2</v>
      </c>
      <c r="AY141" s="1611">
        <v>0.2</v>
      </c>
      <c r="AZ141" s="1611">
        <v>0.2</v>
      </c>
      <c r="BA141" s="1611">
        <v>0.2</v>
      </c>
      <c r="BB141" s="1983">
        <v>0.2</v>
      </c>
      <c r="BC141" s="1611">
        <v>0.2</v>
      </c>
      <c r="BD141" s="1611">
        <v>0.2</v>
      </c>
      <c r="BE141" s="1998"/>
      <c r="BF141" s="1999"/>
      <c r="BG141" s="1999"/>
      <c r="BH141"/>
      <c r="BI141" s="1573">
        <v>1</v>
      </c>
      <c r="BJ141" s="1644" t="s">
        <v>326</v>
      </c>
      <c r="BK141" s="1680" t="s">
        <v>700</v>
      </c>
      <c r="BL141" s="1611">
        <v>0.2</v>
      </c>
      <c r="BM141" s="1611">
        <v>0.2</v>
      </c>
      <c r="BN141" s="1611">
        <v>0.2</v>
      </c>
      <c r="BO141" s="1611">
        <v>0.2</v>
      </c>
      <c r="BP141" s="1611">
        <v>0.2</v>
      </c>
      <c r="BQ141" s="1611">
        <v>0.2</v>
      </c>
      <c r="BR141" s="1611">
        <v>0.2</v>
      </c>
      <c r="BS141" s="1983">
        <v>0.2</v>
      </c>
      <c r="BT141" s="1611">
        <v>0.2</v>
      </c>
      <c r="BU141" s="1611">
        <v>0.2</v>
      </c>
      <c r="BV141" s="1998"/>
      <c r="BW141" s="1999"/>
      <c r="BX141" s="1999"/>
      <c r="BY141"/>
    </row>
    <row r="142" spans="1:77" ht="13.5" customHeight="1">
      <c r="B142" s="1513">
        <f t="shared" si="156"/>
        <v>1.1000000000000001</v>
      </c>
      <c r="C142" s="1514" t="str">
        <f t="shared" si="157"/>
        <v>節水</v>
      </c>
      <c r="D142" s="1616">
        <f>IF(I$141=0,0,G142/I$141)</f>
        <v>0.40000000000000008</v>
      </c>
      <c r="E142" s="1591">
        <f>IF(J$141=0,0,H142/J$141)</f>
        <v>0</v>
      </c>
      <c r="G142" s="1591">
        <f t="shared" si="158"/>
        <v>0.40000000000000008</v>
      </c>
      <c r="H142" s="1591">
        <f t="shared" si="158"/>
        <v>0</v>
      </c>
      <c r="I142" s="1591"/>
      <c r="J142" s="1591"/>
      <c r="K142" s="1516">
        <f>IF(スコア表示!X142=0,0,1)</f>
        <v>1</v>
      </c>
      <c r="L142" s="1516">
        <f>IF(スコア表示!AB142=0,0,1)</f>
        <v>0</v>
      </c>
      <c r="N142" s="1613">
        <f>IF(P$141=0,0,R142/P$141)</f>
        <v>0.40000000000000008</v>
      </c>
      <c r="O142" s="1613">
        <f>IF(Q$141=0,0,S142/Q$141)</f>
        <v>0</v>
      </c>
      <c r="P142" s="1516"/>
      <c r="Q142" s="1516"/>
      <c r="R142" s="1516">
        <f>IF(スコア入力!R142="EB",重み_対象外!D142,U142)</f>
        <v>8.0000000000000029E-2</v>
      </c>
      <c r="S142" s="1516">
        <f>IF(スコア入力!Y142="EB",重み_対象外!E142,V142)</f>
        <v>0</v>
      </c>
      <c r="T142" s="1460"/>
      <c r="U142" s="1514">
        <f>X$141*X142</f>
        <v>8.0000000000000029E-2</v>
      </c>
      <c r="V142" s="1514">
        <f>Y$141*Y142</f>
        <v>0</v>
      </c>
      <c r="W142" s="1460"/>
      <c r="X142" s="1516">
        <f t="shared" ref="X142:X180" si="159">SUMPRODUCT($AD$7:$AM$7,AD142:AM142)</f>
        <v>0.40000000000000008</v>
      </c>
      <c r="Y142" s="1516">
        <f t="shared" ref="Y142:Y180" si="160">(AN$7*AN142)+(AO$7*AO142)+(AP$7*AP142)</f>
        <v>0</v>
      </c>
      <c r="Z142" s="1471"/>
      <c r="AA142" s="1513">
        <f t="shared" si="122"/>
        <v>1.1000000000000001</v>
      </c>
      <c r="AB142" s="1513" t="str">
        <f t="shared" si="123"/>
        <v>LR2 1</v>
      </c>
      <c r="AC142" s="1513" t="str">
        <f t="shared" si="155"/>
        <v>節水</v>
      </c>
      <c r="AD142" s="1659">
        <f t="shared" si="130"/>
        <v>0.4</v>
      </c>
      <c r="AE142" s="1659">
        <f t="shared" si="131"/>
        <v>0.4</v>
      </c>
      <c r="AF142" s="1659">
        <f t="shared" si="132"/>
        <v>0.4</v>
      </c>
      <c r="AG142" s="1659">
        <f t="shared" si="133"/>
        <v>0.4</v>
      </c>
      <c r="AH142" s="1659">
        <f t="shared" si="134"/>
        <v>0.4</v>
      </c>
      <c r="AI142" s="1659">
        <f t="shared" si="135"/>
        <v>0.4</v>
      </c>
      <c r="AJ142" s="1659">
        <f t="shared" si="141"/>
        <v>0.4</v>
      </c>
      <c r="AK142" s="1661">
        <f t="shared" si="136"/>
        <v>0.4</v>
      </c>
      <c r="AL142" s="1659">
        <f t="shared" si="137"/>
        <v>0.4</v>
      </c>
      <c r="AM142" s="1659">
        <f t="shared" si="137"/>
        <v>0.4</v>
      </c>
      <c r="AN142" s="1686">
        <f t="shared" si="138"/>
        <v>0</v>
      </c>
      <c r="AO142" s="1664">
        <f t="shared" si="139"/>
        <v>0</v>
      </c>
      <c r="AP142" s="1664">
        <f t="shared" si="140"/>
        <v>0</v>
      </c>
      <c r="AR142" s="1547">
        <v>1.1000000000000001</v>
      </c>
      <c r="AS142" s="1593" t="s">
        <v>327</v>
      </c>
      <c r="AT142" s="1964" t="s">
        <v>701</v>
      </c>
      <c r="AU142" s="1523">
        <v>0.4</v>
      </c>
      <c r="AV142" s="1523">
        <v>0.4</v>
      </c>
      <c r="AW142" s="1523">
        <v>0.4</v>
      </c>
      <c r="AX142" s="1523">
        <v>0.4</v>
      </c>
      <c r="AY142" s="1523">
        <v>0.4</v>
      </c>
      <c r="AZ142" s="1523">
        <v>0.4</v>
      </c>
      <c r="BA142" s="1523">
        <v>0.4</v>
      </c>
      <c r="BB142" s="1524">
        <v>0.4</v>
      </c>
      <c r="BC142" s="1523">
        <v>0.4</v>
      </c>
      <c r="BD142" s="1523">
        <v>0.4</v>
      </c>
      <c r="BE142" s="1770"/>
      <c r="BF142" s="1615"/>
      <c r="BG142" s="1615"/>
      <c r="BI142" s="1547">
        <v>1.1000000000000001</v>
      </c>
      <c r="BJ142" s="1593" t="s">
        <v>327</v>
      </c>
      <c r="BK142" s="1964" t="s">
        <v>701</v>
      </c>
      <c r="BL142" s="1523">
        <v>0.4</v>
      </c>
      <c r="BM142" s="1523">
        <v>0.4</v>
      </c>
      <c r="BN142" s="1523">
        <v>0.4</v>
      </c>
      <c r="BO142" s="1523">
        <v>0.4</v>
      </c>
      <c r="BP142" s="1523">
        <v>0.4</v>
      </c>
      <c r="BQ142" s="1523">
        <v>0.4</v>
      </c>
      <c r="BR142" s="1523">
        <v>0.4</v>
      </c>
      <c r="BS142" s="1524">
        <v>0.4</v>
      </c>
      <c r="BT142" s="1523">
        <v>0.4</v>
      </c>
      <c r="BU142" s="1523">
        <v>0.4</v>
      </c>
      <c r="BV142" s="1770"/>
      <c r="BW142" s="1615"/>
      <c r="BX142" s="1615"/>
    </row>
    <row r="143" spans="1:77" ht="13.5" customHeight="1">
      <c r="B143" s="1576">
        <f t="shared" si="156"/>
        <v>1.2</v>
      </c>
      <c r="C143" s="1547" t="str">
        <f t="shared" si="157"/>
        <v>雨水利用・雑排水再利用</v>
      </c>
      <c r="D143" s="1616">
        <f>IF(I$141=0,0,G143/I$141)</f>
        <v>0.6</v>
      </c>
      <c r="E143" s="1591">
        <f>IF(J$141=0,0,H143/J$141)</f>
        <v>0</v>
      </c>
      <c r="G143" s="1591">
        <f>K143*N143</f>
        <v>0.6</v>
      </c>
      <c r="H143" s="1591">
        <f t="shared" si="158"/>
        <v>0</v>
      </c>
      <c r="I143" s="1591">
        <f>SUM(G144:G145)</f>
        <v>1</v>
      </c>
      <c r="J143" s="1591">
        <f>SUM(H144:H145)</f>
        <v>0</v>
      </c>
      <c r="K143" s="1516">
        <f>IF(スコア表示!X143=0,0,1)</f>
        <v>1</v>
      </c>
      <c r="L143" s="1516">
        <f>IF(スコア表示!AB143=0,0,1)</f>
        <v>0</v>
      </c>
      <c r="N143" s="1613">
        <f>IF(P$141=0,0,P143/P$141)</f>
        <v>0.6</v>
      </c>
      <c r="O143" s="1613">
        <f>IF(Q$141=0,0,Q143/Q$141)</f>
        <v>0</v>
      </c>
      <c r="P143" s="1516">
        <f>SUM(R144:R145)</f>
        <v>0.12000000000000002</v>
      </c>
      <c r="Q143" s="1516">
        <f>SUM(S144:S145)</f>
        <v>0</v>
      </c>
      <c r="R143" s="1516">
        <f>IF(スコア入力!R143="EB",重み_対象外!D143,U143)</f>
        <v>0</v>
      </c>
      <c r="S143" s="1516">
        <f>IF(スコア入力!Y143="EB",重み_対象外!E143,V143)</f>
        <v>0</v>
      </c>
      <c r="T143" s="1460"/>
      <c r="U143" s="1530"/>
      <c r="V143" s="1530"/>
      <c r="W143" s="1460"/>
      <c r="X143" s="1516">
        <f t="shared" si="159"/>
        <v>0.6</v>
      </c>
      <c r="Y143" s="1516">
        <f t="shared" si="160"/>
        <v>0</v>
      </c>
      <c r="Z143" s="1471"/>
      <c r="AA143" s="1576">
        <f t="shared" si="122"/>
        <v>1.2</v>
      </c>
      <c r="AB143" s="1513" t="str">
        <f t="shared" si="123"/>
        <v>LR2 1</v>
      </c>
      <c r="AC143" s="1513" t="str">
        <f t="shared" si="155"/>
        <v>雨水利用・雑排水再利用</v>
      </c>
      <c r="AD143" s="1659">
        <f t="shared" si="130"/>
        <v>0.6</v>
      </c>
      <c r="AE143" s="1659">
        <f t="shared" si="131"/>
        <v>0.6</v>
      </c>
      <c r="AF143" s="1659">
        <f t="shared" si="132"/>
        <v>0.6</v>
      </c>
      <c r="AG143" s="1659">
        <f t="shared" si="133"/>
        <v>0.6</v>
      </c>
      <c r="AH143" s="1659">
        <f t="shared" si="134"/>
        <v>0.6</v>
      </c>
      <c r="AI143" s="1659">
        <f t="shared" si="135"/>
        <v>0.6</v>
      </c>
      <c r="AJ143" s="1659">
        <f t="shared" si="141"/>
        <v>0.6</v>
      </c>
      <c r="AK143" s="1661">
        <f t="shared" si="136"/>
        <v>0.6</v>
      </c>
      <c r="AL143" s="1659">
        <f t="shared" si="137"/>
        <v>0.6</v>
      </c>
      <c r="AM143" s="1659">
        <f t="shared" si="137"/>
        <v>0.6</v>
      </c>
      <c r="AN143" s="1686">
        <f t="shared" si="138"/>
        <v>0</v>
      </c>
      <c r="AO143" s="1664">
        <f t="shared" si="139"/>
        <v>0</v>
      </c>
      <c r="AP143" s="1664">
        <f t="shared" si="140"/>
        <v>0</v>
      </c>
      <c r="AR143" s="1992">
        <v>1.2</v>
      </c>
      <c r="AS143" s="1593" t="s">
        <v>327</v>
      </c>
      <c r="AT143" s="1637" t="s">
        <v>702</v>
      </c>
      <c r="AU143" s="1523">
        <v>0.6</v>
      </c>
      <c r="AV143" s="1523">
        <v>0.6</v>
      </c>
      <c r="AW143" s="1523">
        <v>0.6</v>
      </c>
      <c r="AX143" s="1523">
        <v>0.6</v>
      </c>
      <c r="AY143" s="1523">
        <v>0.6</v>
      </c>
      <c r="AZ143" s="1523">
        <v>0.6</v>
      </c>
      <c r="BA143" s="1523">
        <v>0.6</v>
      </c>
      <c r="BB143" s="1524">
        <v>0.6</v>
      </c>
      <c r="BC143" s="1523">
        <v>0.6</v>
      </c>
      <c r="BD143" s="1523">
        <v>0.6</v>
      </c>
      <c r="BE143" s="1770"/>
      <c r="BF143" s="1615"/>
      <c r="BG143" s="1615"/>
      <c r="BI143" s="1992">
        <v>1.2</v>
      </c>
      <c r="BJ143" s="1593" t="s">
        <v>327</v>
      </c>
      <c r="BK143" s="1637" t="s">
        <v>702</v>
      </c>
      <c r="BL143" s="1523">
        <v>0.6</v>
      </c>
      <c r="BM143" s="1523">
        <v>0.6</v>
      </c>
      <c r="BN143" s="1523">
        <v>0.6</v>
      </c>
      <c r="BO143" s="1523">
        <v>0.6</v>
      </c>
      <c r="BP143" s="1523">
        <v>0.6</v>
      </c>
      <c r="BQ143" s="1523">
        <v>0.6</v>
      </c>
      <c r="BR143" s="1523">
        <v>0.6</v>
      </c>
      <c r="BS143" s="1524">
        <v>0.6</v>
      </c>
      <c r="BT143" s="1523">
        <v>0.6</v>
      </c>
      <c r="BU143" s="1523">
        <v>0.6</v>
      </c>
      <c r="BV143" s="1770"/>
      <c r="BW143" s="1615"/>
      <c r="BX143" s="1615"/>
    </row>
    <row r="144" spans="1:77" ht="13.5" customHeight="1">
      <c r="B144" s="1521" t="str">
        <f t="shared" si="156"/>
        <v>1.2.1</v>
      </c>
      <c r="C144" s="1514" t="str">
        <f t="shared" si="157"/>
        <v>雨水利用システム導入の有無</v>
      </c>
      <c r="D144" s="1621">
        <f>IF(I$143&gt;0,G144/I$143,0)</f>
        <v>0.70000000000000007</v>
      </c>
      <c r="E144" s="1591">
        <f>IF(J$143&gt;0,H144/J$143,0)</f>
        <v>0</v>
      </c>
      <c r="G144" s="1591">
        <f t="shared" si="158"/>
        <v>0.70000000000000007</v>
      </c>
      <c r="H144" s="1591">
        <f t="shared" si="158"/>
        <v>0</v>
      </c>
      <c r="I144" s="1591"/>
      <c r="J144" s="1591"/>
      <c r="K144" s="1516">
        <f>IF(スコア表示!X144=0,0,1)</f>
        <v>1</v>
      </c>
      <c r="L144" s="1516">
        <f>IF(スコア表示!AB144=0,0,1)</f>
        <v>0</v>
      </c>
      <c r="N144" s="1608">
        <f>IF(P$143&gt;0,R144/P$143,0)</f>
        <v>0.70000000000000007</v>
      </c>
      <c r="O144" s="1608">
        <f>IF(Q$143&gt;0,S144/Q$143,0)</f>
        <v>0</v>
      </c>
      <c r="P144" s="1516"/>
      <c r="Q144" s="1516"/>
      <c r="R144" s="1516">
        <f>IF(スコア入力!R144="EB",重み_対象外!D144,U144)</f>
        <v>8.4000000000000019E-2</v>
      </c>
      <c r="S144" s="1516">
        <f>IF(スコア入力!Y144="EB",重み_対象外!E144,V144)</f>
        <v>0</v>
      </c>
      <c r="T144" s="1460"/>
      <c r="U144" s="1514">
        <f>X$141*X$143*X144</f>
        <v>8.4000000000000019E-2</v>
      </c>
      <c r="V144" s="1514">
        <f>Y$141*Y$143*Y144</f>
        <v>0</v>
      </c>
      <c r="W144" s="1460"/>
      <c r="X144" s="1516">
        <f t="shared" si="159"/>
        <v>0.70000000000000007</v>
      </c>
      <c r="Y144" s="1516">
        <f t="shared" si="160"/>
        <v>0</v>
      </c>
      <c r="Z144" s="1471"/>
      <c r="AA144" s="1513" t="str">
        <f t="shared" si="122"/>
        <v>1.2.1</v>
      </c>
      <c r="AB144" s="1513" t="str">
        <f t="shared" si="123"/>
        <v>LR2 1.2</v>
      </c>
      <c r="AC144" s="1513" t="str">
        <f t="shared" si="155"/>
        <v>雨水利用システム導入の有無</v>
      </c>
      <c r="AD144" s="1659">
        <f t="shared" si="130"/>
        <v>0.7</v>
      </c>
      <c r="AE144" s="1659">
        <f t="shared" si="131"/>
        <v>0.7</v>
      </c>
      <c r="AF144" s="1659">
        <f t="shared" si="132"/>
        <v>0.7</v>
      </c>
      <c r="AG144" s="1659">
        <f t="shared" si="133"/>
        <v>0.7</v>
      </c>
      <c r="AH144" s="1659">
        <f t="shared" si="134"/>
        <v>0.7</v>
      </c>
      <c r="AI144" s="1659">
        <f t="shared" si="135"/>
        <v>0.7</v>
      </c>
      <c r="AJ144" s="1659">
        <f t="shared" si="141"/>
        <v>0.7</v>
      </c>
      <c r="AK144" s="1661">
        <f t="shared" si="136"/>
        <v>0.7</v>
      </c>
      <c r="AL144" s="1659">
        <f t="shared" si="137"/>
        <v>0.7</v>
      </c>
      <c r="AM144" s="1659">
        <f t="shared" si="137"/>
        <v>0.7</v>
      </c>
      <c r="AN144" s="1686">
        <f t="shared" si="138"/>
        <v>0</v>
      </c>
      <c r="AO144" s="1664">
        <f t="shared" si="139"/>
        <v>0</v>
      </c>
      <c r="AP144" s="1664">
        <f t="shared" si="140"/>
        <v>0</v>
      </c>
      <c r="AR144" s="1547" t="s">
        <v>1367</v>
      </c>
      <c r="AS144" s="1593" t="s">
        <v>328</v>
      </c>
      <c r="AT144" s="1964" t="s">
        <v>1440</v>
      </c>
      <c r="AU144" s="1523">
        <v>0.7</v>
      </c>
      <c r="AV144" s="1523">
        <v>0.7</v>
      </c>
      <c r="AW144" s="1523">
        <v>0.7</v>
      </c>
      <c r="AX144" s="1523">
        <v>0.7</v>
      </c>
      <c r="AY144" s="1523">
        <v>0.7</v>
      </c>
      <c r="AZ144" s="1523">
        <v>0.7</v>
      </c>
      <c r="BA144" s="1523">
        <v>0.7</v>
      </c>
      <c r="BB144" s="1524">
        <v>0.7</v>
      </c>
      <c r="BC144" s="1523">
        <v>0.7</v>
      </c>
      <c r="BD144" s="1523">
        <v>0.7</v>
      </c>
      <c r="BE144" s="1770"/>
      <c r="BF144" s="1615"/>
      <c r="BG144" s="1615"/>
      <c r="BI144" s="1547" t="s">
        <v>1367</v>
      </c>
      <c r="BJ144" s="1593" t="s">
        <v>328</v>
      </c>
      <c r="BK144" s="1964" t="s">
        <v>1440</v>
      </c>
      <c r="BL144" s="1523">
        <v>0.7</v>
      </c>
      <c r="BM144" s="1523">
        <v>0.7</v>
      </c>
      <c r="BN144" s="1523">
        <v>0.7</v>
      </c>
      <c r="BO144" s="1523">
        <v>0.7</v>
      </c>
      <c r="BP144" s="1523">
        <v>0.7</v>
      </c>
      <c r="BQ144" s="1523">
        <v>0.7</v>
      </c>
      <c r="BR144" s="1523">
        <v>0.7</v>
      </c>
      <c r="BS144" s="1524">
        <v>0.7</v>
      </c>
      <c r="BT144" s="1523">
        <v>0.7</v>
      </c>
      <c r="BU144" s="1523">
        <v>0.7</v>
      </c>
      <c r="BV144" s="1770"/>
      <c r="BW144" s="1615"/>
      <c r="BX144" s="1615"/>
    </row>
    <row r="145" spans="1:77" ht="13.5" customHeight="1">
      <c r="B145" s="1513" t="str">
        <f t="shared" si="156"/>
        <v>1.2.2</v>
      </c>
      <c r="C145" s="1514" t="str">
        <f t="shared" si="157"/>
        <v>雑排水等再利用システム導入の有無</v>
      </c>
      <c r="D145" s="1621">
        <f>IF(I$143&gt;0,G145/I$143,0)</f>
        <v>0.3</v>
      </c>
      <c r="E145" s="1591">
        <f>IF(J$143&gt;0,H145/J$143,0)</f>
        <v>0</v>
      </c>
      <c r="G145" s="1591">
        <f>K145*N145</f>
        <v>0.3</v>
      </c>
      <c r="H145" s="1591">
        <f t="shared" si="158"/>
        <v>0</v>
      </c>
      <c r="I145" s="1591"/>
      <c r="J145" s="1591"/>
      <c r="K145" s="1516">
        <f>IF(スコア表示!X145=0,0,1)</f>
        <v>1</v>
      </c>
      <c r="L145" s="1516">
        <f>IF(スコア表示!AB145=0,0,1)</f>
        <v>0</v>
      </c>
      <c r="N145" s="1608">
        <f>IF(P$143&gt;0,R145/P$143,0)</f>
        <v>0.3</v>
      </c>
      <c r="O145" s="1608">
        <f>IF(Q$143&gt;0,S145/Q$143,0)</f>
        <v>0</v>
      </c>
      <c r="P145" s="1516"/>
      <c r="Q145" s="1516"/>
      <c r="R145" s="1516">
        <f>IF(スコア入力!R145="EB",重み_対象外!D145,U145)</f>
        <v>3.6000000000000004E-2</v>
      </c>
      <c r="S145" s="1516">
        <f>IF(スコア入力!Y145="EB",重み_対象外!E145,V145)</f>
        <v>0</v>
      </c>
      <c r="T145" s="1460"/>
      <c r="U145" s="1514">
        <f>X$141*X$143*X145</f>
        <v>3.6000000000000004E-2</v>
      </c>
      <c r="V145" s="1514">
        <f>Y$141*Y$143*Y145</f>
        <v>0</v>
      </c>
      <c r="W145" s="1460"/>
      <c r="X145" s="1516">
        <f t="shared" si="159"/>
        <v>0.3</v>
      </c>
      <c r="Y145" s="1516">
        <f t="shared" si="160"/>
        <v>0</v>
      </c>
      <c r="Z145" s="1471"/>
      <c r="AA145" s="1513" t="str">
        <f t="shared" si="122"/>
        <v>1.2.2</v>
      </c>
      <c r="AB145" s="1513" t="str">
        <f t="shared" si="123"/>
        <v>LR2 1.2</v>
      </c>
      <c r="AC145" s="1513" t="str">
        <f t="shared" si="155"/>
        <v>雑排水等再利用システム導入の有無</v>
      </c>
      <c r="AD145" s="1659">
        <f t="shared" si="130"/>
        <v>0.3</v>
      </c>
      <c r="AE145" s="1659">
        <f t="shared" si="131"/>
        <v>0.3</v>
      </c>
      <c r="AF145" s="1659">
        <f t="shared" si="132"/>
        <v>0.3</v>
      </c>
      <c r="AG145" s="1659">
        <f t="shared" si="133"/>
        <v>0.3</v>
      </c>
      <c r="AH145" s="1659">
        <f t="shared" si="134"/>
        <v>0.3</v>
      </c>
      <c r="AI145" s="1659">
        <f t="shared" si="135"/>
        <v>0.3</v>
      </c>
      <c r="AJ145" s="1659">
        <f t="shared" si="141"/>
        <v>0.3</v>
      </c>
      <c r="AK145" s="1661">
        <f t="shared" si="136"/>
        <v>0.3</v>
      </c>
      <c r="AL145" s="1659">
        <f t="shared" si="137"/>
        <v>0.3</v>
      </c>
      <c r="AM145" s="1659">
        <f t="shared" si="137"/>
        <v>0.3</v>
      </c>
      <c r="AN145" s="1686">
        <f t="shared" si="138"/>
        <v>0</v>
      </c>
      <c r="AO145" s="1664">
        <f t="shared" si="139"/>
        <v>0</v>
      </c>
      <c r="AP145" s="1664">
        <f t="shared" si="140"/>
        <v>0</v>
      </c>
      <c r="AR145" s="1547" t="s">
        <v>1368</v>
      </c>
      <c r="AS145" s="1593" t="s">
        <v>328</v>
      </c>
      <c r="AT145" s="1964" t="s">
        <v>847</v>
      </c>
      <c r="AU145" s="1523">
        <v>0.3</v>
      </c>
      <c r="AV145" s="1523">
        <v>0.3</v>
      </c>
      <c r="AW145" s="1523">
        <v>0.3</v>
      </c>
      <c r="AX145" s="1523">
        <v>0.3</v>
      </c>
      <c r="AY145" s="1523">
        <v>0.3</v>
      </c>
      <c r="AZ145" s="1523">
        <v>0.3</v>
      </c>
      <c r="BA145" s="1523">
        <v>0.3</v>
      </c>
      <c r="BB145" s="1524">
        <v>0.3</v>
      </c>
      <c r="BC145" s="1523">
        <v>0.3</v>
      </c>
      <c r="BD145" s="1523">
        <v>0.3</v>
      </c>
      <c r="BE145" s="1770"/>
      <c r="BF145" s="1615"/>
      <c r="BG145" s="1615"/>
      <c r="BI145" s="1547" t="s">
        <v>1368</v>
      </c>
      <c r="BJ145" s="1593" t="s">
        <v>328</v>
      </c>
      <c r="BK145" s="1964" t="s">
        <v>847</v>
      </c>
      <c r="BL145" s="1523">
        <v>0.3</v>
      </c>
      <c r="BM145" s="1523">
        <v>0.3</v>
      </c>
      <c r="BN145" s="1523">
        <v>0.3</v>
      </c>
      <c r="BO145" s="1523">
        <v>0.3</v>
      </c>
      <c r="BP145" s="1523">
        <v>0.3</v>
      </c>
      <c r="BQ145" s="1523">
        <v>0.3</v>
      </c>
      <c r="BR145" s="1523">
        <v>0.3</v>
      </c>
      <c r="BS145" s="1524">
        <v>0.3</v>
      </c>
      <c r="BT145" s="1523">
        <v>0.3</v>
      </c>
      <c r="BU145" s="1523">
        <v>0.3</v>
      </c>
      <c r="BV145" s="1770"/>
      <c r="BW145" s="1615"/>
      <c r="BX145" s="1615"/>
    </row>
    <row r="146" spans="1:77" s="1505" customFormat="1" ht="13.5" customHeight="1">
      <c r="A146"/>
      <c r="B146" s="1541">
        <f t="shared" si="156"/>
        <v>2</v>
      </c>
      <c r="C146" s="1589" t="str">
        <f t="shared" si="157"/>
        <v>非再生性資源の使用量削減</v>
      </c>
      <c r="D146" s="1962">
        <f>IF(I$140=0,0,G146/I$140)</f>
        <v>0.6</v>
      </c>
      <c r="E146" s="1643">
        <f>IF(J$140=0,0,H146/J$140)</f>
        <v>0</v>
      </c>
      <c r="F146"/>
      <c r="G146" s="1643">
        <f t="shared" si="158"/>
        <v>0.6</v>
      </c>
      <c r="H146" s="1643">
        <f t="shared" si="158"/>
        <v>0</v>
      </c>
      <c r="I146" s="1643">
        <f>G147+G148+G149+G150+G151+G152</f>
        <v>1</v>
      </c>
      <c r="J146" s="1643">
        <f>H147+H148+H149+H150+H151+H152</f>
        <v>0</v>
      </c>
      <c r="K146" s="1509">
        <f>IF(スコア表示!X146=0,0,1)</f>
        <v>1</v>
      </c>
      <c r="L146" s="1509">
        <f>IF(スコア表示!AB146=0,0,1)</f>
        <v>0</v>
      </c>
      <c r="M146"/>
      <c r="N146" s="1607">
        <f>IF(P$140=0,0,R146/P$140)</f>
        <v>0.6</v>
      </c>
      <c r="O146" s="1607">
        <f>IF(Q$140=0,0,S146/Q$140)</f>
        <v>0</v>
      </c>
      <c r="P146" s="1509">
        <f>SUM(R147:R152)</f>
        <v>0.60000000000000009</v>
      </c>
      <c r="Q146" s="1509">
        <f>SUM(S147:S152)</f>
        <v>0</v>
      </c>
      <c r="R146" s="1509">
        <f>IF(スコア入力!R146="EB",重み_対象外!D146,U146)</f>
        <v>0.60000000000000009</v>
      </c>
      <c r="S146" s="1509">
        <f>IF(スコア入力!Y146="EB",重み_対象外!E146,V146)</f>
        <v>0</v>
      </c>
      <c r="T146" s="1460"/>
      <c r="U146" s="1507">
        <f>SUM(U147:U152)</f>
        <v>0.60000000000000009</v>
      </c>
      <c r="V146" s="1507">
        <f>SUM(V147:V152)</f>
        <v>0</v>
      </c>
      <c r="W146" s="1460"/>
      <c r="X146" s="1509">
        <f t="shared" si="159"/>
        <v>0.6</v>
      </c>
      <c r="Y146" s="1509">
        <f t="shared" si="160"/>
        <v>0</v>
      </c>
      <c r="Z146" s="1501"/>
      <c r="AA146" s="1506">
        <f t="shared" si="122"/>
        <v>2</v>
      </c>
      <c r="AB146" s="1506" t="str">
        <f t="shared" si="123"/>
        <v>LR2</v>
      </c>
      <c r="AC146" s="1506" t="str">
        <f t="shared" si="155"/>
        <v>非再生性資源の使用量削減</v>
      </c>
      <c r="AD146" s="1656">
        <f t="shared" si="130"/>
        <v>0.6</v>
      </c>
      <c r="AE146" s="1656">
        <f t="shared" si="131"/>
        <v>0.6</v>
      </c>
      <c r="AF146" s="1656">
        <f t="shared" si="132"/>
        <v>0.6</v>
      </c>
      <c r="AG146" s="1656">
        <f t="shared" si="133"/>
        <v>0.6</v>
      </c>
      <c r="AH146" s="1656">
        <f t="shared" si="134"/>
        <v>0.6</v>
      </c>
      <c r="AI146" s="1656">
        <f t="shared" si="135"/>
        <v>0.6</v>
      </c>
      <c r="AJ146" s="1656">
        <f t="shared" si="141"/>
        <v>0.6</v>
      </c>
      <c r="AK146" s="1668">
        <f t="shared" si="136"/>
        <v>0.6</v>
      </c>
      <c r="AL146" s="1656">
        <f t="shared" si="137"/>
        <v>0.6</v>
      </c>
      <c r="AM146" s="1656">
        <f t="shared" si="137"/>
        <v>0.6</v>
      </c>
      <c r="AN146" s="1684">
        <f t="shared" si="138"/>
        <v>0</v>
      </c>
      <c r="AO146" s="1685">
        <f t="shared" si="139"/>
        <v>0</v>
      </c>
      <c r="AP146" s="1685">
        <f t="shared" si="140"/>
        <v>0</v>
      </c>
      <c r="AQ146" s="1585"/>
      <c r="AR146" s="1541">
        <v>2</v>
      </c>
      <c r="AS146" s="1644" t="s">
        <v>326</v>
      </c>
      <c r="AT146" s="1687" t="s">
        <v>706</v>
      </c>
      <c r="AU146" s="1611">
        <v>0.6</v>
      </c>
      <c r="AV146" s="1611">
        <v>0.6</v>
      </c>
      <c r="AW146" s="1611">
        <v>0.6</v>
      </c>
      <c r="AX146" s="1611">
        <v>0.6</v>
      </c>
      <c r="AY146" s="1611">
        <v>0.6</v>
      </c>
      <c r="AZ146" s="1611">
        <v>0.6</v>
      </c>
      <c r="BA146" s="1611">
        <v>0.6</v>
      </c>
      <c r="BB146" s="1611">
        <v>0.6</v>
      </c>
      <c r="BC146" s="1611">
        <v>0.6</v>
      </c>
      <c r="BD146" s="1611">
        <v>0.6</v>
      </c>
      <c r="BE146" s="1998"/>
      <c r="BF146" s="1999"/>
      <c r="BG146" s="1999"/>
      <c r="BH146"/>
      <c r="BI146" s="1541">
        <v>2</v>
      </c>
      <c r="BJ146" s="1644" t="s">
        <v>326</v>
      </c>
      <c r="BK146" s="1687" t="s">
        <v>706</v>
      </c>
      <c r="BL146" s="1611">
        <v>0.6</v>
      </c>
      <c r="BM146" s="1611">
        <v>0.6</v>
      </c>
      <c r="BN146" s="1611">
        <v>0.6</v>
      </c>
      <c r="BO146" s="1611">
        <v>0.6</v>
      </c>
      <c r="BP146" s="1611">
        <v>0.6</v>
      </c>
      <c r="BQ146" s="1611">
        <v>0.6</v>
      </c>
      <c r="BR146" s="1611">
        <v>0.6</v>
      </c>
      <c r="BS146" s="1611">
        <v>0.6</v>
      </c>
      <c r="BT146" s="1611">
        <v>0.6</v>
      </c>
      <c r="BU146" s="1611">
        <v>0.6</v>
      </c>
      <c r="BV146" s="1998"/>
      <c r="BW146" s="1999"/>
      <c r="BX146" s="1999"/>
      <c r="BY146"/>
    </row>
    <row r="147" spans="1:77" ht="13.5" customHeight="1">
      <c r="B147" s="1521" t="str">
        <f t="shared" si="156"/>
        <v>2.1</v>
      </c>
      <c r="C147" s="1547" t="str">
        <f t="shared" si="157"/>
        <v>材料使用量の削減</v>
      </c>
      <c r="D147" s="1616">
        <f t="shared" ref="D147:E152" si="161">IF(I$146=0,0,G147/I$146)</f>
        <v>0.1</v>
      </c>
      <c r="E147" s="1591">
        <f t="shared" si="161"/>
        <v>0</v>
      </c>
      <c r="G147" s="1591">
        <f t="shared" si="158"/>
        <v>0.1</v>
      </c>
      <c r="H147" s="1591">
        <f t="shared" si="158"/>
        <v>0</v>
      </c>
      <c r="I147" s="1591"/>
      <c r="J147" s="1591"/>
      <c r="K147" s="1516">
        <f>IF(スコア表示!X147=0,0,1)</f>
        <v>1</v>
      </c>
      <c r="L147" s="1516">
        <f>IF(スコア表示!AB147=0,0,1)</f>
        <v>0</v>
      </c>
      <c r="N147" s="1613">
        <f t="shared" ref="N147:O152" si="162">IF(P$146=0,0,R147/P$146)</f>
        <v>0.1</v>
      </c>
      <c r="O147" s="1613">
        <f t="shared" si="162"/>
        <v>0</v>
      </c>
      <c r="P147" s="1516"/>
      <c r="Q147" s="1516"/>
      <c r="R147" s="1516">
        <f>IF(スコア入力!R147="EB",重み_対象外!D147,U147)</f>
        <v>6.0000000000000012E-2</v>
      </c>
      <c r="S147" s="1516">
        <f>IF(スコア入力!Y147="EB",重み_対象外!E147,V147)</f>
        <v>0</v>
      </c>
      <c r="T147" s="1460"/>
      <c r="U147" s="1530">
        <f>X$146*X147</f>
        <v>6.0000000000000012E-2</v>
      </c>
      <c r="V147" s="1530">
        <f>Y$146*Y147</f>
        <v>0</v>
      </c>
      <c r="W147" s="1460"/>
      <c r="X147" s="1516">
        <f t="shared" si="159"/>
        <v>0.10000000000000002</v>
      </c>
      <c r="Y147" s="1516">
        <f t="shared" si="160"/>
        <v>0</v>
      </c>
      <c r="Z147" s="1471"/>
      <c r="AA147" s="1513" t="str">
        <f t="shared" si="122"/>
        <v>2.1</v>
      </c>
      <c r="AB147" s="1513" t="str">
        <f t="shared" si="123"/>
        <v>LR2 2</v>
      </c>
      <c r="AC147" s="1513" t="str">
        <f t="shared" si="155"/>
        <v>材料使用量の削減</v>
      </c>
      <c r="AD147" s="1659">
        <f t="shared" si="130"/>
        <v>0.1</v>
      </c>
      <c r="AE147" s="1659">
        <f t="shared" si="131"/>
        <v>0.1</v>
      </c>
      <c r="AF147" s="1659">
        <f t="shared" si="132"/>
        <v>0.1</v>
      </c>
      <c r="AG147" s="1659">
        <f t="shared" si="133"/>
        <v>0.1</v>
      </c>
      <c r="AH147" s="1659">
        <f t="shared" si="134"/>
        <v>0.1</v>
      </c>
      <c r="AI147" s="1659">
        <f t="shared" si="135"/>
        <v>0.1</v>
      </c>
      <c r="AJ147" s="1659">
        <f t="shared" si="141"/>
        <v>0.1</v>
      </c>
      <c r="AK147" s="1661">
        <f t="shared" si="136"/>
        <v>0.1</v>
      </c>
      <c r="AL147" s="1659">
        <f t="shared" si="137"/>
        <v>0.1</v>
      </c>
      <c r="AM147" s="1659">
        <f t="shared" si="137"/>
        <v>0.1</v>
      </c>
      <c r="AN147" s="1686">
        <f t="shared" si="138"/>
        <v>0</v>
      </c>
      <c r="AO147" s="1664">
        <f t="shared" si="139"/>
        <v>0</v>
      </c>
      <c r="AP147" s="1664">
        <f t="shared" si="140"/>
        <v>0</v>
      </c>
      <c r="AR147" s="1547" t="s">
        <v>1417</v>
      </c>
      <c r="AS147" s="1644" t="s">
        <v>329</v>
      </c>
      <c r="AT147" s="1964" t="s">
        <v>707</v>
      </c>
      <c r="AU147" s="1987">
        <v>0.1</v>
      </c>
      <c r="AV147" s="1987">
        <v>0.1</v>
      </c>
      <c r="AW147" s="1987">
        <v>0.1</v>
      </c>
      <c r="AX147" s="1987">
        <v>0.1</v>
      </c>
      <c r="AY147" s="1987">
        <v>0.1</v>
      </c>
      <c r="AZ147" s="1987">
        <v>0.1</v>
      </c>
      <c r="BA147" s="1987">
        <v>0.1</v>
      </c>
      <c r="BB147" s="1987">
        <v>0.1</v>
      </c>
      <c r="BC147" s="1987">
        <v>0.1</v>
      </c>
      <c r="BD147" s="1987">
        <v>0.1</v>
      </c>
      <c r="BE147" s="1998"/>
      <c r="BF147" s="1999"/>
      <c r="BG147" s="1999"/>
      <c r="BI147" s="1547" t="s">
        <v>1417</v>
      </c>
      <c r="BJ147" s="1644" t="s">
        <v>329</v>
      </c>
      <c r="BK147" s="1964" t="s">
        <v>707</v>
      </c>
      <c r="BL147" s="1987">
        <v>0.1</v>
      </c>
      <c r="BM147" s="1987">
        <v>0.1</v>
      </c>
      <c r="BN147" s="1987">
        <v>0.1</v>
      </c>
      <c r="BO147" s="1987">
        <v>0.1</v>
      </c>
      <c r="BP147" s="1987">
        <v>0.1</v>
      </c>
      <c r="BQ147" s="1987">
        <v>0.1</v>
      </c>
      <c r="BR147" s="1987">
        <v>0.1</v>
      </c>
      <c r="BS147" s="1987">
        <v>0.1</v>
      </c>
      <c r="BT147" s="1987">
        <v>0.1</v>
      </c>
      <c r="BU147" s="1987">
        <v>0.1</v>
      </c>
      <c r="BV147" s="1998"/>
      <c r="BW147" s="1999"/>
      <c r="BX147" s="1999"/>
    </row>
    <row r="148" spans="1:77" ht="13.5" customHeight="1">
      <c r="B148" s="1521" t="str">
        <f t="shared" si="156"/>
        <v>2.2</v>
      </c>
      <c r="C148" s="1547" t="str">
        <f t="shared" si="157"/>
        <v>既存建築躯体等の継続使用</v>
      </c>
      <c r="D148" s="1616">
        <f t="shared" si="161"/>
        <v>0.2</v>
      </c>
      <c r="E148" s="1591">
        <f t="shared" si="161"/>
        <v>0</v>
      </c>
      <c r="G148" s="1591">
        <f t="shared" si="158"/>
        <v>0.2</v>
      </c>
      <c r="H148" s="1591">
        <f t="shared" si="158"/>
        <v>0</v>
      </c>
      <c r="I148" s="1591"/>
      <c r="J148" s="1591"/>
      <c r="K148" s="1516">
        <f>IF(スコア表示!X148=0,0,1)</f>
        <v>1</v>
      </c>
      <c r="L148" s="1516">
        <f>IF(スコア表示!AB148=0,0,1)</f>
        <v>0</v>
      </c>
      <c r="N148" s="1613">
        <f t="shared" si="162"/>
        <v>0.2</v>
      </c>
      <c r="O148" s="1613">
        <f t="shared" si="162"/>
        <v>0</v>
      </c>
      <c r="P148" s="1516"/>
      <c r="Q148" s="1516"/>
      <c r="R148" s="1516">
        <f>IF(スコア入力!R148="EB",重み_対象外!D148,U148)</f>
        <v>0.12000000000000002</v>
      </c>
      <c r="S148" s="1516">
        <f>IF(スコア入力!Y148="EB",重み_対象外!E148,V148)</f>
        <v>0</v>
      </c>
      <c r="T148" s="1460"/>
      <c r="U148" s="1514">
        <f>X$146*X148</f>
        <v>0.12000000000000002</v>
      </c>
      <c r="V148" s="1514">
        <f>Y$146*Y$147*Y148</f>
        <v>0</v>
      </c>
      <c r="W148" s="1460"/>
      <c r="X148" s="1516">
        <f t="shared" si="159"/>
        <v>0.20000000000000004</v>
      </c>
      <c r="Y148" s="1516">
        <f t="shared" si="160"/>
        <v>0</v>
      </c>
      <c r="Z148" s="1471"/>
      <c r="AA148" s="1513" t="str">
        <f t="shared" si="122"/>
        <v>2.2</v>
      </c>
      <c r="AB148" s="1513" t="str">
        <f t="shared" si="123"/>
        <v>LR2 2</v>
      </c>
      <c r="AC148" s="1513" t="str">
        <f t="shared" si="155"/>
        <v>既存建築躯体等の継続使用</v>
      </c>
      <c r="AD148" s="1659">
        <f t="shared" si="130"/>
        <v>0.2</v>
      </c>
      <c r="AE148" s="1659">
        <f t="shared" si="131"/>
        <v>0.2</v>
      </c>
      <c r="AF148" s="1659">
        <f t="shared" si="132"/>
        <v>0.2</v>
      </c>
      <c r="AG148" s="1659">
        <f t="shared" si="133"/>
        <v>0.2</v>
      </c>
      <c r="AH148" s="1659">
        <f t="shared" si="134"/>
        <v>0.2</v>
      </c>
      <c r="AI148" s="1659">
        <f t="shared" si="135"/>
        <v>0.2</v>
      </c>
      <c r="AJ148" s="1659">
        <f t="shared" si="141"/>
        <v>0.2</v>
      </c>
      <c r="AK148" s="1661">
        <f t="shared" si="136"/>
        <v>0.2</v>
      </c>
      <c r="AL148" s="1659">
        <f t="shared" si="137"/>
        <v>0.2</v>
      </c>
      <c r="AM148" s="1659">
        <f t="shared" si="137"/>
        <v>0.2</v>
      </c>
      <c r="AN148" s="1686">
        <f t="shared" si="138"/>
        <v>0</v>
      </c>
      <c r="AO148" s="1664">
        <f t="shared" si="139"/>
        <v>0</v>
      </c>
      <c r="AP148" s="1664">
        <f t="shared" si="140"/>
        <v>0</v>
      </c>
      <c r="AR148" s="1547" t="s">
        <v>1419</v>
      </c>
      <c r="AS148" s="1593" t="s">
        <v>329</v>
      </c>
      <c r="AT148" s="1637" t="s">
        <v>708</v>
      </c>
      <c r="AU148" s="1523">
        <v>0.2</v>
      </c>
      <c r="AV148" s="1523">
        <v>0.2</v>
      </c>
      <c r="AW148" s="1523">
        <v>0.2</v>
      </c>
      <c r="AX148" s="1523">
        <v>0.2</v>
      </c>
      <c r="AY148" s="1523">
        <v>0.2</v>
      </c>
      <c r="AZ148" s="1523">
        <v>0.2</v>
      </c>
      <c r="BA148" s="1523">
        <v>0.2</v>
      </c>
      <c r="BB148" s="1523">
        <v>0.2</v>
      </c>
      <c r="BC148" s="1523">
        <v>0.2</v>
      </c>
      <c r="BD148" s="1523">
        <v>0.2</v>
      </c>
      <c r="BE148" s="1770"/>
      <c r="BF148" s="1615"/>
      <c r="BG148" s="1615"/>
      <c r="BI148" s="1547" t="s">
        <v>1419</v>
      </c>
      <c r="BJ148" s="1593" t="s">
        <v>329</v>
      </c>
      <c r="BK148" s="1637" t="s">
        <v>708</v>
      </c>
      <c r="BL148" s="1523">
        <v>0.2</v>
      </c>
      <c r="BM148" s="1523">
        <v>0.2</v>
      </c>
      <c r="BN148" s="1523">
        <v>0.2</v>
      </c>
      <c r="BO148" s="1523">
        <v>0.2</v>
      </c>
      <c r="BP148" s="1523">
        <v>0.2</v>
      </c>
      <c r="BQ148" s="1523">
        <v>0.2</v>
      </c>
      <c r="BR148" s="1523">
        <v>0.2</v>
      </c>
      <c r="BS148" s="1523">
        <v>0.2</v>
      </c>
      <c r="BT148" s="1523">
        <v>0.2</v>
      </c>
      <c r="BU148" s="1523">
        <v>0.2</v>
      </c>
      <c r="BV148" s="1770"/>
      <c r="BW148" s="1615"/>
      <c r="BX148" s="1615"/>
    </row>
    <row r="149" spans="1:77" ht="13.5" customHeight="1">
      <c r="B149" s="1521" t="str">
        <f t="shared" si="156"/>
        <v>2.3</v>
      </c>
      <c r="C149" s="1547" t="str">
        <f t="shared" si="157"/>
        <v>躯体材料におけるリサイクル材の使用</v>
      </c>
      <c r="D149" s="1616">
        <f t="shared" si="161"/>
        <v>0.2</v>
      </c>
      <c r="E149" s="1591">
        <f t="shared" si="161"/>
        <v>0</v>
      </c>
      <c r="G149" s="1591">
        <f t="shared" si="158"/>
        <v>0.2</v>
      </c>
      <c r="H149" s="1591">
        <f t="shared" si="158"/>
        <v>0</v>
      </c>
      <c r="I149" s="1591"/>
      <c r="J149" s="1591"/>
      <c r="K149" s="1516">
        <f>IF(スコア表示!X149=0,0,1)</f>
        <v>1</v>
      </c>
      <c r="L149" s="1516">
        <f>IF(スコア表示!AB149=0,0,1)</f>
        <v>0</v>
      </c>
      <c r="N149" s="1613">
        <f t="shared" si="162"/>
        <v>0.2</v>
      </c>
      <c r="O149" s="1613">
        <f t="shared" si="162"/>
        <v>0</v>
      </c>
      <c r="P149" s="1516"/>
      <c r="Q149" s="1516"/>
      <c r="R149" s="1516">
        <f>IF(スコア入力!R149="EB",重み_対象外!D149,U149)</f>
        <v>0.12000000000000002</v>
      </c>
      <c r="S149" s="1516">
        <f>IF(スコア入力!Y149="EB",重み_対象外!E149,V149)</f>
        <v>0</v>
      </c>
      <c r="T149" s="1460"/>
      <c r="U149" s="1514">
        <f>X$146*X149</f>
        <v>0.12000000000000002</v>
      </c>
      <c r="V149" s="1514">
        <f>Y$146*Y$147*Y149</f>
        <v>0</v>
      </c>
      <c r="W149" s="1460"/>
      <c r="X149" s="1516">
        <f t="shared" si="159"/>
        <v>0.20000000000000004</v>
      </c>
      <c r="Y149" s="1516">
        <f t="shared" si="160"/>
        <v>0</v>
      </c>
      <c r="Z149" s="1471"/>
      <c r="AA149" s="1513" t="str">
        <f t="shared" si="122"/>
        <v>2.3</v>
      </c>
      <c r="AB149" s="1513" t="str">
        <f t="shared" si="123"/>
        <v>LR2 2</v>
      </c>
      <c r="AC149" s="1688" t="str">
        <f t="shared" si="155"/>
        <v>躯体材料におけるリサイクル材の使用</v>
      </c>
      <c r="AD149" s="1659">
        <f t="shared" si="130"/>
        <v>0.2</v>
      </c>
      <c r="AE149" s="1659">
        <f t="shared" si="131"/>
        <v>0.2</v>
      </c>
      <c r="AF149" s="1659">
        <f t="shared" si="132"/>
        <v>0.2</v>
      </c>
      <c r="AG149" s="1659">
        <f t="shared" si="133"/>
        <v>0.2</v>
      </c>
      <c r="AH149" s="1659">
        <f t="shared" si="134"/>
        <v>0.2</v>
      </c>
      <c r="AI149" s="1659">
        <f t="shared" si="135"/>
        <v>0.2</v>
      </c>
      <c r="AJ149" s="1659">
        <f t="shared" si="141"/>
        <v>0.2</v>
      </c>
      <c r="AK149" s="1661">
        <f t="shared" si="136"/>
        <v>0.2</v>
      </c>
      <c r="AL149" s="1659">
        <f t="shared" si="137"/>
        <v>0.2</v>
      </c>
      <c r="AM149" s="1659">
        <f t="shared" si="137"/>
        <v>0.2</v>
      </c>
      <c r="AN149" s="1686">
        <f t="shared" si="138"/>
        <v>0</v>
      </c>
      <c r="AO149" s="1664">
        <f t="shared" si="139"/>
        <v>0</v>
      </c>
      <c r="AP149" s="1664">
        <f t="shared" si="140"/>
        <v>0</v>
      </c>
      <c r="AR149" s="1547" t="s">
        <v>1441</v>
      </c>
      <c r="AS149" s="1593" t="s">
        <v>329</v>
      </c>
      <c r="AT149" s="1637" t="s">
        <v>710</v>
      </c>
      <c r="AU149" s="1523">
        <v>0.2</v>
      </c>
      <c r="AV149" s="1523">
        <v>0.2</v>
      </c>
      <c r="AW149" s="1523">
        <v>0.2</v>
      </c>
      <c r="AX149" s="1523">
        <v>0.2</v>
      </c>
      <c r="AY149" s="1523">
        <v>0.2</v>
      </c>
      <c r="AZ149" s="1523">
        <v>0.2</v>
      </c>
      <c r="BA149" s="1523">
        <v>0.2</v>
      </c>
      <c r="BB149" s="1523">
        <v>0.2</v>
      </c>
      <c r="BC149" s="1523">
        <v>0.2</v>
      </c>
      <c r="BD149" s="1523">
        <v>0.2</v>
      </c>
      <c r="BE149" s="1770"/>
      <c r="BF149" s="1615"/>
      <c r="BG149" s="1615"/>
      <c r="BI149" s="1547" t="s">
        <v>1441</v>
      </c>
      <c r="BJ149" s="1593" t="s">
        <v>329</v>
      </c>
      <c r="BK149" s="1637" t="s">
        <v>710</v>
      </c>
      <c r="BL149" s="1523">
        <v>0.2</v>
      </c>
      <c r="BM149" s="1523">
        <v>0.2</v>
      </c>
      <c r="BN149" s="1523">
        <v>0.2</v>
      </c>
      <c r="BO149" s="1523">
        <v>0.2</v>
      </c>
      <c r="BP149" s="1523">
        <v>0.2</v>
      </c>
      <c r="BQ149" s="1523">
        <v>0.2</v>
      </c>
      <c r="BR149" s="1523">
        <v>0.2</v>
      </c>
      <c r="BS149" s="1523">
        <v>0.2</v>
      </c>
      <c r="BT149" s="1523">
        <v>0.2</v>
      </c>
      <c r="BU149" s="1523">
        <v>0.2</v>
      </c>
      <c r="BV149" s="1770"/>
      <c r="BW149" s="1615"/>
      <c r="BX149" s="1615"/>
    </row>
    <row r="150" spans="1:77" ht="13.5" customHeight="1">
      <c r="B150" s="1521" t="str">
        <f t="shared" si="156"/>
        <v>2.4</v>
      </c>
      <c r="C150" s="1514" t="str">
        <f t="shared" si="157"/>
        <v>躯体材料以外におけるリサイクル材の使用</v>
      </c>
      <c r="D150" s="1616">
        <f t="shared" si="161"/>
        <v>0.2</v>
      </c>
      <c r="E150" s="1591">
        <f t="shared" si="161"/>
        <v>0</v>
      </c>
      <c r="G150" s="1591">
        <f t="shared" si="158"/>
        <v>0.2</v>
      </c>
      <c r="H150" s="1591">
        <f t="shared" si="158"/>
        <v>0</v>
      </c>
      <c r="I150" s="1591"/>
      <c r="J150" s="1591"/>
      <c r="K150" s="1516">
        <f>IF(スコア表示!X150=0,0,1)</f>
        <v>1</v>
      </c>
      <c r="L150" s="1516">
        <f>IF(スコア表示!AB150=0,0,1)</f>
        <v>0</v>
      </c>
      <c r="N150" s="1613">
        <f t="shared" si="162"/>
        <v>0.2</v>
      </c>
      <c r="O150" s="1613">
        <f t="shared" si="162"/>
        <v>0</v>
      </c>
      <c r="P150" s="1516"/>
      <c r="Q150" s="1516"/>
      <c r="R150" s="1516">
        <f>IF(スコア入力!R150="EB",重み_対象外!D150,U150)</f>
        <v>0.12000000000000002</v>
      </c>
      <c r="S150" s="1516">
        <f>IF(スコア入力!Y150="EB",重み_対象外!E150,V150)</f>
        <v>0</v>
      </c>
      <c r="T150" s="1460"/>
      <c r="U150" s="1514">
        <f>X$146*X150</f>
        <v>0.12000000000000002</v>
      </c>
      <c r="V150" s="1514">
        <f>Y$146*Y150</f>
        <v>0</v>
      </c>
      <c r="W150" s="1460"/>
      <c r="X150" s="1516">
        <f t="shared" si="159"/>
        <v>0.20000000000000004</v>
      </c>
      <c r="Y150" s="1516">
        <f t="shared" si="160"/>
        <v>0</v>
      </c>
      <c r="Z150" s="1471"/>
      <c r="AA150" s="1513" t="str">
        <f t="shared" si="122"/>
        <v>2.4</v>
      </c>
      <c r="AB150" s="1513" t="str">
        <f t="shared" si="123"/>
        <v>LR2 2</v>
      </c>
      <c r="AC150" s="1688" t="str">
        <f t="shared" si="155"/>
        <v>躯体材料以外におけるリサイクル材の使用</v>
      </c>
      <c r="AD150" s="1659">
        <f t="shared" si="130"/>
        <v>0.2</v>
      </c>
      <c r="AE150" s="1659">
        <f t="shared" si="131"/>
        <v>0.2</v>
      </c>
      <c r="AF150" s="1659">
        <f t="shared" si="132"/>
        <v>0.2</v>
      </c>
      <c r="AG150" s="1659">
        <f t="shared" si="133"/>
        <v>0.2</v>
      </c>
      <c r="AH150" s="1659">
        <f t="shared" si="134"/>
        <v>0.2</v>
      </c>
      <c r="AI150" s="1659">
        <f t="shared" si="135"/>
        <v>0.2</v>
      </c>
      <c r="AJ150" s="1659">
        <f t="shared" si="141"/>
        <v>0.2</v>
      </c>
      <c r="AK150" s="1661">
        <f t="shared" si="136"/>
        <v>0.2</v>
      </c>
      <c r="AL150" s="1659">
        <f t="shared" si="137"/>
        <v>0.2</v>
      </c>
      <c r="AM150" s="1659">
        <f t="shared" si="137"/>
        <v>0.2</v>
      </c>
      <c r="AN150" s="1686">
        <f t="shared" si="138"/>
        <v>0</v>
      </c>
      <c r="AO150" s="1664">
        <f t="shared" si="139"/>
        <v>0</v>
      </c>
      <c r="AP150" s="1664">
        <f t="shared" si="140"/>
        <v>0</v>
      </c>
      <c r="AR150" s="1547" t="s">
        <v>1442</v>
      </c>
      <c r="AS150" s="1593" t="s">
        <v>329</v>
      </c>
      <c r="AT150" s="1637" t="s">
        <v>1443</v>
      </c>
      <c r="AU150" s="1523">
        <v>0.2</v>
      </c>
      <c r="AV150" s="1523">
        <v>0.2</v>
      </c>
      <c r="AW150" s="1523">
        <v>0.2</v>
      </c>
      <c r="AX150" s="1523">
        <v>0.2</v>
      </c>
      <c r="AY150" s="1523">
        <v>0.2</v>
      </c>
      <c r="AZ150" s="1523">
        <v>0.2</v>
      </c>
      <c r="BA150" s="1523">
        <v>0.2</v>
      </c>
      <c r="BB150" s="1523">
        <v>0.2</v>
      </c>
      <c r="BC150" s="1523">
        <v>0.2</v>
      </c>
      <c r="BD150" s="1523">
        <v>0.2</v>
      </c>
      <c r="BE150" s="1770"/>
      <c r="BF150" s="1615"/>
      <c r="BG150" s="1615"/>
      <c r="BI150" s="1547" t="s">
        <v>1442</v>
      </c>
      <c r="BJ150" s="1593" t="s">
        <v>329</v>
      </c>
      <c r="BK150" s="1637" t="s">
        <v>1443</v>
      </c>
      <c r="BL150" s="1523">
        <v>0.2</v>
      </c>
      <c r="BM150" s="1523">
        <v>0.2</v>
      </c>
      <c r="BN150" s="1523">
        <v>0.2</v>
      </c>
      <c r="BO150" s="1523">
        <v>0.2</v>
      </c>
      <c r="BP150" s="1523">
        <v>0.2</v>
      </c>
      <c r="BQ150" s="1523">
        <v>0.2</v>
      </c>
      <c r="BR150" s="1523">
        <v>0.2</v>
      </c>
      <c r="BS150" s="1523">
        <v>0.2</v>
      </c>
      <c r="BT150" s="1523">
        <v>0.2</v>
      </c>
      <c r="BU150" s="1523">
        <v>0.2</v>
      </c>
      <c r="BV150" s="1770"/>
      <c r="BW150" s="1615"/>
      <c r="BX150" s="1615"/>
    </row>
    <row r="151" spans="1:77" ht="13.5" customHeight="1">
      <c r="B151" s="1521" t="str">
        <f t="shared" si="156"/>
        <v>2.5</v>
      </c>
      <c r="C151" s="1514" t="str">
        <f t="shared" si="157"/>
        <v>持続可能な森林から産出された木材</v>
      </c>
      <c r="D151" s="1616">
        <f t="shared" si="161"/>
        <v>0.1</v>
      </c>
      <c r="E151" s="1591">
        <f t="shared" si="161"/>
        <v>0</v>
      </c>
      <c r="G151" s="1591">
        <f t="shared" si="158"/>
        <v>0.1</v>
      </c>
      <c r="H151" s="1591">
        <f t="shared" si="158"/>
        <v>0</v>
      </c>
      <c r="I151" s="1591"/>
      <c r="J151" s="1591"/>
      <c r="K151" s="1516">
        <f>IF(スコア表示!X151=0,0,1)</f>
        <v>1</v>
      </c>
      <c r="L151" s="1516">
        <f>IF(スコア表示!AB151=0,0,1)</f>
        <v>0</v>
      </c>
      <c r="N151" s="1613">
        <f t="shared" si="162"/>
        <v>0.1</v>
      </c>
      <c r="O151" s="1613">
        <f t="shared" si="162"/>
        <v>0</v>
      </c>
      <c r="P151" s="1516"/>
      <c r="Q151" s="1516"/>
      <c r="R151" s="1516">
        <f>IF(スコア入力!R151="EB",重み_対象外!D151,U151)</f>
        <v>6.0000000000000012E-2</v>
      </c>
      <c r="S151" s="1516">
        <f>IF(スコア入力!Y151="EB",重み_対象外!E151,V151)</f>
        <v>0</v>
      </c>
      <c r="T151" s="1460"/>
      <c r="U151" s="1514">
        <f>X$146*X151</f>
        <v>6.0000000000000012E-2</v>
      </c>
      <c r="V151" s="1514">
        <f>Y$146*Y151</f>
        <v>0</v>
      </c>
      <c r="W151" s="1460"/>
      <c r="X151" s="1516">
        <f t="shared" si="159"/>
        <v>0.10000000000000002</v>
      </c>
      <c r="Y151" s="1516">
        <f t="shared" si="160"/>
        <v>0</v>
      </c>
      <c r="Z151" s="1471"/>
      <c r="AA151" s="1513" t="str">
        <f t="shared" si="122"/>
        <v>2.5</v>
      </c>
      <c r="AB151" s="1513" t="str">
        <f t="shared" si="123"/>
        <v>LR2 2</v>
      </c>
      <c r="AC151" s="1513" t="str">
        <f t="shared" si="155"/>
        <v>持続可能な森林から産出された木材</v>
      </c>
      <c r="AD151" s="1659">
        <f t="shared" si="130"/>
        <v>0.1</v>
      </c>
      <c r="AE151" s="1659">
        <f t="shared" si="131"/>
        <v>0.1</v>
      </c>
      <c r="AF151" s="1659">
        <f t="shared" si="132"/>
        <v>0.1</v>
      </c>
      <c r="AG151" s="1659">
        <f t="shared" si="133"/>
        <v>0.1</v>
      </c>
      <c r="AH151" s="1659">
        <f t="shared" si="134"/>
        <v>0.1</v>
      </c>
      <c r="AI151" s="1659">
        <f t="shared" si="135"/>
        <v>0.1</v>
      </c>
      <c r="AJ151" s="1659">
        <f t="shared" si="141"/>
        <v>0.1</v>
      </c>
      <c r="AK151" s="1661">
        <f t="shared" si="136"/>
        <v>0.1</v>
      </c>
      <c r="AL151" s="1659">
        <f t="shared" si="137"/>
        <v>0.1</v>
      </c>
      <c r="AM151" s="1659">
        <f t="shared" si="137"/>
        <v>0.1</v>
      </c>
      <c r="AN151" s="1686">
        <f t="shared" si="138"/>
        <v>0</v>
      </c>
      <c r="AO151" s="1664">
        <f t="shared" si="139"/>
        <v>0</v>
      </c>
      <c r="AP151" s="1664">
        <f t="shared" si="140"/>
        <v>0</v>
      </c>
      <c r="AR151" s="1547" t="s">
        <v>1444</v>
      </c>
      <c r="AS151" s="1593" t="s">
        <v>329</v>
      </c>
      <c r="AT151" s="1964" t="s">
        <v>1445</v>
      </c>
      <c r="AU151" s="1523">
        <v>0.1</v>
      </c>
      <c r="AV151" s="1523">
        <v>0.1</v>
      </c>
      <c r="AW151" s="1523">
        <v>0.1</v>
      </c>
      <c r="AX151" s="1523">
        <v>0.1</v>
      </c>
      <c r="AY151" s="1523">
        <v>0.1</v>
      </c>
      <c r="AZ151" s="1523">
        <v>0.1</v>
      </c>
      <c r="BA151" s="1523">
        <v>0.1</v>
      </c>
      <c r="BB151" s="1523">
        <v>0.1</v>
      </c>
      <c r="BC151" s="1523">
        <v>0.1</v>
      </c>
      <c r="BD151" s="1523">
        <v>0.1</v>
      </c>
      <c r="BE151" s="1770"/>
      <c r="BF151" s="1615"/>
      <c r="BG151" s="1615"/>
      <c r="BI151" s="1547" t="s">
        <v>1444</v>
      </c>
      <c r="BJ151" s="1593" t="s">
        <v>329</v>
      </c>
      <c r="BK151" s="1964" t="s">
        <v>1445</v>
      </c>
      <c r="BL151" s="1523">
        <v>0.1</v>
      </c>
      <c r="BM151" s="1523">
        <v>0.1</v>
      </c>
      <c r="BN151" s="1523">
        <v>0.1</v>
      </c>
      <c r="BO151" s="1523">
        <v>0.1</v>
      </c>
      <c r="BP151" s="1523">
        <v>0.1</v>
      </c>
      <c r="BQ151" s="1523">
        <v>0.1</v>
      </c>
      <c r="BR151" s="1523">
        <v>0.1</v>
      </c>
      <c r="BS151" s="1523">
        <v>0.1</v>
      </c>
      <c r="BT151" s="1523">
        <v>0.1</v>
      </c>
      <c r="BU151" s="1523">
        <v>0.1</v>
      </c>
      <c r="BV151" s="1770"/>
      <c r="BW151" s="1615"/>
      <c r="BX151" s="1615"/>
    </row>
    <row r="152" spans="1:77" ht="13.5" customHeight="1">
      <c r="B152" s="1521" t="str">
        <f t="shared" si="156"/>
        <v>2.6</v>
      </c>
      <c r="C152" s="1547" t="str">
        <f t="shared" si="157"/>
        <v>部材の再利用可能性向上への取組み</v>
      </c>
      <c r="D152" s="1616">
        <f t="shared" si="161"/>
        <v>0.2</v>
      </c>
      <c r="E152" s="1591">
        <f t="shared" si="161"/>
        <v>0</v>
      </c>
      <c r="G152" s="1591">
        <f t="shared" si="158"/>
        <v>0.2</v>
      </c>
      <c r="H152" s="1591">
        <f t="shared" si="158"/>
        <v>0</v>
      </c>
      <c r="I152" s="1591"/>
      <c r="J152" s="1591"/>
      <c r="K152" s="1516">
        <f>IF(スコア表示!X152=0,0,1)</f>
        <v>1</v>
      </c>
      <c r="L152" s="1516">
        <f>IF(スコア表示!AB152=0,0,1)</f>
        <v>0</v>
      </c>
      <c r="N152" s="1613">
        <f t="shared" si="162"/>
        <v>0.2</v>
      </c>
      <c r="O152" s="1613">
        <f t="shared" si="162"/>
        <v>0</v>
      </c>
      <c r="P152" s="1516"/>
      <c r="Q152" s="1516"/>
      <c r="R152" s="1516">
        <f>IF(スコア入力!R152="EB",重み_対象外!D152,U152)</f>
        <v>0.12000000000000002</v>
      </c>
      <c r="S152" s="1516">
        <f>IF(スコア入力!Y152="EB",重み_対象外!E152,V152)</f>
        <v>0</v>
      </c>
      <c r="T152" s="1460"/>
      <c r="U152" s="1514">
        <f>X$146*X152</f>
        <v>0.12000000000000002</v>
      </c>
      <c r="V152" s="1514">
        <f>Y$146*Y152</f>
        <v>0</v>
      </c>
      <c r="W152" s="1460"/>
      <c r="X152" s="1516">
        <f t="shared" si="159"/>
        <v>0.20000000000000004</v>
      </c>
      <c r="Y152" s="1516">
        <f t="shared" si="160"/>
        <v>0</v>
      </c>
      <c r="Z152" s="1471"/>
      <c r="AA152" s="1513" t="str">
        <f t="shared" ref="AA152:AA180" si="163">IF($AA$3=1,AR152,BI152)</f>
        <v>2.6</v>
      </c>
      <c r="AB152" s="1513" t="str">
        <f t="shared" si="123"/>
        <v>LR2 2</v>
      </c>
      <c r="AC152" s="1513" t="str">
        <f t="shared" si="155"/>
        <v>部材の再利用可能性向上への取組み</v>
      </c>
      <c r="AD152" s="1659">
        <f t="shared" si="130"/>
        <v>0.2</v>
      </c>
      <c r="AE152" s="1659">
        <f t="shared" si="131"/>
        <v>0.2</v>
      </c>
      <c r="AF152" s="1659">
        <f t="shared" si="132"/>
        <v>0.2</v>
      </c>
      <c r="AG152" s="1659">
        <f t="shared" si="133"/>
        <v>0.2</v>
      </c>
      <c r="AH152" s="1659">
        <f t="shared" si="134"/>
        <v>0.2</v>
      </c>
      <c r="AI152" s="1659">
        <f t="shared" si="135"/>
        <v>0.2</v>
      </c>
      <c r="AJ152" s="1659">
        <f t="shared" si="141"/>
        <v>0.2</v>
      </c>
      <c r="AK152" s="1661">
        <f t="shared" si="136"/>
        <v>0.2</v>
      </c>
      <c r="AL152" s="1659">
        <f t="shared" si="137"/>
        <v>0.2</v>
      </c>
      <c r="AM152" s="1659">
        <f t="shared" si="137"/>
        <v>0.2</v>
      </c>
      <c r="AN152" s="1686">
        <f t="shared" si="138"/>
        <v>0</v>
      </c>
      <c r="AO152" s="1664">
        <f t="shared" si="139"/>
        <v>0</v>
      </c>
      <c r="AP152" s="1664">
        <f t="shared" si="140"/>
        <v>0</v>
      </c>
      <c r="AR152" s="1547" t="s">
        <v>1446</v>
      </c>
      <c r="AS152" s="1593" t="s">
        <v>329</v>
      </c>
      <c r="AT152" s="1637" t="s">
        <v>712</v>
      </c>
      <c r="AU152" s="1523">
        <v>0.2</v>
      </c>
      <c r="AV152" s="1523">
        <v>0.2</v>
      </c>
      <c r="AW152" s="1523">
        <v>0.2</v>
      </c>
      <c r="AX152" s="1523">
        <v>0.2</v>
      </c>
      <c r="AY152" s="1523">
        <v>0.2</v>
      </c>
      <c r="AZ152" s="1523">
        <v>0.2</v>
      </c>
      <c r="BA152" s="1523">
        <v>0.2</v>
      </c>
      <c r="BB152" s="1523">
        <v>0.2</v>
      </c>
      <c r="BC152" s="1523">
        <v>0.2</v>
      </c>
      <c r="BD152" s="1523">
        <v>0.2</v>
      </c>
      <c r="BE152" s="1770"/>
      <c r="BF152" s="1615"/>
      <c r="BG152" s="1615"/>
      <c r="BI152" s="1547" t="s">
        <v>1446</v>
      </c>
      <c r="BJ152" s="1593" t="s">
        <v>329</v>
      </c>
      <c r="BK152" s="1637" t="s">
        <v>712</v>
      </c>
      <c r="BL152" s="1523">
        <v>0.2</v>
      </c>
      <c r="BM152" s="1523">
        <v>0.2</v>
      </c>
      <c r="BN152" s="1523">
        <v>0.2</v>
      </c>
      <c r="BO152" s="1523">
        <v>0.2</v>
      </c>
      <c r="BP152" s="1523">
        <v>0.2</v>
      </c>
      <c r="BQ152" s="1523">
        <v>0.2</v>
      </c>
      <c r="BR152" s="1523">
        <v>0.2</v>
      </c>
      <c r="BS152" s="1523">
        <v>0.2</v>
      </c>
      <c r="BT152" s="1523">
        <v>0.2</v>
      </c>
      <c r="BU152" s="1523">
        <v>0.2</v>
      </c>
      <c r="BV152" s="1770"/>
      <c r="BW152" s="1615"/>
      <c r="BX152" s="1615"/>
    </row>
    <row r="153" spans="1:77" s="1505" customFormat="1" ht="13.5" customHeight="1">
      <c r="A153"/>
      <c r="B153" s="1541">
        <f t="shared" si="156"/>
        <v>3</v>
      </c>
      <c r="C153" s="1589" t="str">
        <f t="shared" si="157"/>
        <v>汚染物質含有材料の使用回避</v>
      </c>
      <c r="D153" s="1962">
        <f>IF(I$140=0,0,G153/I$140)</f>
        <v>0.2</v>
      </c>
      <c r="E153" s="1643">
        <f>IF(J$140=0,0,H153/J$140)</f>
        <v>0</v>
      </c>
      <c r="F153"/>
      <c r="G153" s="1643">
        <f t="shared" si="158"/>
        <v>0.2</v>
      </c>
      <c r="H153" s="1643">
        <f t="shared" si="158"/>
        <v>0</v>
      </c>
      <c r="I153" s="1643">
        <f>G154+G155</f>
        <v>0.99999999999999989</v>
      </c>
      <c r="J153" s="1643">
        <f>H154+H155</f>
        <v>0</v>
      </c>
      <c r="K153" s="1509">
        <f>IF(スコア表示!X153=0,0,1)</f>
        <v>1</v>
      </c>
      <c r="L153" s="1509">
        <f>IF(スコア表示!AB153=0,0,1)</f>
        <v>0</v>
      </c>
      <c r="M153"/>
      <c r="N153" s="1607">
        <f>IF(P$140=0,0,R153/P$140)</f>
        <v>0.2</v>
      </c>
      <c r="O153" s="1607">
        <f>IF(Q$140=0,0,S153/Q$140)</f>
        <v>0</v>
      </c>
      <c r="P153" s="1509">
        <f>SUM(R154:R158)</f>
        <v>0.20000000000000007</v>
      </c>
      <c r="Q153" s="1509">
        <f>SUM(S154:S158)</f>
        <v>0</v>
      </c>
      <c r="R153" s="1509">
        <f>IF(スコア入力!R153="EB",重み_対象外!D153,U153)</f>
        <v>0.20000000000000007</v>
      </c>
      <c r="S153" s="1509">
        <f>IF(スコア入力!Y153="EB",重み_対象外!E153,V153)</f>
        <v>0</v>
      </c>
      <c r="T153" s="1460"/>
      <c r="U153" s="1507">
        <f>SUM(U154:U158)</f>
        <v>0.20000000000000007</v>
      </c>
      <c r="V153" s="1507">
        <f>SUM(V154:V158)</f>
        <v>0</v>
      </c>
      <c r="W153" s="1460"/>
      <c r="X153" s="1509">
        <f t="shared" si="159"/>
        <v>0.20000000000000004</v>
      </c>
      <c r="Y153" s="1509">
        <f t="shared" si="160"/>
        <v>0</v>
      </c>
      <c r="Z153" s="1501"/>
      <c r="AA153" s="1506">
        <f t="shared" si="163"/>
        <v>3</v>
      </c>
      <c r="AB153" s="1506" t="str">
        <f t="shared" ref="AB153:AB180" si="164">IF($AA$3=1,AS153,BJ153)</f>
        <v>LR2</v>
      </c>
      <c r="AC153" s="1506" t="str">
        <f t="shared" si="155"/>
        <v>汚染物質含有材料の使用回避</v>
      </c>
      <c r="AD153" s="1656">
        <f t="shared" si="130"/>
        <v>0.2</v>
      </c>
      <c r="AE153" s="1656">
        <f t="shared" si="131"/>
        <v>0.2</v>
      </c>
      <c r="AF153" s="1656">
        <f t="shared" si="132"/>
        <v>0.2</v>
      </c>
      <c r="AG153" s="1656">
        <f t="shared" si="133"/>
        <v>0.2</v>
      </c>
      <c r="AH153" s="1656">
        <f t="shared" si="134"/>
        <v>0.2</v>
      </c>
      <c r="AI153" s="1656">
        <f t="shared" si="135"/>
        <v>0.2</v>
      </c>
      <c r="AJ153" s="1656">
        <f t="shared" si="141"/>
        <v>0.2</v>
      </c>
      <c r="AK153" s="1668">
        <f t="shared" si="136"/>
        <v>0.2</v>
      </c>
      <c r="AL153" s="1656">
        <f t="shared" si="137"/>
        <v>0.2</v>
      </c>
      <c r="AM153" s="1656">
        <f t="shared" si="137"/>
        <v>0.2</v>
      </c>
      <c r="AN153" s="1684">
        <f t="shared" si="138"/>
        <v>0</v>
      </c>
      <c r="AO153" s="1685">
        <f t="shared" si="139"/>
        <v>0</v>
      </c>
      <c r="AP153" s="1685">
        <f t="shared" si="140"/>
        <v>0</v>
      </c>
      <c r="AQ153" s="1585"/>
      <c r="AR153" s="1541">
        <v>3</v>
      </c>
      <c r="AS153" s="1644" t="s">
        <v>326</v>
      </c>
      <c r="AT153" s="1687" t="s">
        <v>713</v>
      </c>
      <c r="AU153" s="1611">
        <v>0.2</v>
      </c>
      <c r="AV153" s="1611">
        <v>0.2</v>
      </c>
      <c r="AW153" s="1611">
        <v>0.2</v>
      </c>
      <c r="AX153" s="1611">
        <v>0.2</v>
      </c>
      <c r="AY153" s="1611">
        <v>0.2</v>
      </c>
      <c r="AZ153" s="1611">
        <v>0.2</v>
      </c>
      <c r="BA153" s="1611">
        <v>0.2</v>
      </c>
      <c r="BB153" s="1611">
        <v>0.2</v>
      </c>
      <c r="BC153" s="1611">
        <v>0.2</v>
      </c>
      <c r="BD153" s="1611">
        <v>0.2</v>
      </c>
      <c r="BE153" s="1998"/>
      <c r="BF153" s="1999"/>
      <c r="BG153" s="1999"/>
      <c r="BH153"/>
      <c r="BI153" s="1541">
        <v>3</v>
      </c>
      <c r="BJ153" s="1644" t="s">
        <v>326</v>
      </c>
      <c r="BK153" s="1687" t="s">
        <v>713</v>
      </c>
      <c r="BL153" s="1611">
        <v>0.2</v>
      </c>
      <c r="BM153" s="1611">
        <v>0.2</v>
      </c>
      <c r="BN153" s="1611">
        <v>0.2</v>
      </c>
      <c r="BO153" s="1611">
        <v>0.2</v>
      </c>
      <c r="BP153" s="1611">
        <v>0.2</v>
      </c>
      <c r="BQ153" s="1611">
        <v>0.2</v>
      </c>
      <c r="BR153" s="1611">
        <v>0.2</v>
      </c>
      <c r="BS153" s="1611">
        <v>0.2</v>
      </c>
      <c r="BT153" s="1611">
        <v>0.2</v>
      </c>
      <c r="BU153" s="1611">
        <v>0.2</v>
      </c>
      <c r="BV153" s="1998"/>
      <c r="BW153" s="1999"/>
      <c r="BX153" s="1999"/>
      <c r="BY153"/>
    </row>
    <row r="154" spans="1:77" ht="13.5" customHeight="1">
      <c r="B154" s="1521" t="str">
        <f t="shared" si="156"/>
        <v>3.1</v>
      </c>
      <c r="C154" s="1547" t="str">
        <f t="shared" si="157"/>
        <v>有害物質を含まない材料の使用</v>
      </c>
      <c r="D154" s="1616">
        <f>IF(I$153=0,0,G154/I$153)</f>
        <v>0.3</v>
      </c>
      <c r="E154" s="1591">
        <f>IF(J$153=0,0,H154/J$153)</f>
        <v>0</v>
      </c>
      <c r="G154" s="1591">
        <f t="shared" si="158"/>
        <v>0.29999999999999993</v>
      </c>
      <c r="H154" s="1591">
        <f t="shared" si="158"/>
        <v>0</v>
      </c>
      <c r="I154" s="1591"/>
      <c r="J154" s="1591"/>
      <c r="K154" s="1516">
        <f>IF(スコア表示!X154=0,0,1)</f>
        <v>1</v>
      </c>
      <c r="L154" s="1516">
        <f>IF(スコア表示!AB154=0,0,1)</f>
        <v>0</v>
      </c>
      <c r="N154" s="1613">
        <f>IF(P$153=0,0,R154/P$153)</f>
        <v>0.29999999999999993</v>
      </c>
      <c r="O154" s="1613">
        <f>IF(Q$153=0,0,S154/Q$153)</f>
        <v>0</v>
      </c>
      <c r="P154" s="1516"/>
      <c r="Q154" s="1516"/>
      <c r="R154" s="1516">
        <f>IF(スコア入力!R154="EB",重み_対象外!D154,U154)</f>
        <v>6.0000000000000012E-2</v>
      </c>
      <c r="S154" s="1516">
        <f>IF(スコア入力!Y154="EB",重み_対象外!E154,V154)</f>
        <v>0</v>
      </c>
      <c r="T154" s="1460"/>
      <c r="U154" s="1514">
        <f>X$153*X154</f>
        <v>6.0000000000000012E-2</v>
      </c>
      <c r="V154" s="1514">
        <f>Y$153*Y154</f>
        <v>0</v>
      </c>
      <c r="W154" s="1460"/>
      <c r="X154" s="1516">
        <f t="shared" si="159"/>
        <v>0.3</v>
      </c>
      <c r="Y154" s="1516">
        <f t="shared" si="160"/>
        <v>0</v>
      </c>
      <c r="Z154" s="1471"/>
      <c r="AA154" s="1513" t="str">
        <f t="shared" si="163"/>
        <v>3.1</v>
      </c>
      <c r="AB154" s="1513" t="str">
        <f t="shared" si="164"/>
        <v>LR2 3</v>
      </c>
      <c r="AC154" s="1513" t="str">
        <f t="shared" si="155"/>
        <v>有害物質を含まない材料の使用</v>
      </c>
      <c r="AD154" s="1659">
        <f t="shared" si="130"/>
        <v>0.3</v>
      </c>
      <c r="AE154" s="1659">
        <f t="shared" si="131"/>
        <v>0.3</v>
      </c>
      <c r="AF154" s="1659">
        <f t="shared" si="132"/>
        <v>0.3</v>
      </c>
      <c r="AG154" s="1659">
        <f t="shared" si="133"/>
        <v>0.3</v>
      </c>
      <c r="AH154" s="1659">
        <f t="shared" si="134"/>
        <v>0.3</v>
      </c>
      <c r="AI154" s="1659">
        <f t="shared" si="135"/>
        <v>0.3</v>
      </c>
      <c r="AJ154" s="1659">
        <f t="shared" si="141"/>
        <v>0.3</v>
      </c>
      <c r="AK154" s="1661">
        <f t="shared" si="136"/>
        <v>0.3</v>
      </c>
      <c r="AL154" s="1659">
        <f t="shared" si="137"/>
        <v>0.3</v>
      </c>
      <c r="AM154" s="1659">
        <f t="shared" si="137"/>
        <v>0.3</v>
      </c>
      <c r="AN154" s="1686">
        <f t="shared" si="138"/>
        <v>0</v>
      </c>
      <c r="AO154" s="1664">
        <f t="shared" si="139"/>
        <v>0</v>
      </c>
      <c r="AP154" s="1664">
        <f t="shared" si="140"/>
        <v>0</v>
      </c>
      <c r="AR154" s="1547" t="s">
        <v>1402</v>
      </c>
      <c r="AS154" s="1593" t="s">
        <v>330</v>
      </c>
      <c r="AT154" s="1637" t="s">
        <v>714</v>
      </c>
      <c r="AU154" s="1523">
        <v>0.3</v>
      </c>
      <c r="AV154" s="1523">
        <v>0.3</v>
      </c>
      <c r="AW154" s="1523">
        <v>0.3</v>
      </c>
      <c r="AX154" s="1523">
        <v>0.3</v>
      </c>
      <c r="AY154" s="1523">
        <v>0.3</v>
      </c>
      <c r="AZ154" s="1523">
        <v>0.3</v>
      </c>
      <c r="BA154" s="1523">
        <v>0.3</v>
      </c>
      <c r="BB154" s="1523">
        <v>0.3</v>
      </c>
      <c r="BC154" s="1523">
        <v>0.3</v>
      </c>
      <c r="BD154" s="1523">
        <v>0.3</v>
      </c>
      <c r="BE154" s="1770"/>
      <c r="BF154" s="1615"/>
      <c r="BG154" s="1615"/>
      <c r="BI154" s="1547" t="s">
        <v>1402</v>
      </c>
      <c r="BJ154" s="1593" t="s">
        <v>330</v>
      </c>
      <c r="BK154" s="1637" t="s">
        <v>714</v>
      </c>
      <c r="BL154" s="1523">
        <v>0.3</v>
      </c>
      <c r="BM154" s="1523">
        <v>0.3</v>
      </c>
      <c r="BN154" s="1523">
        <v>0.3</v>
      </c>
      <c r="BO154" s="1523">
        <v>0.3</v>
      </c>
      <c r="BP154" s="1523">
        <v>0.3</v>
      </c>
      <c r="BQ154" s="1523">
        <v>0.3</v>
      </c>
      <c r="BR154" s="1523">
        <v>0.3</v>
      </c>
      <c r="BS154" s="1523">
        <v>0.3</v>
      </c>
      <c r="BT154" s="1523">
        <v>0.3</v>
      </c>
      <c r="BU154" s="1523">
        <v>0.3</v>
      </c>
      <c r="BV154" s="1770"/>
      <c r="BW154" s="1615"/>
      <c r="BX154" s="1615"/>
    </row>
    <row r="155" spans="1:77" ht="13.5" customHeight="1">
      <c r="B155" s="1521" t="str">
        <f t="shared" si="156"/>
        <v>3.2</v>
      </c>
      <c r="C155" s="1547" t="str">
        <f t="shared" si="157"/>
        <v>フロン・ハロンの回避</v>
      </c>
      <c r="D155" s="1616">
        <f>IF(I$153=0,0,G155/I$153)</f>
        <v>0.70000000000000007</v>
      </c>
      <c r="E155" s="1591">
        <f>IF(J$153=0,0,H155/J$153)</f>
        <v>0</v>
      </c>
      <c r="G155" s="1591">
        <f t="shared" si="158"/>
        <v>0.7</v>
      </c>
      <c r="H155" s="1591">
        <f t="shared" si="158"/>
        <v>0</v>
      </c>
      <c r="I155" s="1591">
        <f>SUM(G156:G158)</f>
        <v>1</v>
      </c>
      <c r="J155" s="1591">
        <f>SUM(H156:H158)</f>
        <v>0</v>
      </c>
      <c r="K155" s="1516">
        <f>IF(スコア表示!X155=0,0,1)</f>
        <v>1</v>
      </c>
      <c r="L155" s="1516">
        <f>IF(スコア表示!AB155=0,0,1)</f>
        <v>0</v>
      </c>
      <c r="N155" s="1613">
        <f>IF(P$153=0,0,P155/P$153)</f>
        <v>0.7</v>
      </c>
      <c r="O155" s="1613">
        <f>IF(Q$153=0,0,Q155/Q$153)</f>
        <v>0</v>
      </c>
      <c r="P155" s="1516">
        <f>SUM(R156:R158)</f>
        <v>0.14000000000000004</v>
      </c>
      <c r="Q155" s="1516">
        <f>SUM(S156:S158)</f>
        <v>0</v>
      </c>
      <c r="R155" s="1516">
        <f>IF(スコア入力!R155="EB",重み_対象外!D155,U155)</f>
        <v>0</v>
      </c>
      <c r="S155" s="1516">
        <f>IF(スコア入力!Y155="EB",重み_対象外!E155,V155)</f>
        <v>0</v>
      </c>
      <c r="T155" s="1460"/>
      <c r="U155" s="1530"/>
      <c r="V155" s="1530"/>
      <c r="W155" s="1460"/>
      <c r="X155" s="1516">
        <f t="shared" si="159"/>
        <v>0.70000000000000007</v>
      </c>
      <c r="Y155" s="1516">
        <f t="shared" si="160"/>
        <v>0</v>
      </c>
      <c r="Z155" s="1471"/>
      <c r="AA155" s="1513" t="str">
        <f t="shared" si="163"/>
        <v>3.2</v>
      </c>
      <c r="AB155" s="1513" t="str">
        <f t="shared" si="164"/>
        <v>LR2 3</v>
      </c>
      <c r="AC155" s="1513" t="str">
        <f t="shared" si="155"/>
        <v>フロン・ハロンの回避</v>
      </c>
      <c r="AD155" s="1659">
        <f t="shared" si="130"/>
        <v>0.7</v>
      </c>
      <c r="AE155" s="1659">
        <f t="shared" si="131"/>
        <v>0.7</v>
      </c>
      <c r="AF155" s="1659">
        <f t="shared" si="132"/>
        <v>0.7</v>
      </c>
      <c r="AG155" s="1659">
        <f t="shared" si="133"/>
        <v>0.7</v>
      </c>
      <c r="AH155" s="1659">
        <f t="shared" si="134"/>
        <v>0.7</v>
      </c>
      <c r="AI155" s="1659">
        <f t="shared" si="135"/>
        <v>0.7</v>
      </c>
      <c r="AJ155" s="1659">
        <f t="shared" si="141"/>
        <v>0.7</v>
      </c>
      <c r="AK155" s="1661">
        <f t="shared" si="136"/>
        <v>0.7</v>
      </c>
      <c r="AL155" s="1659">
        <f t="shared" si="137"/>
        <v>0.7</v>
      </c>
      <c r="AM155" s="1659">
        <f t="shared" si="137"/>
        <v>0.7</v>
      </c>
      <c r="AN155" s="1686">
        <f t="shared" si="138"/>
        <v>0</v>
      </c>
      <c r="AO155" s="1664">
        <f t="shared" si="139"/>
        <v>0</v>
      </c>
      <c r="AP155" s="1664">
        <f t="shared" si="140"/>
        <v>0</v>
      </c>
      <c r="AR155" s="1547" t="s">
        <v>1406</v>
      </c>
      <c r="AS155" s="1593" t="s">
        <v>330</v>
      </c>
      <c r="AT155" s="1637" t="s">
        <v>715</v>
      </c>
      <c r="AU155" s="1523">
        <v>0.7</v>
      </c>
      <c r="AV155" s="1523">
        <v>0.7</v>
      </c>
      <c r="AW155" s="1523">
        <v>0.7</v>
      </c>
      <c r="AX155" s="1523">
        <v>0.7</v>
      </c>
      <c r="AY155" s="1523">
        <v>0.7</v>
      </c>
      <c r="AZ155" s="1523">
        <v>0.7</v>
      </c>
      <c r="BA155" s="1523">
        <v>0.7</v>
      </c>
      <c r="BB155" s="1523">
        <v>0.7</v>
      </c>
      <c r="BC155" s="1523">
        <v>0.7</v>
      </c>
      <c r="BD155" s="1523">
        <v>0.7</v>
      </c>
      <c r="BE155" s="1770"/>
      <c r="BF155" s="1615"/>
      <c r="BG155" s="1615"/>
      <c r="BI155" s="1547" t="s">
        <v>1406</v>
      </c>
      <c r="BJ155" s="1593" t="s">
        <v>330</v>
      </c>
      <c r="BK155" s="1637" t="s">
        <v>715</v>
      </c>
      <c r="BL155" s="1523">
        <v>0.7</v>
      </c>
      <c r="BM155" s="1523">
        <v>0.7</v>
      </c>
      <c r="BN155" s="1523">
        <v>0.7</v>
      </c>
      <c r="BO155" s="1523">
        <v>0.7</v>
      </c>
      <c r="BP155" s="1523">
        <v>0.7</v>
      </c>
      <c r="BQ155" s="1523">
        <v>0.7</v>
      </c>
      <c r="BR155" s="1523">
        <v>0.7</v>
      </c>
      <c r="BS155" s="1523">
        <v>0.7</v>
      </c>
      <c r="BT155" s="1523">
        <v>0.7</v>
      </c>
      <c r="BU155" s="1523">
        <v>0.7</v>
      </c>
      <c r="BV155" s="1770"/>
      <c r="BW155" s="1615"/>
      <c r="BX155" s="1615"/>
    </row>
    <row r="156" spans="1:77" ht="13.5" customHeight="1">
      <c r="B156" s="1521" t="str">
        <f t="shared" si="156"/>
        <v>3.2.1</v>
      </c>
      <c r="C156" s="1514" t="str">
        <f t="shared" si="157"/>
        <v>消火剤</v>
      </c>
      <c r="D156" s="1621">
        <f t="shared" ref="D156:E158" si="165">IF(I$155&gt;0,G156/I$155,0)</f>
        <v>0.33333333333333337</v>
      </c>
      <c r="E156" s="1591">
        <f t="shared" si="165"/>
        <v>0</v>
      </c>
      <c r="G156" s="1591">
        <f t="shared" si="158"/>
        <v>0.33333333333333337</v>
      </c>
      <c r="H156" s="1591">
        <f t="shared" si="158"/>
        <v>0</v>
      </c>
      <c r="I156" s="1591"/>
      <c r="J156" s="1591"/>
      <c r="K156" s="1516">
        <f>IF(スコア表示!X156=0,0,1)</f>
        <v>1</v>
      </c>
      <c r="L156" s="1516">
        <f>IF(スコア表示!AB156=0,0,1)</f>
        <v>0</v>
      </c>
      <c r="N156" s="1608">
        <f t="shared" ref="N156:O158" si="166">IF(P$155&gt;0,R156/P$155,0)</f>
        <v>0.33333333333333337</v>
      </c>
      <c r="O156" s="1608">
        <f t="shared" si="166"/>
        <v>0</v>
      </c>
      <c r="P156" s="1516"/>
      <c r="Q156" s="1516"/>
      <c r="R156" s="1516">
        <f>IF(スコア入力!R156="EB",重み_対象外!D156,U156)</f>
        <v>4.6666666666666683E-2</v>
      </c>
      <c r="S156" s="1516">
        <f>IF(スコア入力!Y156="EB",重み_対象外!E156,V156)</f>
        <v>0</v>
      </c>
      <c r="T156" s="1460"/>
      <c r="U156" s="1514">
        <f t="shared" ref="U156:V158" si="167">X$153*X$155*X156</f>
        <v>4.6666666666666683E-2</v>
      </c>
      <c r="V156" s="1514">
        <f t="shared" si="167"/>
        <v>0</v>
      </c>
      <c r="W156" s="1460"/>
      <c r="X156" s="1516">
        <f t="shared" si="159"/>
        <v>0.33333333333333337</v>
      </c>
      <c r="Y156" s="1516">
        <f t="shared" si="160"/>
        <v>0</v>
      </c>
      <c r="Z156" s="1471"/>
      <c r="AA156" s="1513" t="str">
        <f t="shared" si="163"/>
        <v>3.2.1</v>
      </c>
      <c r="AB156" s="1513" t="str">
        <f t="shared" si="164"/>
        <v>LR2 3.2</v>
      </c>
      <c r="AC156" s="1513" t="str">
        <f t="shared" si="155"/>
        <v>消火剤</v>
      </c>
      <c r="AD156" s="1659">
        <f t="shared" si="130"/>
        <v>0.33333333333333331</v>
      </c>
      <c r="AE156" s="1659">
        <f t="shared" si="131"/>
        <v>0.33333333333333331</v>
      </c>
      <c r="AF156" s="1659">
        <f t="shared" si="132"/>
        <v>0.33333333333333331</v>
      </c>
      <c r="AG156" s="1659">
        <f t="shared" si="133"/>
        <v>0.33333333333333331</v>
      </c>
      <c r="AH156" s="1659">
        <f t="shared" si="134"/>
        <v>0.33333333333333331</v>
      </c>
      <c r="AI156" s="1659">
        <f t="shared" si="135"/>
        <v>0.33333333333333331</v>
      </c>
      <c r="AJ156" s="1659">
        <f t="shared" si="141"/>
        <v>0.33333333333333331</v>
      </c>
      <c r="AK156" s="1661">
        <f t="shared" si="136"/>
        <v>0.33333333333333331</v>
      </c>
      <c r="AL156" s="1659">
        <f t="shared" si="137"/>
        <v>0.33333333333333331</v>
      </c>
      <c r="AM156" s="1659">
        <f t="shared" si="137"/>
        <v>0.33333333333333331</v>
      </c>
      <c r="AN156" s="1686">
        <f t="shared" si="138"/>
        <v>0</v>
      </c>
      <c r="AO156" s="1664">
        <f t="shared" si="139"/>
        <v>0</v>
      </c>
      <c r="AP156" s="1664">
        <f t="shared" si="140"/>
        <v>0</v>
      </c>
      <c r="AR156" s="1547" t="s">
        <v>1447</v>
      </c>
      <c r="AS156" s="1593" t="s">
        <v>331</v>
      </c>
      <c r="AT156" s="1964" t="s">
        <v>1449</v>
      </c>
      <c r="AU156" s="1523">
        <v>0.33333333333333331</v>
      </c>
      <c r="AV156" s="1523">
        <v>0.33333333333333331</v>
      </c>
      <c r="AW156" s="1523">
        <v>0.33333333333333331</v>
      </c>
      <c r="AX156" s="1523">
        <v>0.33333333333333331</v>
      </c>
      <c r="AY156" s="1523">
        <v>0.33333333333333331</v>
      </c>
      <c r="AZ156" s="1523">
        <v>0.33333333333333331</v>
      </c>
      <c r="BA156" s="1523">
        <v>0.33333333333333331</v>
      </c>
      <c r="BB156" s="1523">
        <v>0.33333333333333331</v>
      </c>
      <c r="BC156" s="1523">
        <v>0.33333333333333331</v>
      </c>
      <c r="BD156" s="1523">
        <v>0.33333333333333331</v>
      </c>
      <c r="BE156" s="1770"/>
      <c r="BF156" s="1615"/>
      <c r="BG156" s="1615"/>
      <c r="BI156" s="1547" t="s">
        <v>1447</v>
      </c>
      <c r="BJ156" s="1593" t="s">
        <v>331</v>
      </c>
      <c r="BK156" s="1964" t="s">
        <v>1449</v>
      </c>
      <c r="BL156" s="1523">
        <v>0.33333333333333331</v>
      </c>
      <c r="BM156" s="1523">
        <v>0.33333333333333331</v>
      </c>
      <c r="BN156" s="1523">
        <v>0.33333333333333331</v>
      </c>
      <c r="BO156" s="1523">
        <v>0.33333333333333331</v>
      </c>
      <c r="BP156" s="1523">
        <v>0.33333333333333331</v>
      </c>
      <c r="BQ156" s="1523">
        <v>0.33333333333333331</v>
      </c>
      <c r="BR156" s="1523">
        <v>0.33333333333333331</v>
      </c>
      <c r="BS156" s="1523">
        <v>0.33333333333333331</v>
      </c>
      <c r="BT156" s="1523">
        <v>0.33333333333333331</v>
      </c>
      <c r="BU156" s="1523">
        <v>0.33333333333333331</v>
      </c>
      <c r="BV156" s="1770"/>
      <c r="BW156" s="1615"/>
      <c r="BX156" s="1615"/>
    </row>
    <row r="157" spans="1:77" ht="13.5" customHeight="1">
      <c r="B157" s="1521" t="str">
        <f t="shared" si="156"/>
        <v>3.2.2</v>
      </c>
      <c r="C157" s="1514" t="str">
        <f t="shared" si="157"/>
        <v>発泡剤（断熱材等）</v>
      </c>
      <c r="D157" s="1621">
        <f t="shared" si="165"/>
        <v>0.33333333333333337</v>
      </c>
      <c r="E157" s="1591">
        <f t="shared" si="165"/>
        <v>0</v>
      </c>
      <c r="G157" s="1591">
        <f t="shared" si="158"/>
        <v>0.33333333333333337</v>
      </c>
      <c r="H157" s="1591">
        <f t="shared" si="158"/>
        <v>0</v>
      </c>
      <c r="I157" s="1591"/>
      <c r="J157" s="1591"/>
      <c r="K157" s="1516">
        <f>IF(スコア表示!X157=0,0,1)</f>
        <v>1</v>
      </c>
      <c r="L157" s="1516">
        <f>IF(スコア表示!AB157=0,0,1)</f>
        <v>0</v>
      </c>
      <c r="N157" s="1608">
        <f t="shared" si="166"/>
        <v>0.33333333333333337</v>
      </c>
      <c r="O157" s="1608">
        <f t="shared" si="166"/>
        <v>0</v>
      </c>
      <c r="P157" s="1516"/>
      <c r="Q157" s="1516"/>
      <c r="R157" s="1516">
        <f>IF(スコア入力!R157="EB",重み_対象外!D157,U157)</f>
        <v>4.6666666666666683E-2</v>
      </c>
      <c r="S157" s="1516">
        <f>IF(スコア入力!Y157="EB",重み_対象外!E157,V157)</f>
        <v>0</v>
      </c>
      <c r="T157" s="1460"/>
      <c r="U157" s="1514">
        <f t="shared" si="167"/>
        <v>4.6666666666666683E-2</v>
      </c>
      <c r="V157" s="1514">
        <f t="shared" si="167"/>
        <v>0</v>
      </c>
      <c r="W157" s="1460"/>
      <c r="X157" s="1516">
        <f t="shared" si="159"/>
        <v>0.33333333333333337</v>
      </c>
      <c r="Y157" s="1516">
        <f t="shared" si="160"/>
        <v>0</v>
      </c>
      <c r="Z157" s="1471"/>
      <c r="AA157" s="1513" t="str">
        <f t="shared" si="163"/>
        <v>3.2.2</v>
      </c>
      <c r="AB157" s="1513" t="str">
        <f t="shared" si="164"/>
        <v>LR2 3.2</v>
      </c>
      <c r="AC157" s="1513" t="str">
        <f t="shared" si="155"/>
        <v>発泡剤（断熱材等）</v>
      </c>
      <c r="AD157" s="1659">
        <f t="shared" si="130"/>
        <v>0.33333333333333331</v>
      </c>
      <c r="AE157" s="1659">
        <f t="shared" si="131"/>
        <v>0.33333333333333331</v>
      </c>
      <c r="AF157" s="1659">
        <f t="shared" si="132"/>
        <v>0.33333333333333331</v>
      </c>
      <c r="AG157" s="1659">
        <f t="shared" si="133"/>
        <v>0.33333333333333331</v>
      </c>
      <c r="AH157" s="1659">
        <f t="shared" si="134"/>
        <v>0.33333333333333331</v>
      </c>
      <c r="AI157" s="1659">
        <f t="shared" si="135"/>
        <v>0.33333333333333331</v>
      </c>
      <c r="AJ157" s="1659">
        <f t="shared" si="141"/>
        <v>0.33333333333333331</v>
      </c>
      <c r="AK157" s="1661">
        <f t="shared" si="136"/>
        <v>0.33333333333333331</v>
      </c>
      <c r="AL157" s="1659">
        <f t="shared" si="137"/>
        <v>0.33333333333333331</v>
      </c>
      <c r="AM157" s="1659">
        <f t="shared" si="137"/>
        <v>0.33333333333333331</v>
      </c>
      <c r="AN157" s="1686">
        <f t="shared" si="138"/>
        <v>0</v>
      </c>
      <c r="AO157" s="1664">
        <f t="shared" si="139"/>
        <v>0</v>
      </c>
      <c r="AP157" s="1664">
        <f t="shared" si="140"/>
        <v>0</v>
      </c>
      <c r="AR157" s="1547" t="s">
        <v>1450</v>
      </c>
      <c r="AS157" s="1593" t="s">
        <v>331</v>
      </c>
      <c r="AT157" s="1964" t="s">
        <v>1451</v>
      </c>
      <c r="AU157" s="1523">
        <v>0.33333333333333331</v>
      </c>
      <c r="AV157" s="1523">
        <v>0.33333333333333331</v>
      </c>
      <c r="AW157" s="1523">
        <v>0.33333333333333331</v>
      </c>
      <c r="AX157" s="1523">
        <v>0.33333333333333331</v>
      </c>
      <c r="AY157" s="1523">
        <v>0.33333333333333331</v>
      </c>
      <c r="AZ157" s="1523">
        <v>0.33333333333333331</v>
      </c>
      <c r="BA157" s="1523">
        <v>0.33333333333333331</v>
      </c>
      <c r="BB157" s="1523">
        <v>0.33333333333333331</v>
      </c>
      <c r="BC157" s="1523">
        <v>0.33333333333333331</v>
      </c>
      <c r="BD157" s="1523">
        <v>0.33333333333333331</v>
      </c>
      <c r="BE157" s="1770"/>
      <c r="BF157" s="1615"/>
      <c r="BG157" s="1615"/>
      <c r="BI157" s="1547" t="s">
        <v>1450</v>
      </c>
      <c r="BJ157" s="1593" t="s">
        <v>331</v>
      </c>
      <c r="BK157" s="1964" t="s">
        <v>1451</v>
      </c>
      <c r="BL157" s="1523">
        <v>0.33333333333333331</v>
      </c>
      <c r="BM157" s="1523">
        <v>0.33333333333333331</v>
      </c>
      <c r="BN157" s="1523">
        <v>0.33333333333333331</v>
      </c>
      <c r="BO157" s="1523">
        <v>0.33333333333333331</v>
      </c>
      <c r="BP157" s="1523">
        <v>0.33333333333333331</v>
      </c>
      <c r="BQ157" s="1523">
        <v>0.33333333333333331</v>
      </c>
      <c r="BR157" s="1523">
        <v>0.33333333333333331</v>
      </c>
      <c r="BS157" s="1523">
        <v>0.33333333333333331</v>
      </c>
      <c r="BT157" s="1523">
        <v>0.33333333333333331</v>
      </c>
      <c r="BU157" s="1523">
        <v>0.33333333333333331</v>
      </c>
      <c r="BV157" s="1770"/>
      <c r="BW157" s="1615"/>
      <c r="BX157" s="1615"/>
    </row>
    <row r="158" spans="1:77" ht="13.5" customHeight="1">
      <c r="B158" s="1521" t="str">
        <f t="shared" si="156"/>
        <v>3.2.3</v>
      </c>
      <c r="C158" s="1514" t="str">
        <f t="shared" si="157"/>
        <v>冷媒</v>
      </c>
      <c r="D158" s="1621">
        <f t="shared" si="165"/>
        <v>0.33333333333333337</v>
      </c>
      <c r="E158" s="1591">
        <f t="shared" si="165"/>
        <v>0</v>
      </c>
      <c r="G158" s="1591">
        <f t="shared" si="158"/>
        <v>0.33333333333333337</v>
      </c>
      <c r="H158" s="1591">
        <f t="shared" si="158"/>
        <v>0</v>
      </c>
      <c r="I158" s="1591"/>
      <c r="J158" s="1591"/>
      <c r="K158" s="1516">
        <f>IF(スコア表示!X158=0,0,1)</f>
        <v>1</v>
      </c>
      <c r="L158" s="1516">
        <f>IF(スコア表示!AB158=0,0,1)</f>
        <v>0</v>
      </c>
      <c r="N158" s="1608">
        <f t="shared" si="166"/>
        <v>0.33333333333333337</v>
      </c>
      <c r="O158" s="1608">
        <f t="shared" si="166"/>
        <v>0</v>
      </c>
      <c r="P158" s="1516"/>
      <c r="Q158" s="1516"/>
      <c r="R158" s="1516">
        <f>IF(スコア入力!R158="EB",重み_対象外!D158,U158)</f>
        <v>4.6666666666666683E-2</v>
      </c>
      <c r="S158" s="1516">
        <f>IF(スコア入力!Y158="EB",重み_対象外!E158,V158)</f>
        <v>0</v>
      </c>
      <c r="T158" s="1460"/>
      <c r="U158" s="1514">
        <f t="shared" si="167"/>
        <v>4.6666666666666683E-2</v>
      </c>
      <c r="V158" s="1514">
        <f t="shared" si="167"/>
        <v>0</v>
      </c>
      <c r="W158" s="1460"/>
      <c r="X158" s="1516">
        <f t="shared" si="159"/>
        <v>0.33333333333333337</v>
      </c>
      <c r="Y158" s="1516">
        <f t="shared" si="160"/>
        <v>0</v>
      </c>
      <c r="Z158" s="1471"/>
      <c r="AA158" s="1513" t="str">
        <f t="shared" si="163"/>
        <v>3.2.3</v>
      </c>
      <c r="AB158" s="1513" t="str">
        <f t="shared" si="164"/>
        <v>LR2 3.2</v>
      </c>
      <c r="AC158" s="1513" t="str">
        <f t="shared" si="155"/>
        <v>冷媒</v>
      </c>
      <c r="AD158" s="1659">
        <f t="shared" si="130"/>
        <v>0.33333333333333331</v>
      </c>
      <c r="AE158" s="1659">
        <f t="shared" si="131"/>
        <v>0.33333333333333331</v>
      </c>
      <c r="AF158" s="1659">
        <f t="shared" si="132"/>
        <v>0.33333333333333331</v>
      </c>
      <c r="AG158" s="1659">
        <f t="shared" si="133"/>
        <v>0.33333333333333331</v>
      </c>
      <c r="AH158" s="1659">
        <f t="shared" si="134"/>
        <v>0.33333333333333331</v>
      </c>
      <c r="AI158" s="1659">
        <f t="shared" si="135"/>
        <v>0.33333333333333331</v>
      </c>
      <c r="AJ158" s="1659">
        <f t="shared" si="141"/>
        <v>0.33333333333333331</v>
      </c>
      <c r="AK158" s="1661">
        <f t="shared" si="136"/>
        <v>0.33333333333333331</v>
      </c>
      <c r="AL158" s="1659">
        <f t="shared" si="137"/>
        <v>0.33333333333333331</v>
      </c>
      <c r="AM158" s="1659">
        <f t="shared" si="137"/>
        <v>0.33333333333333331</v>
      </c>
      <c r="AN158" s="1686">
        <f t="shared" si="138"/>
        <v>0</v>
      </c>
      <c r="AO158" s="1664">
        <f t="shared" si="139"/>
        <v>0</v>
      </c>
      <c r="AP158" s="1664">
        <f t="shared" si="140"/>
        <v>0</v>
      </c>
      <c r="AR158" s="1547" t="s">
        <v>1453</v>
      </c>
      <c r="AS158" s="1593" t="s">
        <v>331</v>
      </c>
      <c r="AT158" s="1964" t="s">
        <v>333</v>
      </c>
      <c r="AU158" s="1523">
        <v>0.33333333333333331</v>
      </c>
      <c r="AV158" s="1523">
        <v>0.33333333333333331</v>
      </c>
      <c r="AW158" s="1523">
        <v>0.33333333333333331</v>
      </c>
      <c r="AX158" s="1523">
        <v>0.33333333333333331</v>
      </c>
      <c r="AY158" s="1523">
        <v>0.33333333333333331</v>
      </c>
      <c r="AZ158" s="1523">
        <v>0.33333333333333331</v>
      </c>
      <c r="BA158" s="1523">
        <v>0.33333333333333331</v>
      </c>
      <c r="BB158" s="1523">
        <v>0.33333333333333331</v>
      </c>
      <c r="BC158" s="1523">
        <v>0.33333333333333331</v>
      </c>
      <c r="BD158" s="1523">
        <v>0.33333333333333331</v>
      </c>
      <c r="BE158" s="1770"/>
      <c r="BF158" s="1615"/>
      <c r="BG158" s="1615"/>
      <c r="BI158" s="1547" t="s">
        <v>1453</v>
      </c>
      <c r="BJ158" s="1593" t="s">
        <v>331</v>
      </c>
      <c r="BK158" s="1964" t="s">
        <v>333</v>
      </c>
      <c r="BL158" s="1523">
        <v>0.33333333333333331</v>
      </c>
      <c r="BM158" s="1523">
        <v>0.33333333333333331</v>
      </c>
      <c r="BN158" s="1523">
        <v>0.33333333333333331</v>
      </c>
      <c r="BO158" s="1523">
        <v>0.33333333333333331</v>
      </c>
      <c r="BP158" s="1523">
        <v>0.33333333333333331</v>
      </c>
      <c r="BQ158" s="1523">
        <v>0.33333333333333331</v>
      </c>
      <c r="BR158" s="1523">
        <v>0.33333333333333331</v>
      </c>
      <c r="BS158" s="1523">
        <v>0.33333333333333331</v>
      </c>
      <c r="BT158" s="1523">
        <v>0.33333333333333331</v>
      </c>
      <c r="BU158" s="1523">
        <v>0.33333333333333331</v>
      </c>
      <c r="BV158" s="1770"/>
      <c r="BW158" s="1615"/>
      <c r="BX158" s="1615"/>
    </row>
    <row r="159" spans="1:77" s="1505" customFormat="1" ht="13.5" customHeight="1">
      <c r="A159"/>
      <c r="B159" s="1497" t="str">
        <f t="shared" si="156"/>
        <v>LR3</v>
      </c>
      <c r="C159" s="1498" t="str">
        <f t="shared" si="157"/>
        <v>敷地外環境</v>
      </c>
      <c r="D159" s="1991" t="e">
        <f>IF(I$116=0,0,G159/I$116)</f>
        <v>#VALUE!</v>
      </c>
      <c r="E159" s="1957">
        <f>IF(J$116=0,0,H159/J$116)</f>
        <v>0</v>
      </c>
      <c r="F159"/>
      <c r="G159" s="1957" t="e">
        <f t="shared" si="158"/>
        <v>#VALUE!</v>
      </c>
      <c r="H159" s="1957">
        <f t="shared" si="158"/>
        <v>0</v>
      </c>
      <c r="I159" s="1957" t="e">
        <f>G160+G161+G169</f>
        <v>#VALUE!</v>
      </c>
      <c r="J159" s="1957">
        <f>H160+H161+H169</f>
        <v>0</v>
      </c>
      <c r="K159" s="1500" t="e">
        <f>IF(スコア表示!X159=0,0,1)</f>
        <v>#VALUE!</v>
      </c>
      <c r="L159" s="1500">
        <f>IF(スコア表示!AB159=0,0,1)</f>
        <v>0</v>
      </c>
      <c r="M159"/>
      <c r="N159" s="1631">
        <f>IF(P$116=0,0,R159/P$116)</f>
        <v>0.3</v>
      </c>
      <c r="O159" s="1631">
        <f>IF(Q$116=0,0,S159/Q$116)</f>
        <v>0</v>
      </c>
      <c r="P159" s="1500">
        <f>R160+R161+R169</f>
        <v>1.0000000000000002</v>
      </c>
      <c r="Q159" s="1500">
        <f>S160+S161+S169</f>
        <v>0</v>
      </c>
      <c r="R159" s="1500">
        <f>IF(スコア入力!R159="EB",重み_対象外!D159,U159)</f>
        <v>0.3</v>
      </c>
      <c r="S159" s="1500">
        <f>IF(スコア入力!Y159="EB",重み_対象外!E159,V159)</f>
        <v>0</v>
      </c>
      <c r="T159" s="1460"/>
      <c r="U159" s="1653">
        <f>X159</f>
        <v>0.3</v>
      </c>
      <c r="V159" s="1653">
        <f>Y159</f>
        <v>0</v>
      </c>
      <c r="W159" s="1460"/>
      <c r="X159" s="1500">
        <f t="shared" si="159"/>
        <v>0.3</v>
      </c>
      <c r="Y159" s="1500">
        <f t="shared" si="160"/>
        <v>0</v>
      </c>
      <c r="Z159" s="1501"/>
      <c r="AA159" s="1581" t="str">
        <f t="shared" si="163"/>
        <v>LR3</v>
      </c>
      <c r="AB159" s="1581" t="str">
        <f t="shared" si="164"/>
        <v>LR</v>
      </c>
      <c r="AC159" s="1502" t="str">
        <f t="shared" si="155"/>
        <v>敷地外環境</v>
      </c>
      <c r="AD159" s="1654">
        <f t="shared" si="130"/>
        <v>0.3</v>
      </c>
      <c r="AE159" s="1654">
        <f t="shared" si="131"/>
        <v>0.3</v>
      </c>
      <c r="AF159" s="1654">
        <f t="shared" si="132"/>
        <v>0.3</v>
      </c>
      <c r="AG159" s="1654">
        <f t="shared" si="133"/>
        <v>0.3</v>
      </c>
      <c r="AH159" s="1654">
        <f t="shared" si="134"/>
        <v>0.3</v>
      </c>
      <c r="AI159" s="1654">
        <f t="shared" si="135"/>
        <v>0.3</v>
      </c>
      <c r="AJ159" s="1654">
        <f t="shared" si="141"/>
        <v>0.3</v>
      </c>
      <c r="AK159" s="1654">
        <f t="shared" si="136"/>
        <v>0.3</v>
      </c>
      <c r="AL159" s="1654">
        <f t="shared" si="137"/>
        <v>0.3</v>
      </c>
      <c r="AM159" s="1654">
        <f t="shared" si="137"/>
        <v>0.3</v>
      </c>
      <c r="AN159" s="1682">
        <f t="shared" si="138"/>
        <v>0</v>
      </c>
      <c r="AO159" s="1683">
        <f t="shared" si="139"/>
        <v>0</v>
      </c>
      <c r="AP159" s="1683">
        <f t="shared" si="140"/>
        <v>0</v>
      </c>
      <c r="AQ159" s="1585"/>
      <c r="AR159" s="1498" t="s">
        <v>1454</v>
      </c>
      <c r="AS159" s="1994" t="s">
        <v>1412</v>
      </c>
      <c r="AT159" s="1958" t="s">
        <v>1455</v>
      </c>
      <c r="AU159" s="1960">
        <v>0.3</v>
      </c>
      <c r="AV159" s="1960">
        <v>0.3</v>
      </c>
      <c r="AW159" s="1960">
        <v>0.3</v>
      </c>
      <c r="AX159" s="1960">
        <v>0.3</v>
      </c>
      <c r="AY159" s="1960">
        <v>0.3</v>
      </c>
      <c r="AZ159" s="1960">
        <v>0.3</v>
      </c>
      <c r="BA159" s="1960">
        <v>0.3</v>
      </c>
      <c r="BB159" s="1960">
        <v>0.3</v>
      </c>
      <c r="BC159" s="1960">
        <v>0.3</v>
      </c>
      <c r="BD159" s="1960">
        <v>0.3</v>
      </c>
      <c r="BE159" s="1996"/>
      <c r="BF159" s="1997"/>
      <c r="BG159" s="1997"/>
      <c r="BH159"/>
      <c r="BI159" s="1498" t="s">
        <v>1454</v>
      </c>
      <c r="BJ159" s="1994" t="s">
        <v>1412</v>
      </c>
      <c r="BK159" s="1958" t="s">
        <v>1455</v>
      </c>
      <c r="BL159" s="1960">
        <v>0.3</v>
      </c>
      <c r="BM159" s="1960">
        <v>0.3</v>
      </c>
      <c r="BN159" s="1960">
        <v>0.3</v>
      </c>
      <c r="BO159" s="1960">
        <v>0.3</v>
      </c>
      <c r="BP159" s="1960">
        <v>0.3</v>
      </c>
      <c r="BQ159" s="1960">
        <v>0.3</v>
      </c>
      <c r="BR159" s="1960">
        <v>0.3</v>
      </c>
      <c r="BS159" s="1960">
        <v>0.3</v>
      </c>
      <c r="BT159" s="1960">
        <v>0.3</v>
      </c>
      <c r="BU159" s="1960">
        <v>0.3</v>
      </c>
      <c r="BV159" s="1996"/>
      <c r="BW159" s="1997"/>
      <c r="BX159" s="1997"/>
      <c r="BY159"/>
    </row>
    <row r="160" spans="1:77" s="1505" customFormat="1" ht="13.5" customHeight="1">
      <c r="A160"/>
      <c r="B160" s="1632">
        <f t="shared" si="156"/>
        <v>1</v>
      </c>
      <c r="C160" s="1541" t="str">
        <f t="shared" si="157"/>
        <v>地球温暖化への配慮</v>
      </c>
      <c r="D160" s="1962" t="e">
        <f>IF(I$159=0,0,G160/I$159)</f>
        <v>#VALUE!</v>
      </c>
      <c r="E160" s="1962">
        <f>IF(J$159=0,0,H160/J$159)</f>
        <v>0</v>
      </c>
      <c r="F160"/>
      <c r="G160" s="1643" t="e">
        <f t="shared" si="158"/>
        <v>#VALUE!</v>
      </c>
      <c r="H160" s="1643">
        <f t="shared" si="158"/>
        <v>0</v>
      </c>
      <c r="I160" s="1643"/>
      <c r="J160" s="1643"/>
      <c r="K160" s="1509" t="e">
        <f>IF(スコア表示!X160=0,0,1)</f>
        <v>#VALUE!</v>
      </c>
      <c r="L160" s="1509">
        <f>IF(スコア表示!AB160=0,0,1)</f>
        <v>0</v>
      </c>
      <c r="M160"/>
      <c r="N160" s="1607">
        <f>IF(P$159=0,0,R160/P$159)</f>
        <v>0.33333333333333331</v>
      </c>
      <c r="O160" s="1607">
        <f>IF(Q$159=0,0,S160/Q$159)</f>
        <v>0</v>
      </c>
      <c r="P160" s="1509"/>
      <c r="Q160" s="1509"/>
      <c r="R160" s="1509">
        <f>IF(スコア入力!R160="EB",重み_対象外!D160,U160)</f>
        <v>0.33333333333333337</v>
      </c>
      <c r="S160" s="1509">
        <f>IF(スコア入力!Y160="EB",重み_対象外!E160,V160)</f>
        <v>0</v>
      </c>
      <c r="T160" s="1460"/>
      <c r="U160" s="1610">
        <f>X160</f>
        <v>0.33333333333333337</v>
      </c>
      <c r="V160" s="1610">
        <f>Y160</f>
        <v>0</v>
      </c>
      <c r="W160" s="1460"/>
      <c r="X160" s="1509">
        <f t="shared" si="159"/>
        <v>0.33333333333333337</v>
      </c>
      <c r="Y160" s="1509">
        <f t="shared" si="160"/>
        <v>0</v>
      </c>
      <c r="Z160" s="1501"/>
      <c r="AA160" s="1574">
        <f t="shared" si="163"/>
        <v>1</v>
      </c>
      <c r="AB160" s="1506" t="str">
        <f t="shared" si="164"/>
        <v>LR3</v>
      </c>
      <c r="AC160" s="1506" t="str">
        <f t="shared" si="155"/>
        <v>地球温暖化への配慮</v>
      </c>
      <c r="AD160" s="1665">
        <f t="shared" si="130"/>
        <v>0.33333333333333331</v>
      </c>
      <c r="AE160" s="1665">
        <f t="shared" si="131"/>
        <v>0.33333333333333331</v>
      </c>
      <c r="AF160" s="1665">
        <f t="shared" si="132"/>
        <v>0.33333333333333331</v>
      </c>
      <c r="AG160" s="1665">
        <f t="shared" si="133"/>
        <v>0.33333333333333331</v>
      </c>
      <c r="AH160" s="1665">
        <f t="shared" si="134"/>
        <v>0.33333333333333331</v>
      </c>
      <c r="AI160" s="1665">
        <f t="shared" si="135"/>
        <v>0.33333333333333331</v>
      </c>
      <c r="AJ160" s="1665">
        <f t="shared" si="141"/>
        <v>0.33333333333333331</v>
      </c>
      <c r="AK160" s="1657">
        <f t="shared" si="136"/>
        <v>0.33333333333333331</v>
      </c>
      <c r="AL160" s="1665">
        <f t="shared" si="137"/>
        <v>0.33333333333333331</v>
      </c>
      <c r="AM160" s="1665">
        <f t="shared" si="137"/>
        <v>0.33333333333333331</v>
      </c>
      <c r="AN160" s="1666">
        <f t="shared" si="138"/>
        <v>0</v>
      </c>
      <c r="AO160" s="1665">
        <f t="shared" si="139"/>
        <v>0</v>
      </c>
      <c r="AP160" s="1665">
        <f t="shared" si="140"/>
        <v>0</v>
      </c>
      <c r="AQ160" s="1585"/>
      <c r="AR160" s="1541">
        <v>1</v>
      </c>
      <c r="AS160" s="1644" t="s">
        <v>334</v>
      </c>
      <c r="AT160" s="1680" t="s">
        <v>1007</v>
      </c>
      <c r="AU160" s="1611">
        <f t="shared" ref="AU160:BD161" si="168">1/3</f>
        <v>0.33333333333333331</v>
      </c>
      <c r="AV160" s="1611">
        <f t="shared" si="168"/>
        <v>0.33333333333333331</v>
      </c>
      <c r="AW160" s="1611">
        <f t="shared" si="168"/>
        <v>0.33333333333333331</v>
      </c>
      <c r="AX160" s="1611">
        <f t="shared" si="168"/>
        <v>0.33333333333333331</v>
      </c>
      <c r="AY160" s="1611">
        <f t="shared" si="168"/>
        <v>0.33333333333333331</v>
      </c>
      <c r="AZ160" s="1611">
        <f t="shared" si="168"/>
        <v>0.33333333333333331</v>
      </c>
      <c r="BA160" s="1611">
        <f t="shared" si="168"/>
        <v>0.33333333333333331</v>
      </c>
      <c r="BB160" s="1611">
        <f t="shared" si="168"/>
        <v>0.33333333333333331</v>
      </c>
      <c r="BC160" s="1611">
        <f t="shared" si="168"/>
        <v>0.33333333333333331</v>
      </c>
      <c r="BD160" s="1611">
        <f t="shared" si="168"/>
        <v>0.33333333333333331</v>
      </c>
      <c r="BE160" s="1963"/>
      <c r="BF160" s="1611"/>
      <c r="BG160" s="1611"/>
      <c r="BH160"/>
      <c r="BI160" s="1541">
        <v>1</v>
      </c>
      <c r="BJ160" s="1644" t="s">
        <v>334</v>
      </c>
      <c r="BK160" s="1680" t="s">
        <v>1007</v>
      </c>
      <c r="BL160" s="1611">
        <f t="shared" ref="BL160:BU161" si="169">1/3</f>
        <v>0.33333333333333331</v>
      </c>
      <c r="BM160" s="1611">
        <f t="shared" si="169"/>
        <v>0.33333333333333331</v>
      </c>
      <c r="BN160" s="1611">
        <f t="shared" si="169"/>
        <v>0.33333333333333331</v>
      </c>
      <c r="BO160" s="1611">
        <f t="shared" si="169"/>
        <v>0.33333333333333331</v>
      </c>
      <c r="BP160" s="1611">
        <f t="shared" si="169"/>
        <v>0.33333333333333331</v>
      </c>
      <c r="BQ160" s="1611">
        <f t="shared" si="169"/>
        <v>0.33333333333333331</v>
      </c>
      <c r="BR160" s="1611">
        <f t="shared" si="169"/>
        <v>0.33333333333333331</v>
      </c>
      <c r="BS160" s="1611">
        <f t="shared" si="169"/>
        <v>0.33333333333333331</v>
      </c>
      <c r="BT160" s="1611">
        <f t="shared" si="169"/>
        <v>0.33333333333333331</v>
      </c>
      <c r="BU160" s="1611">
        <f t="shared" si="169"/>
        <v>0.33333333333333331</v>
      </c>
      <c r="BV160" s="1963"/>
      <c r="BW160" s="1611"/>
      <c r="BX160" s="1611"/>
      <c r="BY160"/>
    </row>
    <row r="161" spans="1:77" s="1505" customFormat="1" ht="13.5" customHeight="1">
      <c r="A161"/>
      <c r="B161" s="1632">
        <f t="shared" si="156"/>
        <v>2</v>
      </c>
      <c r="C161" s="1541" t="str">
        <f t="shared" si="157"/>
        <v>地域環境への配慮</v>
      </c>
      <c r="D161" s="1962" t="e">
        <f>IF(I$159=0,0,G161/I$159)</f>
        <v>#VALUE!</v>
      </c>
      <c r="E161" s="1962">
        <f>IF(J$159=0,0,H161/J$159)</f>
        <v>0</v>
      </c>
      <c r="F161"/>
      <c r="G161" s="1643">
        <f t="shared" si="158"/>
        <v>0.3333333333333332</v>
      </c>
      <c r="H161" s="1643">
        <f t="shared" si="158"/>
        <v>0</v>
      </c>
      <c r="I161" s="1643">
        <f>G162+G163+G164</f>
        <v>1.0000000000000004</v>
      </c>
      <c r="J161" s="1643">
        <f>H162+H163+H164</f>
        <v>0</v>
      </c>
      <c r="K161" s="1509">
        <f>IF(スコア表示!X161=0,0,1)</f>
        <v>1</v>
      </c>
      <c r="L161" s="1509">
        <f>IF(スコア表示!AB161=0,0,1)</f>
        <v>0</v>
      </c>
      <c r="M161"/>
      <c r="N161" s="1607">
        <f>IF(P$159=0,0,R161/P$159)</f>
        <v>0.3333333333333332</v>
      </c>
      <c r="O161" s="1607">
        <f>IF(Q$159=0,0,S161/Q$159)</f>
        <v>0</v>
      </c>
      <c r="P161" s="1509">
        <f>SUM(R162:R168)</f>
        <v>0.33333333333333326</v>
      </c>
      <c r="Q161" s="1509">
        <f>SUM(S162:S168)</f>
        <v>0</v>
      </c>
      <c r="R161" s="1509">
        <f>IF(スコア入力!R161="EB",重み_対象外!D161,U161)</f>
        <v>0.33333333333333326</v>
      </c>
      <c r="S161" s="1509">
        <f>IF(スコア入力!Y161="EB",重み_対象外!E161,V161)</f>
        <v>0</v>
      </c>
      <c r="T161" s="1460"/>
      <c r="U161" s="1610">
        <f>SUM(U162:U168)</f>
        <v>0.33333333333333326</v>
      </c>
      <c r="V161" s="1610">
        <f>SUM(V162:V168)</f>
        <v>0</v>
      </c>
      <c r="W161" s="1460"/>
      <c r="X161" s="1509">
        <f t="shared" si="159"/>
        <v>0.33333333333333337</v>
      </c>
      <c r="Y161" s="1509">
        <f t="shared" si="160"/>
        <v>0</v>
      </c>
      <c r="Z161" s="1501"/>
      <c r="AA161" s="1574">
        <f t="shared" si="163"/>
        <v>2</v>
      </c>
      <c r="AB161" s="1506" t="str">
        <f t="shared" si="164"/>
        <v>LR3</v>
      </c>
      <c r="AC161" s="1506" t="str">
        <f t="shared" si="155"/>
        <v>地域環境への配慮</v>
      </c>
      <c r="AD161" s="1665">
        <f t="shared" si="130"/>
        <v>0.33333333333333331</v>
      </c>
      <c r="AE161" s="1665">
        <f t="shared" si="131"/>
        <v>0.33333333333333331</v>
      </c>
      <c r="AF161" s="1665">
        <f t="shared" si="132"/>
        <v>0.33333333333333331</v>
      </c>
      <c r="AG161" s="1665">
        <f t="shared" si="133"/>
        <v>0.33333333333333331</v>
      </c>
      <c r="AH161" s="1665">
        <f t="shared" si="134"/>
        <v>0.33333333333333331</v>
      </c>
      <c r="AI161" s="1665">
        <f t="shared" si="135"/>
        <v>0.33333333333333331</v>
      </c>
      <c r="AJ161" s="1665">
        <f t="shared" si="141"/>
        <v>0.33333333333333331</v>
      </c>
      <c r="AK161" s="1657">
        <f t="shared" si="136"/>
        <v>0.33333333333333331</v>
      </c>
      <c r="AL161" s="1665">
        <f t="shared" si="137"/>
        <v>0.33333333333333331</v>
      </c>
      <c r="AM161" s="1665">
        <f t="shared" si="137"/>
        <v>0.33333333333333331</v>
      </c>
      <c r="AN161" s="1666">
        <f t="shared" si="138"/>
        <v>0</v>
      </c>
      <c r="AO161" s="1665">
        <f t="shared" si="139"/>
        <v>0</v>
      </c>
      <c r="AP161" s="1665">
        <f t="shared" si="140"/>
        <v>0</v>
      </c>
      <c r="AQ161" s="1585"/>
      <c r="AR161" s="1541">
        <v>2</v>
      </c>
      <c r="AS161" s="1644" t="s">
        <v>334</v>
      </c>
      <c r="AT161" s="1680" t="s">
        <v>1008</v>
      </c>
      <c r="AU161" s="1611">
        <f t="shared" si="168"/>
        <v>0.33333333333333331</v>
      </c>
      <c r="AV161" s="1611">
        <f t="shared" si="168"/>
        <v>0.33333333333333331</v>
      </c>
      <c r="AW161" s="1611">
        <f t="shared" si="168"/>
        <v>0.33333333333333331</v>
      </c>
      <c r="AX161" s="1611">
        <f t="shared" si="168"/>
        <v>0.33333333333333331</v>
      </c>
      <c r="AY161" s="1611">
        <f t="shared" si="168"/>
        <v>0.33333333333333331</v>
      </c>
      <c r="AZ161" s="1611">
        <f t="shared" si="168"/>
        <v>0.33333333333333331</v>
      </c>
      <c r="BA161" s="1611">
        <f t="shared" si="168"/>
        <v>0.33333333333333331</v>
      </c>
      <c r="BB161" s="1611">
        <f t="shared" si="168"/>
        <v>0.33333333333333331</v>
      </c>
      <c r="BC161" s="1611">
        <f t="shared" si="168"/>
        <v>0.33333333333333331</v>
      </c>
      <c r="BD161" s="1611">
        <f t="shared" si="168"/>
        <v>0.33333333333333331</v>
      </c>
      <c r="BE161" s="1963"/>
      <c r="BF161" s="1611"/>
      <c r="BG161" s="1611"/>
      <c r="BH161"/>
      <c r="BI161" s="1541">
        <v>2</v>
      </c>
      <c r="BJ161" s="1644" t="s">
        <v>334</v>
      </c>
      <c r="BK161" s="1680" t="s">
        <v>1008</v>
      </c>
      <c r="BL161" s="1611">
        <f t="shared" si="169"/>
        <v>0.33333333333333331</v>
      </c>
      <c r="BM161" s="1611">
        <f t="shared" si="169"/>
        <v>0.33333333333333331</v>
      </c>
      <c r="BN161" s="1611">
        <f t="shared" si="169"/>
        <v>0.33333333333333331</v>
      </c>
      <c r="BO161" s="1611">
        <f t="shared" si="169"/>
        <v>0.33333333333333331</v>
      </c>
      <c r="BP161" s="1611">
        <f t="shared" si="169"/>
        <v>0.33333333333333331</v>
      </c>
      <c r="BQ161" s="1611">
        <f t="shared" si="169"/>
        <v>0.33333333333333331</v>
      </c>
      <c r="BR161" s="1611">
        <f t="shared" si="169"/>
        <v>0.33333333333333331</v>
      </c>
      <c r="BS161" s="1611">
        <f t="shared" si="169"/>
        <v>0.33333333333333331</v>
      </c>
      <c r="BT161" s="1611">
        <f t="shared" si="169"/>
        <v>0.33333333333333331</v>
      </c>
      <c r="BU161" s="1611">
        <f t="shared" si="169"/>
        <v>0.33333333333333331</v>
      </c>
      <c r="BV161" s="1963"/>
      <c r="BW161" s="1611"/>
      <c r="BX161" s="1611"/>
      <c r="BY161"/>
    </row>
    <row r="162" spans="1:77" ht="13.5" customHeight="1">
      <c r="B162" s="1517" t="str">
        <f t="shared" si="156"/>
        <v>2.1</v>
      </c>
      <c r="C162" s="1547" t="str">
        <f t="shared" si="157"/>
        <v>大気汚染防止</v>
      </c>
      <c r="D162" s="1616">
        <f t="shared" ref="D162:E164" si="170">IF(I$161=0,0,G162/I$161)</f>
        <v>0.25</v>
      </c>
      <c r="E162" s="1616">
        <f t="shared" si="170"/>
        <v>0</v>
      </c>
      <c r="G162" s="1591">
        <f t="shared" si="158"/>
        <v>0.25000000000000011</v>
      </c>
      <c r="H162" s="1591">
        <f t="shared" si="158"/>
        <v>0</v>
      </c>
      <c r="I162" s="1591"/>
      <c r="J162" s="1591"/>
      <c r="K162" s="1516">
        <f>IF(スコア表示!X162=0,0,1)</f>
        <v>1</v>
      </c>
      <c r="L162" s="1516">
        <f>IF(スコア表示!AB162=0,0,1)</f>
        <v>0</v>
      </c>
      <c r="N162" s="1613">
        <f>IF(P$161=0,0,R162/P$161)</f>
        <v>0.25000000000000011</v>
      </c>
      <c r="O162" s="1613">
        <f>IF(Q$161=0,0,S162/Q$161)</f>
        <v>0</v>
      </c>
      <c r="P162" s="1516"/>
      <c r="Q162" s="1516"/>
      <c r="R162" s="1516">
        <f>IF(スコア入力!R162="EB",重み_対象外!D162,U162)</f>
        <v>8.3333333333333343E-2</v>
      </c>
      <c r="S162" s="1516">
        <f>IF(スコア入力!Y162="EB",重み_対象外!E162,V162)</f>
        <v>0</v>
      </c>
      <c r="T162" s="1460"/>
      <c r="U162" s="1514">
        <f>X$161*X162</f>
        <v>8.3333333333333343E-2</v>
      </c>
      <c r="V162" s="1514">
        <f>Y$161*Y162</f>
        <v>0</v>
      </c>
      <c r="W162" s="1460"/>
      <c r="X162" s="1516">
        <f t="shared" si="159"/>
        <v>0.25</v>
      </c>
      <c r="Y162" s="1516">
        <f t="shared" si="160"/>
        <v>0</v>
      </c>
      <c r="Z162" s="1471"/>
      <c r="AA162" s="1513" t="str">
        <f t="shared" si="163"/>
        <v>2.1</v>
      </c>
      <c r="AB162" s="1513" t="str">
        <f t="shared" si="164"/>
        <v>LR3 2</v>
      </c>
      <c r="AC162" s="1513" t="str">
        <f t="shared" si="155"/>
        <v>大気汚染防止</v>
      </c>
      <c r="AD162" s="1659">
        <f t="shared" si="130"/>
        <v>0.25</v>
      </c>
      <c r="AE162" s="1659">
        <f t="shared" si="131"/>
        <v>0.25</v>
      </c>
      <c r="AF162" s="1659">
        <f t="shared" si="132"/>
        <v>0.25</v>
      </c>
      <c r="AG162" s="1659">
        <f t="shared" si="133"/>
        <v>0.25</v>
      </c>
      <c r="AH162" s="1659">
        <f t="shared" si="134"/>
        <v>0.25</v>
      </c>
      <c r="AI162" s="1659">
        <f t="shared" si="135"/>
        <v>0.25</v>
      </c>
      <c r="AJ162" s="1659">
        <f t="shared" si="141"/>
        <v>0.25</v>
      </c>
      <c r="AK162" s="1661">
        <f t="shared" si="136"/>
        <v>0.25</v>
      </c>
      <c r="AL162" s="1659">
        <f t="shared" si="137"/>
        <v>0.25</v>
      </c>
      <c r="AM162" s="1659">
        <f t="shared" si="137"/>
        <v>0.25</v>
      </c>
      <c r="AN162" s="1660">
        <f t="shared" si="138"/>
        <v>0</v>
      </c>
      <c r="AO162" s="1659">
        <f t="shared" si="139"/>
        <v>0</v>
      </c>
      <c r="AP162" s="1659">
        <f t="shared" si="140"/>
        <v>0</v>
      </c>
      <c r="AR162" s="1530" t="s">
        <v>1416</v>
      </c>
      <c r="AS162" s="1593" t="s">
        <v>335</v>
      </c>
      <c r="AT162" s="1637" t="s">
        <v>1009</v>
      </c>
      <c r="AU162" s="1523">
        <v>0.25</v>
      </c>
      <c r="AV162" s="1523">
        <v>0.25</v>
      </c>
      <c r="AW162" s="1523">
        <v>0.25</v>
      </c>
      <c r="AX162" s="1523">
        <v>0.25</v>
      </c>
      <c r="AY162" s="1523">
        <v>0.25</v>
      </c>
      <c r="AZ162" s="1523">
        <v>0.25</v>
      </c>
      <c r="BA162" s="1523">
        <v>0.25</v>
      </c>
      <c r="BB162" s="1523">
        <v>0.25</v>
      </c>
      <c r="BC162" s="1523">
        <v>0.25</v>
      </c>
      <c r="BD162" s="1523">
        <v>0.25</v>
      </c>
      <c r="BE162" s="1525"/>
      <c r="BF162" s="1523"/>
      <c r="BG162" s="1523"/>
      <c r="BI162" s="1530" t="s">
        <v>1416</v>
      </c>
      <c r="BJ162" s="1593" t="s">
        <v>335</v>
      </c>
      <c r="BK162" s="1637" t="s">
        <v>1009</v>
      </c>
      <c r="BL162" s="1523">
        <v>0.25</v>
      </c>
      <c r="BM162" s="1523">
        <v>0.25</v>
      </c>
      <c r="BN162" s="1523">
        <v>0.25</v>
      </c>
      <c r="BO162" s="1523">
        <v>0.25</v>
      </c>
      <c r="BP162" s="1523">
        <v>0.25</v>
      </c>
      <c r="BQ162" s="1523">
        <v>0.25</v>
      </c>
      <c r="BR162" s="1523">
        <v>0.25</v>
      </c>
      <c r="BS162" s="1523">
        <v>0.25</v>
      </c>
      <c r="BT162" s="1523">
        <v>0.25</v>
      </c>
      <c r="BU162" s="1523">
        <v>0.25</v>
      </c>
      <c r="BV162" s="1525"/>
      <c r="BW162" s="1523"/>
      <c r="BX162" s="1523"/>
    </row>
    <row r="163" spans="1:77" ht="13.5" customHeight="1">
      <c r="B163" s="1517" t="str">
        <f t="shared" si="156"/>
        <v>2.2</v>
      </c>
      <c r="C163" s="1547" t="str">
        <f t="shared" si="157"/>
        <v>温熱環境悪化の改善</v>
      </c>
      <c r="D163" s="1616">
        <f t="shared" si="170"/>
        <v>0.5</v>
      </c>
      <c r="E163" s="1616">
        <f t="shared" si="170"/>
        <v>0</v>
      </c>
      <c r="G163" s="1591">
        <f t="shared" si="158"/>
        <v>0.50000000000000022</v>
      </c>
      <c r="H163" s="1591">
        <f t="shared" si="158"/>
        <v>0</v>
      </c>
      <c r="I163" s="1591"/>
      <c r="J163" s="1591"/>
      <c r="K163" s="1516">
        <f>IF(スコア表示!X163=0,0,1)</f>
        <v>1</v>
      </c>
      <c r="L163" s="1516">
        <f>IF(スコア表示!AB163=0,0,1)</f>
        <v>0</v>
      </c>
      <c r="N163" s="1613">
        <f>IF(P$161=0,0,R163/P$161)</f>
        <v>0.50000000000000022</v>
      </c>
      <c r="O163" s="1613">
        <f>IF(Q$161=0,0,S163/Q$161)</f>
        <v>0</v>
      </c>
      <c r="P163" s="1516"/>
      <c r="Q163" s="1516"/>
      <c r="R163" s="1516">
        <f>IF(スコア入力!R163="EB",重み_対象外!D163,U163)</f>
        <v>0.16666666666666669</v>
      </c>
      <c r="S163" s="1516">
        <f>IF(スコア入力!Y163="EB",重み_対象外!E163,V163)</f>
        <v>0</v>
      </c>
      <c r="T163" s="1460"/>
      <c r="U163" s="1514">
        <f>X$161*X163</f>
        <v>0.16666666666666669</v>
      </c>
      <c r="V163" s="1514">
        <f>Y$161*Y163</f>
        <v>0</v>
      </c>
      <c r="W163" s="1460"/>
      <c r="X163" s="1516">
        <f t="shared" si="159"/>
        <v>0.5</v>
      </c>
      <c r="Y163" s="1516">
        <f t="shared" si="160"/>
        <v>0</v>
      </c>
      <c r="Z163" s="1471"/>
      <c r="AA163" s="1513" t="str">
        <f t="shared" si="163"/>
        <v>2.2</v>
      </c>
      <c r="AB163" s="1513" t="str">
        <f t="shared" si="164"/>
        <v>LR3 2</v>
      </c>
      <c r="AC163" s="1513" t="str">
        <f t="shared" ref="AC163:AC180" si="171">IF($AA$3=1,AT163,BK163)</f>
        <v>温熱環境悪化の改善</v>
      </c>
      <c r="AD163" s="1659">
        <f t="shared" ref="AD163:AD180" si="172">IF($AA$3=1,AU163,BL163)</f>
        <v>0.5</v>
      </c>
      <c r="AE163" s="1659">
        <f t="shared" ref="AE163:AE180" si="173">IF($AA$3=1,AV163,BM163)</f>
        <v>0.5</v>
      </c>
      <c r="AF163" s="1659">
        <f t="shared" ref="AF163:AF180" si="174">IF($AA$3=1,AW163,BN163)</f>
        <v>0.5</v>
      </c>
      <c r="AG163" s="1659">
        <f t="shared" ref="AG163:AG180" si="175">IF($AA$3=1,AX163,BO163)</f>
        <v>0.5</v>
      </c>
      <c r="AH163" s="1659">
        <f t="shared" ref="AH163:AH180" si="176">IF($AA$3=1,AY163,BP163)</f>
        <v>0.5</v>
      </c>
      <c r="AI163" s="1659">
        <f t="shared" ref="AI163:AI180" si="177">IF($AA$3=1,AZ163,BQ163)</f>
        <v>0.5</v>
      </c>
      <c r="AJ163" s="1659">
        <f t="shared" si="141"/>
        <v>0.5</v>
      </c>
      <c r="AK163" s="1661">
        <f t="shared" ref="AK163:AK180" si="178">IF($AA$3=1,BB163,BS163)</f>
        <v>0.5</v>
      </c>
      <c r="AL163" s="1659">
        <f t="shared" ref="AL163:AM180" si="179">IF($AA$3=1,BC163,BT163)</f>
        <v>0.5</v>
      </c>
      <c r="AM163" s="1659">
        <f t="shared" si="179"/>
        <v>0.5</v>
      </c>
      <c r="AN163" s="1660">
        <f t="shared" si="138"/>
        <v>0</v>
      </c>
      <c r="AO163" s="1659">
        <f t="shared" si="139"/>
        <v>0</v>
      </c>
      <c r="AP163" s="1659">
        <f t="shared" si="140"/>
        <v>0</v>
      </c>
      <c r="AR163" s="1530" t="s">
        <v>1418</v>
      </c>
      <c r="AS163" s="1593" t="s">
        <v>335</v>
      </c>
      <c r="AT163" s="1637" t="s">
        <v>1456</v>
      </c>
      <c r="AU163" s="1987">
        <v>0.5</v>
      </c>
      <c r="AV163" s="1987">
        <v>0.5</v>
      </c>
      <c r="AW163" s="1987">
        <v>0.5</v>
      </c>
      <c r="AX163" s="1987">
        <v>0.5</v>
      </c>
      <c r="AY163" s="1987">
        <v>0.5</v>
      </c>
      <c r="AZ163" s="1987">
        <v>0.5</v>
      </c>
      <c r="BA163" s="1987">
        <v>0.5</v>
      </c>
      <c r="BB163" s="1987">
        <v>0.5</v>
      </c>
      <c r="BC163" s="1987">
        <v>0.5</v>
      </c>
      <c r="BD163" s="1987">
        <v>0.5</v>
      </c>
      <c r="BE163" s="1988"/>
      <c r="BF163" s="1987"/>
      <c r="BG163" s="1987"/>
      <c r="BI163" s="1530" t="s">
        <v>1418</v>
      </c>
      <c r="BJ163" s="1593" t="s">
        <v>335</v>
      </c>
      <c r="BK163" s="1637" t="s">
        <v>1456</v>
      </c>
      <c r="BL163" s="1987">
        <v>0.5</v>
      </c>
      <c r="BM163" s="1987">
        <v>0.5</v>
      </c>
      <c r="BN163" s="1987">
        <v>0.5</v>
      </c>
      <c r="BO163" s="1987">
        <v>0.5</v>
      </c>
      <c r="BP163" s="1987">
        <v>0.5</v>
      </c>
      <c r="BQ163" s="1987">
        <v>0.5</v>
      </c>
      <c r="BR163" s="1987">
        <v>0.5</v>
      </c>
      <c r="BS163" s="1987">
        <v>0.5</v>
      </c>
      <c r="BT163" s="1987">
        <v>0.5</v>
      </c>
      <c r="BU163" s="1987">
        <v>0.5</v>
      </c>
      <c r="BV163" s="1988"/>
      <c r="BW163" s="1987"/>
      <c r="BX163" s="1987"/>
    </row>
    <row r="164" spans="1:77" ht="13.5" customHeight="1">
      <c r="B164" s="1517" t="str">
        <f t="shared" si="156"/>
        <v>2.3</v>
      </c>
      <c r="C164" s="1547" t="str">
        <f t="shared" si="157"/>
        <v>地域インフラへの負荷抑制</v>
      </c>
      <c r="D164" s="1616">
        <f t="shared" si="170"/>
        <v>0.25</v>
      </c>
      <c r="E164" s="1616">
        <f t="shared" si="170"/>
        <v>0</v>
      </c>
      <c r="G164" s="1591">
        <f t="shared" si="158"/>
        <v>0.25000000000000011</v>
      </c>
      <c r="H164" s="1591">
        <f t="shared" si="158"/>
        <v>0</v>
      </c>
      <c r="I164" s="1591">
        <f>SUM(G165:G168)</f>
        <v>1</v>
      </c>
      <c r="J164" s="1591">
        <f>SUM(H165:H168)</f>
        <v>0</v>
      </c>
      <c r="K164" s="1516">
        <f>IF(スコア表示!X164=0,0,1)</f>
        <v>1</v>
      </c>
      <c r="L164" s="1516">
        <f>IF(スコア表示!AB164=0,0,1)</f>
        <v>0</v>
      </c>
      <c r="N164" s="1613">
        <f>IF(P$161=0,0,P164/P$161)</f>
        <v>0.25000000000000011</v>
      </c>
      <c r="O164" s="1613">
        <f>IF(Q$161=0,0,Q164/Q$161)</f>
        <v>0</v>
      </c>
      <c r="P164" s="1516">
        <f>SUM(R165:R168)</f>
        <v>8.3333333333333343E-2</v>
      </c>
      <c r="Q164" s="1516">
        <f>SUM(S165:S168)</f>
        <v>0</v>
      </c>
      <c r="R164" s="1516">
        <f>IF(スコア入力!R164="EB",重み_対象外!D164,U164)</f>
        <v>0</v>
      </c>
      <c r="S164" s="1516">
        <f>IF(スコア入力!Y164="EB",重み_対象外!E164,V164)</f>
        <v>0</v>
      </c>
      <c r="T164" s="1460"/>
      <c r="U164" s="1514"/>
      <c r="V164" s="1514"/>
      <c r="W164" s="1460"/>
      <c r="X164" s="1516">
        <f t="shared" si="159"/>
        <v>0.25</v>
      </c>
      <c r="Y164" s="1516">
        <f t="shared" si="160"/>
        <v>0</v>
      </c>
      <c r="Z164" s="1471"/>
      <c r="AA164" s="1513" t="str">
        <f t="shared" si="163"/>
        <v>2.3</v>
      </c>
      <c r="AB164" s="1513" t="str">
        <f t="shared" si="164"/>
        <v>LR3 2</v>
      </c>
      <c r="AC164" s="1513" t="str">
        <f t="shared" si="171"/>
        <v>地域インフラへの負荷抑制</v>
      </c>
      <c r="AD164" s="1659">
        <f t="shared" si="172"/>
        <v>0.25</v>
      </c>
      <c r="AE164" s="1659">
        <f t="shared" si="173"/>
        <v>0.25</v>
      </c>
      <c r="AF164" s="1659">
        <f t="shared" si="174"/>
        <v>0.25</v>
      </c>
      <c r="AG164" s="1659">
        <f t="shared" si="175"/>
        <v>0.25</v>
      </c>
      <c r="AH164" s="1659">
        <f t="shared" si="176"/>
        <v>0.25</v>
      </c>
      <c r="AI164" s="1659">
        <f t="shared" si="177"/>
        <v>0.25</v>
      </c>
      <c r="AJ164" s="1659">
        <f t="shared" si="141"/>
        <v>0.25</v>
      </c>
      <c r="AK164" s="1661">
        <f t="shared" si="178"/>
        <v>0.25</v>
      </c>
      <c r="AL164" s="1659">
        <f t="shared" si="179"/>
        <v>0.25</v>
      </c>
      <c r="AM164" s="1659">
        <f t="shared" si="179"/>
        <v>0.25</v>
      </c>
      <c r="AN164" s="1660">
        <f t="shared" si="138"/>
        <v>0</v>
      </c>
      <c r="AO164" s="1659">
        <f t="shared" si="139"/>
        <v>0</v>
      </c>
      <c r="AP164" s="1659">
        <f t="shared" si="140"/>
        <v>0</v>
      </c>
      <c r="AR164" s="1530" t="s">
        <v>1457</v>
      </c>
      <c r="AS164" s="1593" t="s">
        <v>335</v>
      </c>
      <c r="AT164" s="1637" t="s">
        <v>849</v>
      </c>
      <c r="AU164" s="1987">
        <v>0.25</v>
      </c>
      <c r="AV164" s="1987">
        <v>0.25</v>
      </c>
      <c r="AW164" s="1987">
        <v>0.25</v>
      </c>
      <c r="AX164" s="1987">
        <v>0.25</v>
      </c>
      <c r="AY164" s="1987">
        <v>0.25</v>
      </c>
      <c r="AZ164" s="1987">
        <v>0.25</v>
      </c>
      <c r="BA164" s="1987">
        <v>0.25</v>
      </c>
      <c r="BB164" s="1987">
        <v>0.25</v>
      </c>
      <c r="BC164" s="1987">
        <v>0.25</v>
      </c>
      <c r="BD164" s="1987">
        <v>0.25</v>
      </c>
      <c r="BE164" s="1988"/>
      <c r="BF164" s="1987"/>
      <c r="BG164" s="1987"/>
      <c r="BI164" s="1530" t="s">
        <v>1457</v>
      </c>
      <c r="BJ164" s="1593" t="s">
        <v>335</v>
      </c>
      <c r="BK164" s="1637" t="s">
        <v>849</v>
      </c>
      <c r="BL164" s="1987">
        <v>0.25</v>
      </c>
      <c r="BM164" s="1987">
        <v>0.25</v>
      </c>
      <c r="BN164" s="1987">
        <v>0.25</v>
      </c>
      <c r="BO164" s="1987">
        <v>0.25</v>
      </c>
      <c r="BP164" s="1987">
        <v>0.25</v>
      </c>
      <c r="BQ164" s="1987">
        <v>0.25</v>
      </c>
      <c r="BR164" s="1987">
        <v>0.25</v>
      </c>
      <c r="BS164" s="1987">
        <v>0.25</v>
      </c>
      <c r="BT164" s="1987">
        <v>0.25</v>
      </c>
      <c r="BU164" s="1987">
        <v>0.25</v>
      </c>
      <c r="BV164" s="1988"/>
      <c r="BW164" s="1987"/>
      <c r="BX164" s="1987"/>
    </row>
    <row r="165" spans="1:77" ht="13.5" customHeight="1">
      <c r="B165" s="1517" t="str">
        <f t="shared" si="156"/>
        <v>2.3.1</v>
      </c>
      <c r="C165" s="1547" t="str">
        <f t="shared" si="157"/>
        <v>雨水排水負荷低減</v>
      </c>
      <c r="D165" s="1616">
        <f t="shared" ref="D165:E168" si="180">IF(I$164=0,0,G165/I$164)</f>
        <v>0.25</v>
      </c>
      <c r="E165" s="1616">
        <f t="shared" si="180"/>
        <v>0</v>
      </c>
      <c r="G165" s="1591">
        <f t="shared" si="158"/>
        <v>0.25</v>
      </c>
      <c r="H165" s="1591">
        <f t="shared" si="158"/>
        <v>0</v>
      </c>
      <c r="I165" s="1591"/>
      <c r="J165" s="1591"/>
      <c r="K165" s="1516">
        <f>IF(スコア表示!X165=0,0,1)</f>
        <v>1</v>
      </c>
      <c r="L165" s="1516">
        <f>IF(スコア表示!AB165=0,0,1)</f>
        <v>0</v>
      </c>
      <c r="N165" s="1613">
        <f t="shared" ref="N165:O168" si="181">IF(P$164&gt;0,R165/P$164,0)</f>
        <v>0.25</v>
      </c>
      <c r="O165" s="1613">
        <f t="shared" si="181"/>
        <v>0</v>
      </c>
      <c r="P165" s="1516"/>
      <c r="Q165" s="1516"/>
      <c r="R165" s="1516">
        <f>IF(スコア入力!R165="EB",重み_対象外!D165,U165)</f>
        <v>2.0833333333333336E-2</v>
      </c>
      <c r="S165" s="1516">
        <f>IF(スコア入力!Y165="EB",重み_対象外!E165,V165)</f>
        <v>0</v>
      </c>
      <c r="T165" s="1460"/>
      <c r="U165" s="1514">
        <f>X$161*X$164*X165</f>
        <v>2.0833333333333336E-2</v>
      </c>
      <c r="V165" s="1514">
        <f>Y$163*Y$164*Y165</f>
        <v>0</v>
      </c>
      <c r="W165" s="1460"/>
      <c r="X165" s="1516">
        <f t="shared" si="159"/>
        <v>0.25</v>
      </c>
      <c r="Y165" s="1516">
        <f t="shared" si="160"/>
        <v>0</v>
      </c>
      <c r="Z165" s="1471"/>
      <c r="AA165" s="1513" t="str">
        <f t="shared" si="163"/>
        <v>2.3.1</v>
      </c>
      <c r="AB165" s="1513" t="str">
        <f t="shared" si="164"/>
        <v>LR3 2.3</v>
      </c>
      <c r="AC165" s="1513" t="str">
        <f t="shared" si="171"/>
        <v>雨水排水負荷低減</v>
      </c>
      <c r="AD165" s="1659">
        <f t="shared" si="172"/>
        <v>0.25</v>
      </c>
      <c r="AE165" s="1659">
        <f t="shared" si="173"/>
        <v>0.25</v>
      </c>
      <c r="AF165" s="1659">
        <f t="shared" si="174"/>
        <v>0.25</v>
      </c>
      <c r="AG165" s="1659">
        <f t="shared" si="175"/>
        <v>0.25</v>
      </c>
      <c r="AH165" s="1659">
        <f t="shared" si="176"/>
        <v>0.25</v>
      </c>
      <c r="AI165" s="1659">
        <f t="shared" si="177"/>
        <v>0.25</v>
      </c>
      <c r="AJ165" s="1659">
        <f t="shared" si="141"/>
        <v>0.25</v>
      </c>
      <c r="AK165" s="1661">
        <f t="shared" si="178"/>
        <v>0.25</v>
      </c>
      <c r="AL165" s="1659">
        <f t="shared" si="179"/>
        <v>0.25</v>
      </c>
      <c r="AM165" s="1659">
        <f t="shared" si="179"/>
        <v>0.25</v>
      </c>
      <c r="AN165" s="1660"/>
      <c r="AO165" s="1659"/>
      <c r="AP165" s="1659"/>
      <c r="AR165" s="1530" t="s">
        <v>1327</v>
      </c>
      <c r="AS165" s="1593" t="s">
        <v>336</v>
      </c>
      <c r="AT165" s="1594" t="s">
        <v>1458</v>
      </c>
      <c r="AU165" s="1523">
        <v>0.25</v>
      </c>
      <c r="AV165" s="1523">
        <v>0.25</v>
      </c>
      <c r="AW165" s="1523">
        <v>0.25</v>
      </c>
      <c r="AX165" s="1523">
        <v>0.25</v>
      </c>
      <c r="AY165" s="1523">
        <v>0.25</v>
      </c>
      <c r="AZ165" s="1523">
        <v>0.25</v>
      </c>
      <c r="BA165" s="1523">
        <v>0.25</v>
      </c>
      <c r="BB165" s="1523">
        <v>0.25</v>
      </c>
      <c r="BC165" s="1523">
        <v>0.25</v>
      </c>
      <c r="BD165" s="1523">
        <v>0.25</v>
      </c>
      <c r="BE165" s="1988"/>
      <c r="BF165" s="1987"/>
      <c r="BG165" s="1987"/>
      <c r="BI165" s="1530" t="s">
        <v>1327</v>
      </c>
      <c r="BJ165" s="1593" t="s">
        <v>336</v>
      </c>
      <c r="BK165" s="1594" t="s">
        <v>1458</v>
      </c>
      <c r="BL165" s="1523">
        <v>0.25</v>
      </c>
      <c r="BM165" s="1523">
        <v>0.25</v>
      </c>
      <c r="BN165" s="1523">
        <v>0.25</v>
      </c>
      <c r="BO165" s="1523">
        <v>0.25</v>
      </c>
      <c r="BP165" s="1523">
        <v>0.25</v>
      </c>
      <c r="BQ165" s="1523">
        <v>0.25</v>
      </c>
      <c r="BR165" s="1523">
        <v>0.25</v>
      </c>
      <c r="BS165" s="1523">
        <v>0.25</v>
      </c>
      <c r="BT165" s="1523">
        <v>0.25</v>
      </c>
      <c r="BU165" s="1523">
        <v>0.25</v>
      </c>
      <c r="BV165" s="1988"/>
      <c r="BW165" s="1987"/>
      <c r="BX165" s="1987"/>
    </row>
    <row r="166" spans="1:77" ht="13.5" customHeight="1">
      <c r="B166" s="1517" t="str">
        <f t="shared" si="156"/>
        <v>2.3.2</v>
      </c>
      <c r="C166" s="1547" t="str">
        <f t="shared" si="157"/>
        <v>汚水処理負荷抑制</v>
      </c>
      <c r="D166" s="1616">
        <f t="shared" si="180"/>
        <v>0.25</v>
      </c>
      <c r="E166" s="1616">
        <f t="shared" si="180"/>
        <v>0</v>
      </c>
      <c r="G166" s="1591">
        <f t="shared" si="158"/>
        <v>0.25</v>
      </c>
      <c r="H166" s="1591">
        <f t="shared" si="158"/>
        <v>0</v>
      </c>
      <c r="I166" s="1591"/>
      <c r="J166" s="1591"/>
      <c r="K166" s="1516">
        <f>IF(スコア表示!X166=0,0,1)</f>
        <v>1</v>
      </c>
      <c r="L166" s="1516">
        <f>IF(スコア表示!AB166=0,0,1)</f>
        <v>0</v>
      </c>
      <c r="N166" s="1613">
        <f t="shared" si="181"/>
        <v>0.25</v>
      </c>
      <c r="O166" s="1613">
        <f t="shared" si="181"/>
        <v>0</v>
      </c>
      <c r="P166" s="1516"/>
      <c r="Q166" s="1516"/>
      <c r="R166" s="1516">
        <f>IF(スコア入力!R166="EB",重み_対象外!D166,U166)</f>
        <v>2.0833333333333336E-2</v>
      </c>
      <c r="S166" s="1516">
        <f>IF(スコア入力!Y166="EB",重み_対象外!E166,V166)</f>
        <v>0</v>
      </c>
      <c r="T166" s="1460"/>
      <c r="U166" s="1514">
        <f>X$161*X$164*X166</f>
        <v>2.0833333333333336E-2</v>
      </c>
      <c r="V166" s="1514">
        <f>Y$163*Y$164*Y166</f>
        <v>0</v>
      </c>
      <c r="W166" s="1460"/>
      <c r="X166" s="1516">
        <f t="shared" si="159"/>
        <v>0.25</v>
      </c>
      <c r="Y166" s="1516">
        <f t="shared" si="160"/>
        <v>0</v>
      </c>
      <c r="Z166" s="1471"/>
      <c r="AA166" s="1513" t="str">
        <f t="shared" si="163"/>
        <v>2.3.2</v>
      </c>
      <c r="AB166" s="1513" t="str">
        <f t="shared" si="164"/>
        <v>LR3 2.3</v>
      </c>
      <c r="AC166" s="1513" t="str">
        <f t="shared" si="171"/>
        <v>汚水処理負荷抑制</v>
      </c>
      <c r="AD166" s="1659">
        <f t="shared" si="172"/>
        <v>0.25</v>
      </c>
      <c r="AE166" s="1659">
        <f t="shared" si="173"/>
        <v>0.25</v>
      </c>
      <c r="AF166" s="1659">
        <f t="shared" si="174"/>
        <v>0.25</v>
      </c>
      <c r="AG166" s="1659">
        <f t="shared" si="175"/>
        <v>0.25</v>
      </c>
      <c r="AH166" s="1659">
        <f t="shared" si="176"/>
        <v>0.25</v>
      </c>
      <c r="AI166" s="1659">
        <f t="shared" si="177"/>
        <v>0.25</v>
      </c>
      <c r="AJ166" s="1659">
        <f t="shared" si="141"/>
        <v>0.25</v>
      </c>
      <c r="AK166" s="1661">
        <f t="shared" si="178"/>
        <v>0.25</v>
      </c>
      <c r="AL166" s="1659">
        <f t="shared" si="179"/>
        <v>0.25</v>
      </c>
      <c r="AM166" s="1659">
        <f t="shared" si="179"/>
        <v>0.25</v>
      </c>
      <c r="AN166" s="1660"/>
      <c r="AO166" s="1659"/>
      <c r="AP166" s="1659"/>
      <c r="AR166" s="1530" t="s">
        <v>1329</v>
      </c>
      <c r="AS166" s="1593" t="s">
        <v>336</v>
      </c>
      <c r="AT166" s="1594" t="s">
        <v>1459</v>
      </c>
      <c r="AU166" s="1523">
        <v>0.25</v>
      </c>
      <c r="AV166" s="1523">
        <v>0.25</v>
      </c>
      <c r="AW166" s="1523">
        <v>0.25</v>
      </c>
      <c r="AX166" s="1523">
        <v>0.25</v>
      </c>
      <c r="AY166" s="1523">
        <v>0.25</v>
      </c>
      <c r="AZ166" s="1523">
        <v>0.25</v>
      </c>
      <c r="BA166" s="1523">
        <v>0.25</v>
      </c>
      <c r="BB166" s="1523">
        <v>0.25</v>
      </c>
      <c r="BC166" s="1523">
        <v>0.25</v>
      </c>
      <c r="BD166" s="1523">
        <v>0.25</v>
      </c>
      <c r="BE166" s="1988"/>
      <c r="BF166" s="1987"/>
      <c r="BG166" s="1987"/>
      <c r="BI166" s="1530" t="s">
        <v>1329</v>
      </c>
      <c r="BJ166" s="1593" t="s">
        <v>336</v>
      </c>
      <c r="BK166" s="1594" t="s">
        <v>1459</v>
      </c>
      <c r="BL166" s="1523">
        <v>0.25</v>
      </c>
      <c r="BM166" s="1523">
        <v>0.25</v>
      </c>
      <c r="BN166" s="1523">
        <v>0.25</v>
      </c>
      <c r="BO166" s="1523">
        <v>0.25</v>
      </c>
      <c r="BP166" s="1523">
        <v>0.25</v>
      </c>
      <c r="BQ166" s="1523">
        <v>0.25</v>
      </c>
      <c r="BR166" s="1523">
        <v>0.25</v>
      </c>
      <c r="BS166" s="1523">
        <v>0.25</v>
      </c>
      <c r="BT166" s="1523">
        <v>0.25</v>
      </c>
      <c r="BU166" s="1523">
        <v>0.25</v>
      </c>
      <c r="BV166" s="1988"/>
      <c r="BW166" s="1987"/>
      <c r="BX166" s="1987"/>
    </row>
    <row r="167" spans="1:77" ht="13.5" customHeight="1">
      <c r="B167" s="1517" t="str">
        <f t="shared" si="156"/>
        <v>2.3.3</v>
      </c>
      <c r="C167" s="1547" t="str">
        <f t="shared" si="157"/>
        <v>交通負荷抑制</v>
      </c>
      <c r="D167" s="1616">
        <f t="shared" si="180"/>
        <v>0.25</v>
      </c>
      <c r="E167" s="1616">
        <f t="shared" si="180"/>
        <v>0</v>
      </c>
      <c r="G167" s="1591">
        <f t="shared" si="158"/>
        <v>0.25</v>
      </c>
      <c r="H167" s="1591">
        <f t="shared" si="158"/>
        <v>0</v>
      </c>
      <c r="I167" s="1591"/>
      <c r="J167" s="1591"/>
      <c r="K167" s="1516">
        <f>IF(スコア表示!X167=0,0,1)</f>
        <v>1</v>
      </c>
      <c r="L167" s="1516">
        <f>IF(スコア表示!AB167=0,0,1)</f>
        <v>0</v>
      </c>
      <c r="N167" s="1613">
        <f t="shared" si="181"/>
        <v>0.25</v>
      </c>
      <c r="O167" s="1613">
        <f t="shared" si="181"/>
        <v>0</v>
      </c>
      <c r="P167" s="1516"/>
      <c r="Q167" s="1516"/>
      <c r="R167" s="1516">
        <f>IF(スコア入力!R167="EB",重み_対象外!D167,U167)</f>
        <v>2.0833333333333336E-2</v>
      </c>
      <c r="S167" s="1516">
        <f>IF(スコア入力!Y167="EB",重み_対象外!E167,V167)</f>
        <v>0</v>
      </c>
      <c r="T167" s="1460"/>
      <c r="U167" s="1514">
        <f>X$161*X$164*X167</f>
        <v>2.0833333333333336E-2</v>
      </c>
      <c r="V167" s="1514">
        <f>Y$163*Y$164*Y167</f>
        <v>0</v>
      </c>
      <c r="W167" s="1460"/>
      <c r="X167" s="1516">
        <f t="shared" si="159"/>
        <v>0.25</v>
      </c>
      <c r="Y167" s="1516">
        <f t="shared" si="160"/>
        <v>0</v>
      </c>
      <c r="Z167" s="1471"/>
      <c r="AA167" s="1513" t="str">
        <f t="shared" si="163"/>
        <v>2.3.3</v>
      </c>
      <c r="AB167" s="1513" t="str">
        <f t="shared" si="164"/>
        <v>LR3 2.3</v>
      </c>
      <c r="AC167" s="1513" t="str">
        <f t="shared" si="171"/>
        <v>交通負荷抑制</v>
      </c>
      <c r="AD167" s="1659">
        <f t="shared" si="172"/>
        <v>0.25</v>
      </c>
      <c r="AE167" s="1659">
        <f t="shared" si="173"/>
        <v>0.25</v>
      </c>
      <c r="AF167" s="1659">
        <f t="shared" si="174"/>
        <v>0.25</v>
      </c>
      <c r="AG167" s="1659">
        <f t="shared" si="175"/>
        <v>0.25</v>
      </c>
      <c r="AH167" s="1659">
        <f t="shared" si="176"/>
        <v>0.25</v>
      </c>
      <c r="AI167" s="1659">
        <f t="shared" si="177"/>
        <v>0.25</v>
      </c>
      <c r="AJ167" s="1659">
        <f t="shared" si="141"/>
        <v>0.25</v>
      </c>
      <c r="AK167" s="1661">
        <f t="shared" si="178"/>
        <v>0.25</v>
      </c>
      <c r="AL167" s="1659">
        <f t="shared" si="179"/>
        <v>0.25</v>
      </c>
      <c r="AM167" s="1659">
        <f t="shared" si="179"/>
        <v>0.25</v>
      </c>
      <c r="AN167" s="1660"/>
      <c r="AO167" s="1659"/>
      <c r="AP167" s="1659"/>
      <c r="AR167" s="1530" t="s">
        <v>1460</v>
      </c>
      <c r="AS167" s="1593" t="s">
        <v>336</v>
      </c>
      <c r="AT167" s="1594" t="s">
        <v>1010</v>
      </c>
      <c r="AU167" s="1523">
        <v>0.25</v>
      </c>
      <c r="AV167" s="1523">
        <v>0.25</v>
      </c>
      <c r="AW167" s="1523">
        <v>0.25</v>
      </c>
      <c r="AX167" s="1523">
        <v>0.25</v>
      </c>
      <c r="AY167" s="1523">
        <v>0.25</v>
      </c>
      <c r="AZ167" s="1523">
        <v>0.25</v>
      </c>
      <c r="BA167" s="1523">
        <v>0.25</v>
      </c>
      <c r="BB167" s="1523">
        <v>0.25</v>
      </c>
      <c r="BC167" s="1523">
        <v>0.25</v>
      </c>
      <c r="BD167" s="1523">
        <v>0.25</v>
      </c>
      <c r="BE167" s="1988"/>
      <c r="BF167" s="1987"/>
      <c r="BG167" s="1987"/>
      <c r="BI167" s="1530" t="s">
        <v>1460</v>
      </c>
      <c r="BJ167" s="1593" t="s">
        <v>336</v>
      </c>
      <c r="BK167" s="1594" t="s">
        <v>1010</v>
      </c>
      <c r="BL167" s="1523">
        <v>0.25</v>
      </c>
      <c r="BM167" s="1523">
        <v>0.25</v>
      </c>
      <c r="BN167" s="1523">
        <v>0.25</v>
      </c>
      <c r="BO167" s="1523">
        <v>0.25</v>
      </c>
      <c r="BP167" s="1523">
        <v>0.25</v>
      </c>
      <c r="BQ167" s="1523">
        <v>0.25</v>
      </c>
      <c r="BR167" s="1523">
        <v>0.25</v>
      </c>
      <c r="BS167" s="1523">
        <v>0.25</v>
      </c>
      <c r="BT167" s="1523">
        <v>0.25</v>
      </c>
      <c r="BU167" s="1523">
        <v>0.25</v>
      </c>
      <c r="BV167" s="1988"/>
      <c r="BW167" s="1987"/>
      <c r="BX167" s="1987"/>
    </row>
    <row r="168" spans="1:77" ht="13.5" customHeight="1">
      <c r="B168" s="1517" t="str">
        <f t="shared" si="156"/>
        <v>2.3.4</v>
      </c>
      <c r="C168" s="1547" t="str">
        <f t="shared" si="157"/>
        <v>廃棄物処理負荷抑制</v>
      </c>
      <c r="D168" s="1616">
        <f t="shared" si="180"/>
        <v>0.25</v>
      </c>
      <c r="E168" s="1616">
        <f t="shared" si="180"/>
        <v>0</v>
      </c>
      <c r="G168" s="1591">
        <f t="shared" si="158"/>
        <v>0.25</v>
      </c>
      <c r="H168" s="1591">
        <f t="shared" si="158"/>
        <v>0</v>
      </c>
      <c r="I168" s="1591"/>
      <c r="J168" s="1591"/>
      <c r="K168" s="1516">
        <f>IF(スコア表示!X168=0,0,1)</f>
        <v>1</v>
      </c>
      <c r="L168" s="1516">
        <f>IF(スコア表示!AB168=0,0,1)</f>
        <v>0</v>
      </c>
      <c r="N168" s="1613">
        <f t="shared" si="181"/>
        <v>0.25</v>
      </c>
      <c r="O168" s="1613">
        <f t="shared" si="181"/>
        <v>0</v>
      </c>
      <c r="P168" s="1516"/>
      <c r="Q168" s="1516"/>
      <c r="R168" s="1516">
        <f>IF(スコア入力!R168="EB",重み_対象外!D168,U168)</f>
        <v>2.0833333333333336E-2</v>
      </c>
      <c r="S168" s="1516">
        <f>IF(スコア入力!Y168="EB",重み_対象外!E168,V168)</f>
        <v>0</v>
      </c>
      <c r="T168" s="1460"/>
      <c r="U168" s="1514">
        <f>X$161*X$164*X168</f>
        <v>2.0833333333333336E-2</v>
      </c>
      <c r="V168" s="1514">
        <f>Y$163*Y$164*Y168</f>
        <v>0</v>
      </c>
      <c r="W168" s="1460"/>
      <c r="X168" s="1516">
        <f t="shared" si="159"/>
        <v>0.25</v>
      </c>
      <c r="Y168" s="1516">
        <f t="shared" si="160"/>
        <v>0</v>
      </c>
      <c r="Z168" s="1471"/>
      <c r="AA168" s="1513" t="str">
        <f t="shared" si="163"/>
        <v>2.3.4</v>
      </c>
      <c r="AB168" s="1513" t="str">
        <f t="shared" si="164"/>
        <v>LR3 2.3</v>
      </c>
      <c r="AC168" s="1513" t="str">
        <f t="shared" si="171"/>
        <v>廃棄物処理負荷抑制</v>
      </c>
      <c r="AD168" s="1659">
        <f t="shared" si="172"/>
        <v>0.25</v>
      </c>
      <c r="AE168" s="1659">
        <f t="shared" si="173"/>
        <v>0.25</v>
      </c>
      <c r="AF168" s="1659">
        <f t="shared" si="174"/>
        <v>0.25</v>
      </c>
      <c r="AG168" s="1659">
        <f t="shared" si="175"/>
        <v>0.25</v>
      </c>
      <c r="AH168" s="1659">
        <f t="shared" si="176"/>
        <v>0.25</v>
      </c>
      <c r="AI168" s="1659">
        <f t="shared" si="177"/>
        <v>0.25</v>
      </c>
      <c r="AJ168" s="1659">
        <f t="shared" si="141"/>
        <v>0.25</v>
      </c>
      <c r="AK168" s="1661">
        <f t="shared" si="178"/>
        <v>0.25</v>
      </c>
      <c r="AL168" s="1659">
        <f t="shared" si="179"/>
        <v>0.25</v>
      </c>
      <c r="AM168" s="1659">
        <f t="shared" si="179"/>
        <v>0.25</v>
      </c>
      <c r="AN168" s="1660"/>
      <c r="AO168" s="1659"/>
      <c r="AP168" s="1659"/>
      <c r="AR168" s="1530" t="s">
        <v>1461</v>
      </c>
      <c r="AS168" s="1593" t="s">
        <v>336</v>
      </c>
      <c r="AT168" s="1595" t="s">
        <v>1011</v>
      </c>
      <c r="AU168" s="1523">
        <v>0.25</v>
      </c>
      <c r="AV168" s="1523">
        <v>0.25</v>
      </c>
      <c r="AW168" s="1523">
        <v>0.25</v>
      </c>
      <c r="AX168" s="1523">
        <v>0.25</v>
      </c>
      <c r="AY168" s="1523">
        <v>0.25</v>
      </c>
      <c r="AZ168" s="1523">
        <v>0.25</v>
      </c>
      <c r="BA168" s="1523">
        <v>0.25</v>
      </c>
      <c r="BB168" s="1523">
        <v>0.25</v>
      </c>
      <c r="BC168" s="1523">
        <v>0.25</v>
      </c>
      <c r="BD168" s="1523">
        <v>0.25</v>
      </c>
      <c r="BE168" s="1988"/>
      <c r="BF168" s="1987"/>
      <c r="BG168" s="1987"/>
      <c r="BI168" s="1530" t="s">
        <v>1461</v>
      </c>
      <c r="BJ168" s="1593" t="s">
        <v>336</v>
      </c>
      <c r="BK168" s="1595" t="s">
        <v>1011</v>
      </c>
      <c r="BL168" s="1523">
        <v>0.25</v>
      </c>
      <c r="BM168" s="1523">
        <v>0.25</v>
      </c>
      <c r="BN168" s="1523">
        <v>0.25</v>
      </c>
      <c r="BO168" s="1523">
        <v>0.25</v>
      </c>
      <c r="BP168" s="1523">
        <v>0.25</v>
      </c>
      <c r="BQ168" s="1523">
        <v>0.25</v>
      </c>
      <c r="BR168" s="1523">
        <v>0.25</v>
      </c>
      <c r="BS168" s="1523">
        <v>0.25</v>
      </c>
      <c r="BT168" s="1523">
        <v>0.25</v>
      </c>
      <c r="BU168" s="1523">
        <v>0.25</v>
      </c>
      <c r="BV168" s="1988"/>
      <c r="BW168" s="1987"/>
      <c r="BX168" s="1987"/>
    </row>
    <row r="169" spans="1:77" s="1505" customFormat="1" ht="13.5" customHeight="1">
      <c r="A169"/>
      <c r="B169" s="1632">
        <f t="shared" si="156"/>
        <v>3</v>
      </c>
      <c r="C169" s="1541" t="str">
        <f t="shared" si="157"/>
        <v>周辺環境への配慮</v>
      </c>
      <c r="D169" s="1962" t="e">
        <f>IF(I$159=0,0,G169/I$159)</f>
        <v>#VALUE!</v>
      </c>
      <c r="E169" s="1962">
        <f>IF(J$159=0,0,H169/J$159)</f>
        <v>0</v>
      </c>
      <c r="F169"/>
      <c r="G169" s="1643">
        <f t="shared" si="158"/>
        <v>0.33333333333333348</v>
      </c>
      <c r="H169" s="1643">
        <f t="shared" si="158"/>
        <v>0</v>
      </c>
      <c r="I169" s="1643">
        <f>G170+G174+G178</f>
        <v>0.99999999999999989</v>
      </c>
      <c r="J169" s="1643">
        <f>H170+H174+H178</f>
        <v>0</v>
      </c>
      <c r="K169" s="1509">
        <f>IF(スコア表示!X169=0,0,1)</f>
        <v>1</v>
      </c>
      <c r="L169" s="1509">
        <f>IF(スコア表示!AB169=0,0,1)</f>
        <v>0</v>
      </c>
      <c r="M169"/>
      <c r="N169" s="1607">
        <f>IF(P$159=0,0,R169/P$159)</f>
        <v>0.33333333333333348</v>
      </c>
      <c r="O169" s="1607">
        <f>IF(Q$159=0,0,S169/Q$159)</f>
        <v>0</v>
      </c>
      <c r="P169" s="1509">
        <f>SUM(R170:R180)</f>
        <v>0.33333333333333354</v>
      </c>
      <c r="Q169" s="1509">
        <f>SUM(S170:S180)</f>
        <v>0</v>
      </c>
      <c r="R169" s="1509">
        <f>IF(スコア入力!R169="EB",重み_対象外!D169,U169)</f>
        <v>0.33333333333333354</v>
      </c>
      <c r="S169" s="1509">
        <f>IF(スコア入力!Y169="EB",重み_対象外!E169,V169)</f>
        <v>0</v>
      </c>
      <c r="T169" s="1460"/>
      <c r="U169" s="1610">
        <f>SUM(U170:U180)</f>
        <v>0.33333333333333354</v>
      </c>
      <c r="V169" s="1610">
        <f>SUM(V170:V180)</f>
        <v>0</v>
      </c>
      <c r="W169" s="1460"/>
      <c r="X169" s="1509">
        <f t="shared" si="159"/>
        <v>0.33333333333333337</v>
      </c>
      <c r="Y169" s="1509">
        <f t="shared" si="160"/>
        <v>0</v>
      </c>
      <c r="Z169" s="1501"/>
      <c r="AA169" s="1574">
        <f t="shared" si="163"/>
        <v>3</v>
      </c>
      <c r="AB169" s="1506" t="str">
        <f t="shared" si="164"/>
        <v>LR3</v>
      </c>
      <c r="AC169" s="1506" t="str">
        <f t="shared" si="171"/>
        <v>周辺環境への配慮</v>
      </c>
      <c r="AD169" s="1665">
        <f t="shared" si="172"/>
        <v>0.33333333333333331</v>
      </c>
      <c r="AE169" s="1665">
        <f t="shared" si="173"/>
        <v>0.33333333333333331</v>
      </c>
      <c r="AF169" s="1665">
        <f t="shared" si="174"/>
        <v>0.33333333333333331</v>
      </c>
      <c r="AG169" s="1665">
        <f t="shared" si="175"/>
        <v>0.33333333333333331</v>
      </c>
      <c r="AH169" s="1665">
        <f t="shared" si="176"/>
        <v>0.33333333333333331</v>
      </c>
      <c r="AI169" s="1665">
        <f t="shared" si="177"/>
        <v>0.33333333333333331</v>
      </c>
      <c r="AJ169" s="1665">
        <f t="shared" si="141"/>
        <v>0.33333333333333331</v>
      </c>
      <c r="AK169" s="1657">
        <f t="shared" si="178"/>
        <v>0.33333333333333331</v>
      </c>
      <c r="AL169" s="1665">
        <f t="shared" si="179"/>
        <v>0.33333333333333331</v>
      </c>
      <c r="AM169" s="1665">
        <f t="shared" si="179"/>
        <v>0.33333333333333331</v>
      </c>
      <c r="AN169" s="1666">
        <f t="shared" ref="AN169:AP174" si="182">IF($AA$3=1,BE169,BV169)</f>
        <v>0</v>
      </c>
      <c r="AO169" s="1665">
        <f t="shared" si="182"/>
        <v>0</v>
      </c>
      <c r="AP169" s="1665">
        <f t="shared" si="182"/>
        <v>0</v>
      </c>
      <c r="AQ169" s="1585"/>
      <c r="AR169" s="1541">
        <v>3</v>
      </c>
      <c r="AS169" s="1644" t="s">
        <v>334</v>
      </c>
      <c r="AT169" s="1680" t="s">
        <v>1012</v>
      </c>
      <c r="AU169" s="1611">
        <f t="shared" ref="AU169:BD169" si="183">1/3</f>
        <v>0.33333333333333331</v>
      </c>
      <c r="AV169" s="1611">
        <f t="shared" si="183"/>
        <v>0.33333333333333331</v>
      </c>
      <c r="AW169" s="1611">
        <f t="shared" si="183"/>
        <v>0.33333333333333331</v>
      </c>
      <c r="AX169" s="1611">
        <f t="shared" si="183"/>
        <v>0.33333333333333331</v>
      </c>
      <c r="AY169" s="1611">
        <f t="shared" si="183"/>
        <v>0.33333333333333331</v>
      </c>
      <c r="AZ169" s="1611">
        <f t="shared" si="183"/>
        <v>0.33333333333333331</v>
      </c>
      <c r="BA169" s="1611">
        <f t="shared" si="183"/>
        <v>0.33333333333333331</v>
      </c>
      <c r="BB169" s="1611">
        <f t="shared" si="183"/>
        <v>0.33333333333333331</v>
      </c>
      <c r="BC169" s="1611">
        <f t="shared" si="183"/>
        <v>0.33333333333333331</v>
      </c>
      <c r="BD169" s="1611">
        <f t="shared" si="183"/>
        <v>0.33333333333333331</v>
      </c>
      <c r="BE169" s="1963"/>
      <c r="BF169" s="1611"/>
      <c r="BG169" s="1611"/>
      <c r="BH169"/>
      <c r="BI169" s="1541">
        <v>3</v>
      </c>
      <c r="BJ169" s="1644" t="s">
        <v>334</v>
      </c>
      <c r="BK169" s="1680" t="s">
        <v>1012</v>
      </c>
      <c r="BL169" s="1611">
        <f t="shared" ref="BL169:BU169" si="184">1/3</f>
        <v>0.33333333333333331</v>
      </c>
      <c r="BM169" s="1611">
        <f t="shared" si="184"/>
        <v>0.33333333333333331</v>
      </c>
      <c r="BN169" s="1611">
        <f t="shared" si="184"/>
        <v>0.33333333333333331</v>
      </c>
      <c r="BO169" s="1611">
        <f t="shared" si="184"/>
        <v>0.33333333333333331</v>
      </c>
      <c r="BP169" s="1611">
        <f t="shared" si="184"/>
        <v>0.33333333333333331</v>
      </c>
      <c r="BQ169" s="1611">
        <f t="shared" si="184"/>
        <v>0.33333333333333331</v>
      </c>
      <c r="BR169" s="1611">
        <f t="shared" si="184"/>
        <v>0.33333333333333331</v>
      </c>
      <c r="BS169" s="1611">
        <f t="shared" si="184"/>
        <v>0.33333333333333331</v>
      </c>
      <c r="BT169" s="1611">
        <f t="shared" si="184"/>
        <v>0.33333333333333331</v>
      </c>
      <c r="BU169" s="1611">
        <f t="shared" si="184"/>
        <v>0.33333333333333331</v>
      </c>
      <c r="BV169" s="1963"/>
      <c r="BW169" s="1611"/>
      <c r="BX169" s="1611"/>
      <c r="BY169"/>
    </row>
    <row r="170" spans="1:77" ht="13.5" customHeight="1">
      <c r="B170" s="1517" t="str">
        <f t="shared" si="156"/>
        <v>3.1</v>
      </c>
      <c r="C170" s="1547" t="str">
        <f t="shared" si="157"/>
        <v>騒音・振動・悪臭の防止</v>
      </c>
      <c r="D170" s="1616">
        <f>IF(I$169=0,0,G170/I$169)</f>
        <v>0.40000000000000008</v>
      </c>
      <c r="E170" s="1616">
        <f>IF(J$169=0,0,H170/J$169)</f>
        <v>0</v>
      </c>
      <c r="G170" s="1591">
        <f t="shared" si="158"/>
        <v>0.4</v>
      </c>
      <c r="H170" s="1591">
        <f t="shared" si="158"/>
        <v>0</v>
      </c>
      <c r="I170" s="1591">
        <f>SUM(G171:G173)</f>
        <v>1</v>
      </c>
      <c r="J170" s="1591">
        <f>SUM(H171:H173)</f>
        <v>0</v>
      </c>
      <c r="K170" s="1516">
        <f>IF(スコア表示!X170=0,0,1)</f>
        <v>1</v>
      </c>
      <c r="L170" s="1516">
        <f>IF(スコア表示!AB170=0,0,1)</f>
        <v>0</v>
      </c>
      <c r="N170" s="1613">
        <f>IF(P$169=0,0,P170/P$169)</f>
        <v>0.4</v>
      </c>
      <c r="O170" s="1613">
        <f>IF(Q$169=0,0,Q170/Q$169)</f>
        <v>0</v>
      </c>
      <c r="P170" s="1516">
        <f>SUM(R171:R173)</f>
        <v>0.13333333333333341</v>
      </c>
      <c r="Q170" s="1516">
        <f>SUM(S171:S173)</f>
        <v>0</v>
      </c>
      <c r="R170" s="1516">
        <f>IF(スコア入力!R170="EB",重み_対象外!D170,U170)</f>
        <v>0</v>
      </c>
      <c r="S170" s="1516">
        <f>IF(スコア入力!Y170="EB",重み_対象外!E170,V170)</f>
        <v>0</v>
      </c>
      <c r="T170" s="1460"/>
      <c r="U170" s="1514"/>
      <c r="V170" s="1514"/>
      <c r="W170" s="1460"/>
      <c r="X170" s="1516">
        <f t="shared" si="159"/>
        <v>0.40000000000000008</v>
      </c>
      <c r="Y170" s="1516">
        <f t="shared" si="160"/>
        <v>0</v>
      </c>
      <c r="Z170" s="1471"/>
      <c r="AA170" s="1513" t="str">
        <f t="shared" si="163"/>
        <v>3.1</v>
      </c>
      <c r="AB170" s="1513" t="str">
        <f t="shared" si="164"/>
        <v>LR3 3</v>
      </c>
      <c r="AC170" s="1513" t="str">
        <f t="shared" si="171"/>
        <v>騒音・振動・悪臭の防止</v>
      </c>
      <c r="AD170" s="1659">
        <f t="shared" si="172"/>
        <v>0.4</v>
      </c>
      <c r="AE170" s="1659">
        <f t="shared" si="173"/>
        <v>0.4</v>
      </c>
      <c r="AF170" s="1659">
        <f t="shared" si="174"/>
        <v>0.4</v>
      </c>
      <c r="AG170" s="1659">
        <f t="shared" si="175"/>
        <v>0.4</v>
      </c>
      <c r="AH170" s="1659">
        <f t="shared" si="176"/>
        <v>0.4</v>
      </c>
      <c r="AI170" s="1659">
        <f t="shared" si="177"/>
        <v>0.4</v>
      </c>
      <c r="AJ170" s="1659">
        <f t="shared" si="141"/>
        <v>0.4</v>
      </c>
      <c r="AK170" s="1661">
        <f t="shared" si="178"/>
        <v>0.4</v>
      </c>
      <c r="AL170" s="1659">
        <f t="shared" si="179"/>
        <v>0.4</v>
      </c>
      <c r="AM170" s="1659">
        <f t="shared" si="179"/>
        <v>0.4</v>
      </c>
      <c r="AN170" s="1660">
        <f t="shared" si="182"/>
        <v>0</v>
      </c>
      <c r="AO170" s="1659">
        <f t="shared" si="182"/>
        <v>0</v>
      </c>
      <c r="AP170" s="1659">
        <f t="shared" si="182"/>
        <v>0</v>
      </c>
      <c r="AR170" s="1530" t="s">
        <v>1401</v>
      </c>
      <c r="AS170" s="1593" t="s">
        <v>337</v>
      </c>
      <c r="AT170" s="1637" t="s">
        <v>1013</v>
      </c>
      <c r="AU170" s="1987">
        <v>0.4</v>
      </c>
      <c r="AV170" s="1987">
        <v>0.4</v>
      </c>
      <c r="AW170" s="1987">
        <v>0.4</v>
      </c>
      <c r="AX170" s="1987">
        <v>0.4</v>
      </c>
      <c r="AY170" s="1987">
        <v>0.4</v>
      </c>
      <c r="AZ170" s="1987">
        <v>0.4</v>
      </c>
      <c r="BA170" s="1987">
        <v>0.4</v>
      </c>
      <c r="BB170" s="1987">
        <v>0.4</v>
      </c>
      <c r="BC170" s="1987">
        <v>0.4</v>
      </c>
      <c r="BD170" s="1987">
        <v>0.4</v>
      </c>
      <c r="BE170" s="1988"/>
      <c r="BF170" s="1987"/>
      <c r="BG170" s="1987"/>
      <c r="BI170" s="1530" t="s">
        <v>1401</v>
      </c>
      <c r="BJ170" s="1593" t="s">
        <v>337</v>
      </c>
      <c r="BK170" s="1637" t="s">
        <v>1013</v>
      </c>
      <c r="BL170" s="1987">
        <v>0.4</v>
      </c>
      <c r="BM170" s="1987">
        <v>0.4</v>
      </c>
      <c r="BN170" s="1987">
        <v>0.4</v>
      </c>
      <c r="BO170" s="1987">
        <v>0.4</v>
      </c>
      <c r="BP170" s="1987">
        <v>0.4</v>
      </c>
      <c r="BQ170" s="1987">
        <v>0.4</v>
      </c>
      <c r="BR170" s="1987">
        <v>0.4</v>
      </c>
      <c r="BS170" s="1987">
        <v>0.4</v>
      </c>
      <c r="BT170" s="1987">
        <v>0.4</v>
      </c>
      <c r="BU170" s="1987">
        <v>0.4</v>
      </c>
      <c r="BV170" s="1988"/>
      <c r="BW170" s="1987"/>
      <c r="BX170" s="1987"/>
    </row>
    <row r="171" spans="1:77" ht="13.5" customHeight="1">
      <c r="B171" s="1517" t="str">
        <f t="shared" si="156"/>
        <v>3.1.1</v>
      </c>
      <c r="C171" s="1547" t="str">
        <f t="shared" si="157"/>
        <v>騒音</v>
      </c>
      <c r="D171" s="1616">
        <f t="shared" ref="D171:E173" si="185">IF(I$170=0,0,G171/I$170)</f>
        <v>0.33333333333333331</v>
      </c>
      <c r="E171" s="1616">
        <f t="shared" si="185"/>
        <v>0</v>
      </c>
      <c r="G171" s="1591">
        <f t="shared" si="158"/>
        <v>0.33333333333333331</v>
      </c>
      <c r="H171" s="1591">
        <f t="shared" si="158"/>
        <v>0</v>
      </c>
      <c r="I171" s="1591"/>
      <c r="J171" s="1591"/>
      <c r="K171" s="1516">
        <f>IF(スコア表示!X171=0,0,1)</f>
        <v>1</v>
      </c>
      <c r="L171" s="1516">
        <f>IF(スコア表示!AB171=0,0,1)</f>
        <v>0</v>
      </c>
      <c r="N171" s="1613">
        <f t="shared" ref="N171:O173" si="186">IF(P$170&gt;0,R171/P$170,0)</f>
        <v>0.33333333333333331</v>
      </c>
      <c r="O171" s="1613">
        <f t="shared" si="186"/>
        <v>0</v>
      </c>
      <c r="P171" s="1516"/>
      <c r="Q171" s="1516"/>
      <c r="R171" s="1516">
        <f>IF(スコア入力!R171="EB",重み_対象外!D171,U171)</f>
        <v>4.4444444444444467E-2</v>
      </c>
      <c r="S171" s="1516">
        <f>IF(スコア入力!Y171="EB",重み_対象外!E171,V171)</f>
        <v>0</v>
      </c>
      <c r="T171" s="1460"/>
      <c r="U171" s="1514">
        <f t="shared" ref="U171:V173" si="187">X$169*X$170*X171</f>
        <v>4.4444444444444467E-2</v>
      </c>
      <c r="V171" s="1514">
        <f t="shared" si="187"/>
        <v>0</v>
      </c>
      <c r="W171" s="1460"/>
      <c r="X171" s="1516">
        <f t="shared" si="159"/>
        <v>0.33333333333333337</v>
      </c>
      <c r="Y171" s="1516">
        <f t="shared" si="160"/>
        <v>0</v>
      </c>
      <c r="Z171" s="1471"/>
      <c r="AA171" s="1513" t="str">
        <f t="shared" si="163"/>
        <v>3.1.1</v>
      </c>
      <c r="AB171" s="1513" t="str">
        <f t="shared" si="164"/>
        <v>LR3 3.1</v>
      </c>
      <c r="AC171" s="1513" t="str">
        <f t="shared" si="171"/>
        <v>騒音</v>
      </c>
      <c r="AD171" s="1659">
        <f t="shared" si="172"/>
        <v>0.33333333333333331</v>
      </c>
      <c r="AE171" s="1659">
        <f t="shared" si="173"/>
        <v>0.33333333333333331</v>
      </c>
      <c r="AF171" s="1659">
        <f t="shared" si="174"/>
        <v>0.33333333333333331</v>
      </c>
      <c r="AG171" s="1659">
        <f t="shared" si="175"/>
        <v>0.33333333333333331</v>
      </c>
      <c r="AH171" s="1659">
        <f t="shared" si="176"/>
        <v>0.33333333333333331</v>
      </c>
      <c r="AI171" s="1659">
        <f t="shared" si="177"/>
        <v>0.33333333333333331</v>
      </c>
      <c r="AJ171" s="1659">
        <f t="shared" si="141"/>
        <v>0.33333333333333331</v>
      </c>
      <c r="AK171" s="1661">
        <f t="shared" si="178"/>
        <v>0.33333333333333331</v>
      </c>
      <c r="AL171" s="1659">
        <f t="shared" si="179"/>
        <v>0.33333333333333331</v>
      </c>
      <c r="AM171" s="1659">
        <f t="shared" si="179"/>
        <v>0.33333333333333331</v>
      </c>
      <c r="AN171" s="1660">
        <f t="shared" si="182"/>
        <v>0</v>
      </c>
      <c r="AO171" s="1659">
        <f t="shared" si="182"/>
        <v>0</v>
      </c>
      <c r="AP171" s="1659">
        <f t="shared" si="182"/>
        <v>0</v>
      </c>
      <c r="AR171" s="1530" t="s">
        <v>1462</v>
      </c>
      <c r="AS171" s="1547" t="s">
        <v>338</v>
      </c>
      <c r="AT171" s="1637" t="s">
        <v>1014</v>
      </c>
      <c r="AU171" s="1523">
        <v>0.33333333333333331</v>
      </c>
      <c r="AV171" s="1523">
        <v>0.33333333333333331</v>
      </c>
      <c r="AW171" s="1523">
        <v>0.33333333333333331</v>
      </c>
      <c r="AX171" s="1523">
        <v>0.33333333333333331</v>
      </c>
      <c r="AY171" s="1523">
        <v>0.33333333333333331</v>
      </c>
      <c r="AZ171" s="1523">
        <v>0.33333333333333331</v>
      </c>
      <c r="BA171" s="1523">
        <v>0.33333333333333331</v>
      </c>
      <c r="BB171" s="1523">
        <v>0.33333333333333331</v>
      </c>
      <c r="BC171" s="1523">
        <v>0.33333333333333331</v>
      </c>
      <c r="BD171" s="1523">
        <v>0.33333333333333331</v>
      </c>
      <c r="BE171" s="1523"/>
      <c r="BF171" s="1523"/>
      <c r="BG171" s="1523"/>
      <c r="BI171" s="1530" t="s">
        <v>1462</v>
      </c>
      <c r="BJ171" s="1547" t="s">
        <v>338</v>
      </c>
      <c r="BK171" s="1637" t="s">
        <v>1014</v>
      </c>
      <c r="BL171" s="1523">
        <v>0.33333333333333331</v>
      </c>
      <c r="BM171" s="1523">
        <v>0.33333333333333331</v>
      </c>
      <c r="BN171" s="1523">
        <v>0.33333333333333331</v>
      </c>
      <c r="BO171" s="1523">
        <v>0.33333333333333331</v>
      </c>
      <c r="BP171" s="1523">
        <v>0.33333333333333331</v>
      </c>
      <c r="BQ171" s="1523">
        <v>0.33333333333333331</v>
      </c>
      <c r="BR171" s="1523">
        <v>0.33333333333333331</v>
      </c>
      <c r="BS171" s="1523">
        <v>0.33333333333333331</v>
      </c>
      <c r="BT171" s="1523">
        <v>0.33333333333333331</v>
      </c>
      <c r="BU171" s="1523">
        <v>0.33333333333333331</v>
      </c>
      <c r="BV171" s="1523"/>
      <c r="BW171" s="1523"/>
      <c r="BX171" s="1523"/>
    </row>
    <row r="172" spans="1:77" ht="13.5" customHeight="1">
      <c r="B172" s="1517" t="str">
        <f t="shared" si="156"/>
        <v>3.1.2</v>
      </c>
      <c r="C172" s="1547" t="str">
        <f t="shared" si="157"/>
        <v>振動</v>
      </c>
      <c r="D172" s="1616">
        <f t="shared" si="185"/>
        <v>0.33333333333333331</v>
      </c>
      <c r="E172" s="1616">
        <f t="shared" si="185"/>
        <v>0</v>
      </c>
      <c r="G172" s="1591">
        <f t="shared" si="158"/>
        <v>0.33333333333333331</v>
      </c>
      <c r="H172" s="1591">
        <f t="shared" si="158"/>
        <v>0</v>
      </c>
      <c r="I172" s="1591"/>
      <c r="J172" s="1591"/>
      <c r="K172" s="1516">
        <f>IF(スコア表示!X172=0,0,1)</f>
        <v>1</v>
      </c>
      <c r="L172" s="1516">
        <f>IF(スコア表示!AB172=0,0,1)</f>
        <v>0</v>
      </c>
      <c r="N172" s="1613">
        <f t="shared" si="186"/>
        <v>0.33333333333333331</v>
      </c>
      <c r="O172" s="1613">
        <f t="shared" si="186"/>
        <v>0</v>
      </c>
      <c r="P172" s="1516"/>
      <c r="Q172" s="1516"/>
      <c r="R172" s="1516">
        <f>IF(スコア入力!R172="EB",重み_対象外!D172,U172)</f>
        <v>4.4444444444444467E-2</v>
      </c>
      <c r="S172" s="1516">
        <f>IF(スコア入力!Y172="EB",重み_対象外!E172,V172)</f>
        <v>0</v>
      </c>
      <c r="T172" s="1460"/>
      <c r="U172" s="1514">
        <f t="shared" si="187"/>
        <v>4.4444444444444467E-2</v>
      </c>
      <c r="V172" s="1514">
        <f t="shared" si="187"/>
        <v>0</v>
      </c>
      <c r="W172" s="1460"/>
      <c r="X172" s="1516">
        <f t="shared" si="159"/>
        <v>0.33333333333333337</v>
      </c>
      <c r="Y172" s="1516">
        <f t="shared" si="160"/>
        <v>0</v>
      </c>
      <c r="Z172" s="1471"/>
      <c r="AA172" s="1513" t="str">
        <f t="shared" si="163"/>
        <v>3.1.2</v>
      </c>
      <c r="AB172" s="1513" t="str">
        <f t="shared" si="164"/>
        <v>LR3 3.1</v>
      </c>
      <c r="AC172" s="1513" t="str">
        <f t="shared" si="171"/>
        <v>振動</v>
      </c>
      <c r="AD172" s="1659">
        <f t="shared" si="172"/>
        <v>0.33333333333333331</v>
      </c>
      <c r="AE172" s="1659">
        <f t="shared" si="173"/>
        <v>0.33333333333333331</v>
      </c>
      <c r="AF172" s="1659">
        <f t="shared" si="174"/>
        <v>0.33333333333333331</v>
      </c>
      <c r="AG172" s="1659">
        <f t="shared" si="175"/>
        <v>0.33333333333333331</v>
      </c>
      <c r="AH172" s="1659">
        <f t="shared" si="176"/>
        <v>0.33333333333333331</v>
      </c>
      <c r="AI172" s="1659">
        <f t="shared" si="177"/>
        <v>0.33333333333333331</v>
      </c>
      <c r="AJ172" s="1659">
        <f t="shared" si="141"/>
        <v>0.33333333333333331</v>
      </c>
      <c r="AK172" s="1661">
        <f t="shared" si="178"/>
        <v>0.33333333333333331</v>
      </c>
      <c r="AL172" s="1659">
        <f t="shared" si="179"/>
        <v>0.33333333333333331</v>
      </c>
      <c r="AM172" s="1659">
        <f t="shared" si="179"/>
        <v>0.33333333333333331</v>
      </c>
      <c r="AN172" s="1660">
        <f t="shared" si="182"/>
        <v>0</v>
      </c>
      <c r="AO172" s="1659">
        <f t="shared" si="182"/>
        <v>0</v>
      </c>
      <c r="AP172" s="1659">
        <f t="shared" si="182"/>
        <v>0</v>
      </c>
      <c r="AR172" s="1530" t="s">
        <v>1332</v>
      </c>
      <c r="AS172" s="1547" t="s">
        <v>338</v>
      </c>
      <c r="AT172" s="1637" t="s">
        <v>1015</v>
      </c>
      <c r="AU172" s="1523">
        <v>0.33333333333333331</v>
      </c>
      <c r="AV172" s="1523">
        <v>0.33333333333333331</v>
      </c>
      <c r="AW172" s="1523">
        <v>0.33333333333333331</v>
      </c>
      <c r="AX172" s="1523">
        <v>0.33333333333333331</v>
      </c>
      <c r="AY172" s="1523">
        <v>0.33333333333333331</v>
      </c>
      <c r="AZ172" s="1523">
        <v>0.33333333333333331</v>
      </c>
      <c r="BA172" s="1523">
        <v>0.33333333333333331</v>
      </c>
      <c r="BB172" s="1523">
        <v>0.33333333333333331</v>
      </c>
      <c r="BC172" s="1523">
        <v>0.33333333333333331</v>
      </c>
      <c r="BD172" s="1523">
        <v>0.33333333333333331</v>
      </c>
      <c r="BE172" s="1523"/>
      <c r="BF172" s="1523"/>
      <c r="BG172" s="1523"/>
      <c r="BI172" s="1530" t="s">
        <v>1332</v>
      </c>
      <c r="BJ172" s="1547" t="s">
        <v>338</v>
      </c>
      <c r="BK172" s="1637" t="s">
        <v>1015</v>
      </c>
      <c r="BL172" s="1523">
        <v>0.33333333333333331</v>
      </c>
      <c r="BM172" s="1523">
        <v>0.33333333333333331</v>
      </c>
      <c r="BN172" s="1523">
        <v>0.33333333333333331</v>
      </c>
      <c r="BO172" s="1523">
        <v>0.33333333333333331</v>
      </c>
      <c r="BP172" s="1523">
        <v>0.33333333333333331</v>
      </c>
      <c r="BQ172" s="1523">
        <v>0.33333333333333331</v>
      </c>
      <c r="BR172" s="1523">
        <v>0.33333333333333331</v>
      </c>
      <c r="BS172" s="1523">
        <v>0.33333333333333331</v>
      </c>
      <c r="BT172" s="1523">
        <v>0.33333333333333331</v>
      </c>
      <c r="BU172" s="1523">
        <v>0.33333333333333331</v>
      </c>
      <c r="BV172" s="1523"/>
      <c r="BW172" s="1523"/>
      <c r="BX172" s="1523"/>
    </row>
    <row r="173" spans="1:77" ht="13.5" customHeight="1">
      <c r="B173" s="1517" t="str">
        <f t="shared" ref="B173:B180" si="188">AA173</f>
        <v>3.1.3</v>
      </c>
      <c r="C173" s="1547" t="str">
        <f t="shared" ref="C173:C180" si="189">AC173</f>
        <v>悪臭</v>
      </c>
      <c r="D173" s="1616">
        <f t="shared" si="185"/>
        <v>0.33333333333333331</v>
      </c>
      <c r="E173" s="1616">
        <f t="shared" si="185"/>
        <v>0</v>
      </c>
      <c r="G173" s="1591">
        <f t="shared" ref="G173:H180" si="190">K173*N173</f>
        <v>0.33333333333333331</v>
      </c>
      <c r="H173" s="1591">
        <f t="shared" si="190"/>
        <v>0</v>
      </c>
      <c r="I173" s="1591"/>
      <c r="J173" s="1591"/>
      <c r="K173" s="1516">
        <f>IF(スコア表示!X173=0,0,1)</f>
        <v>1</v>
      </c>
      <c r="L173" s="1516">
        <f>IF(スコア表示!AB173=0,0,1)</f>
        <v>0</v>
      </c>
      <c r="N173" s="1613">
        <f t="shared" si="186"/>
        <v>0.33333333333333331</v>
      </c>
      <c r="O173" s="1613">
        <f t="shared" si="186"/>
        <v>0</v>
      </c>
      <c r="P173" s="1516"/>
      <c r="Q173" s="1516"/>
      <c r="R173" s="1516">
        <f>IF(スコア入力!R173="EB",重み_対象外!D173,U173)</f>
        <v>4.4444444444444467E-2</v>
      </c>
      <c r="S173" s="1516">
        <f>IF(スコア入力!Y173="EB",重み_対象外!E173,V173)</f>
        <v>0</v>
      </c>
      <c r="T173" s="1460"/>
      <c r="U173" s="1514">
        <f t="shared" si="187"/>
        <v>4.4444444444444467E-2</v>
      </c>
      <c r="V173" s="1514">
        <f t="shared" si="187"/>
        <v>0</v>
      </c>
      <c r="W173" s="1460"/>
      <c r="X173" s="1516">
        <f t="shared" si="159"/>
        <v>0.33333333333333337</v>
      </c>
      <c r="Y173" s="1516">
        <f t="shared" si="160"/>
        <v>0</v>
      </c>
      <c r="Z173" s="1471"/>
      <c r="AA173" s="1513" t="str">
        <f t="shared" si="163"/>
        <v>3.1.3</v>
      </c>
      <c r="AB173" s="1513" t="str">
        <f t="shared" si="164"/>
        <v>LR3 3.1</v>
      </c>
      <c r="AC173" s="1513" t="str">
        <f t="shared" si="171"/>
        <v>悪臭</v>
      </c>
      <c r="AD173" s="1659">
        <f t="shared" si="172"/>
        <v>0.33333333333333331</v>
      </c>
      <c r="AE173" s="1659">
        <f t="shared" si="173"/>
        <v>0.33333333333333331</v>
      </c>
      <c r="AF173" s="1659">
        <f t="shared" si="174"/>
        <v>0.33333333333333331</v>
      </c>
      <c r="AG173" s="1659">
        <f t="shared" si="175"/>
        <v>0.33333333333333331</v>
      </c>
      <c r="AH173" s="1659">
        <f t="shared" si="176"/>
        <v>0.33333333333333331</v>
      </c>
      <c r="AI173" s="1659">
        <f t="shared" si="177"/>
        <v>0.33333333333333331</v>
      </c>
      <c r="AJ173" s="1659">
        <f t="shared" si="141"/>
        <v>0.33333333333333331</v>
      </c>
      <c r="AK173" s="1661">
        <f t="shared" si="178"/>
        <v>0.33333333333333331</v>
      </c>
      <c r="AL173" s="1659">
        <f t="shared" si="179"/>
        <v>0.33333333333333331</v>
      </c>
      <c r="AM173" s="1659">
        <f t="shared" si="179"/>
        <v>0.33333333333333331</v>
      </c>
      <c r="AN173" s="1660">
        <f t="shared" si="182"/>
        <v>0</v>
      </c>
      <c r="AO173" s="1659">
        <f t="shared" si="182"/>
        <v>0</v>
      </c>
      <c r="AP173" s="1659">
        <f t="shared" si="182"/>
        <v>0</v>
      </c>
      <c r="AR173" s="1530" t="s">
        <v>1463</v>
      </c>
      <c r="AS173" s="1547" t="s">
        <v>338</v>
      </c>
      <c r="AT173" s="1637" t="s">
        <v>850</v>
      </c>
      <c r="AU173" s="1523">
        <v>0.33333333333333331</v>
      </c>
      <c r="AV173" s="1523">
        <v>0.33333333333333331</v>
      </c>
      <c r="AW173" s="1523">
        <v>0.33333333333333331</v>
      </c>
      <c r="AX173" s="1523">
        <v>0.33333333333333331</v>
      </c>
      <c r="AY173" s="1523">
        <v>0.33333333333333331</v>
      </c>
      <c r="AZ173" s="1523">
        <v>0.33333333333333331</v>
      </c>
      <c r="BA173" s="1523">
        <v>0.33333333333333331</v>
      </c>
      <c r="BB173" s="1523">
        <v>0.33333333333333331</v>
      </c>
      <c r="BC173" s="1523">
        <v>0.33333333333333331</v>
      </c>
      <c r="BD173" s="1523">
        <v>0.33333333333333331</v>
      </c>
      <c r="BE173" s="1523"/>
      <c r="BF173" s="1523"/>
      <c r="BG173" s="1523"/>
      <c r="BI173" s="1530" t="s">
        <v>1463</v>
      </c>
      <c r="BJ173" s="1547" t="s">
        <v>338</v>
      </c>
      <c r="BK173" s="1637" t="s">
        <v>850</v>
      </c>
      <c r="BL173" s="1523">
        <v>0.33333333333333331</v>
      </c>
      <c r="BM173" s="1523">
        <v>0.33333333333333331</v>
      </c>
      <c r="BN173" s="1523">
        <v>0.33333333333333331</v>
      </c>
      <c r="BO173" s="1523">
        <v>0.33333333333333331</v>
      </c>
      <c r="BP173" s="1523">
        <v>0.33333333333333331</v>
      </c>
      <c r="BQ173" s="1523">
        <v>0.33333333333333331</v>
      </c>
      <c r="BR173" s="1523">
        <v>0.33333333333333331</v>
      </c>
      <c r="BS173" s="1523">
        <v>0.33333333333333331</v>
      </c>
      <c r="BT173" s="1523">
        <v>0.33333333333333331</v>
      </c>
      <c r="BU173" s="1523">
        <v>0.33333333333333331</v>
      </c>
      <c r="BV173" s="1523"/>
      <c r="BW173" s="1523"/>
      <c r="BX173" s="1523"/>
    </row>
    <row r="174" spans="1:77" ht="13.5" customHeight="1">
      <c r="B174" s="1517" t="str">
        <f t="shared" si="188"/>
        <v>3.2</v>
      </c>
      <c r="C174" s="1547" t="str">
        <f t="shared" si="189"/>
        <v>風害・砂塵、日照阻害の抑制</v>
      </c>
      <c r="D174" s="1616">
        <f>IF(I$169=0,0,G174/I$169)</f>
        <v>0.39999999999999997</v>
      </c>
      <c r="E174" s="1616">
        <f>IF(J$169=0,0,H174/J$169)</f>
        <v>0</v>
      </c>
      <c r="G174" s="1591">
        <f t="shared" si="190"/>
        <v>0.39999999999999991</v>
      </c>
      <c r="H174" s="1591">
        <f t="shared" si="190"/>
        <v>0</v>
      </c>
      <c r="I174" s="1591">
        <f>SUM(G175:G177)</f>
        <v>1</v>
      </c>
      <c r="J174" s="1591">
        <f>SUM(H175:H177)</f>
        <v>0</v>
      </c>
      <c r="K174" s="1516">
        <f>IF(スコア表示!X174=0,0,1)</f>
        <v>1</v>
      </c>
      <c r="L174" s="1516">
        <f>IF(スコア表示!AB174=0,0,1)</f>
        <v>0</v>
      </c>
      <c r="N174" s="1613">
        <f>IF(P$169=0,0,P174/P$169)</f>
        <v>0.39999999999999991</v>
      </c>
      <c r="O174" s="1613">
        <f>IF(Q$169=0,0,Q174/Q$169)</f>
        <v>0</v>
      </c>
      <c r="P174" s="1516">
        <f>SUM(R175:R177)</f>
        <v>0.13333333333333339</v>
      </c>
      <c r="Q174" s="1516">
        <f>SUM(S175:S177)</f>
        <v>0</v>
      </c>
      <c r="R174" s="1516">
        <f>IF(スコア入力!R174="EB",重み_対象外!D174,U174)</f>
        <v>0</v>
      </c>
      <c r="S174" s="1516">
        <f>IF(スコア入力!Y174="EB",重み_対象外!E174,V174)</f>
        <v>0</v>
      </c>
      <c r="T174" s="1460"/>
      <c r="U174" s="1514"/>
      <c r="V174" s="1514"/>
      <c r="W174" s="1460"/>
      <c r="X174" s="1516">
        <f t="shared" si="159"/>
        <v>0.40000000000000008</v>
      </c>
      <c r="Y174" s="1516">
        <f t="shared" si="160"/>
        <v>0</v>
      </c>
      <c r="Z174" s="1471"/>
      <c r="AA174" s="1513" t="str">
        <f t="shared" si="163"/>
        <v>3.2</v>
      </c>
      <c r="AB174" s="1513" t="str">
        <f t="shared" si="164"/>
        <v>LR3 3</v>
      </c>
      <c r="AC174" s="1513" t="str">
        <f t="shared" si="171"/>
        <v>風害・砂塵、日照阻害の抑制</v>
      </c>
      <c r="AD174" s="1659">
        <f t="shared" si="172"/>
        <v>0.4</v>
      </c>
      <c r="AE174" s="1659">
        <f t="shared" si="173"/>
        <v>0.4</v>
      </c>
      <c r="AF174" s="1659">
        <f t="shared" si="174"/>
        <v>0.4</v>
      </c>
      <c r="AG174" s="1659">
        <f t="shared" si="175"/>
        <v>0.4</v>
      </c>
      <c r="AH174" s="1659">
        <f t="shared" si="176"/>
        <v>0.4</v>
      </c>
      <c r="AI174" s="1659">
        <f t="shared" si="177"/>
        <v>0.4</v>
      </c>
      <c r="AJ174" s="1659">
        <f t="shared" si="141"/>
        <v>0.4</v>
      </c>
      <c r="AK174" s="1661">
        <f t="shared" si="178"/>
        <v>0.4</v>
      </c>
      <c r="AL174" s="1659">
        <f t="shared" si="179"/>
        <v>0.4</v>
      </c>
      <c r="AM174" s="1659">
        <f t="shared" si="179"/>
        <v>0.4</v>
      </c>
      <c r="AN174" s="1660">
        <f t="shared" si="182"/>
        <v>0</v>
      </c>
      <c r="AO174" s="1659">
        <f t="shared" si="182"/>
        <v>0</v>
      </c>
      <c r="AP174" s="1659">
        <f t="shared" si="182"/>
        <v>0</v>
      </c>
      <c r="AR174" s="1530" t="s">
        <v>1405</v>
      </c>
      <c r="AS174" s="1593" t="s">
        <v>337</v>
      </c>
      <c r="AT174" s="1637" t="s">
        <v>1464</v>
      </c>
      <c r="AU174" s="1987">
        <v>0.4</v>
      </c>
      <c r="AV174" s="1987">
        <v>0.4</v>
      </c>
      <c r="AW174" s="1987">
        <v>0.4</v>
      </c>
      <c r="AX174" s="1987">
        <v>0.4</v>
      </c>
      <c r="AY174" s="1987">
        <v>0.4</v>
      </c>
      <c r="AZ174" s="1987">
        <v>0.4</v>
      </c>
      <c r="BA174" s="1987">
        <v>0.4</v>
      </c>
      <c r="BB174" s="1987">
        <v>0.4</v>
      </c>
      <c r="BC174" s="1987">
        <v>0.4</v>
      </c>
      <c r="BD174" s="1987">
        <v>0.4</v>
      </c>
      <c r="BE174" s="1988"/>
      <c r="BF174" s="1987"/>
      <c r="BG174" s="1987"/>
      <c r="BI174" s="1530" t="s">
        <v>1405</v>
      </c>
      <c r="BJ174" s="1593" t="s">
        <v>337</v>
      </c>
      <c r="BK174" s="1637" t="s">
        <v>1464</v>
      </c>
      <c r="BL174" s="1987">
        <v>0.4</v>
      </c>
      <c r="BM174" s="1987">
        <v>0.4</v>
      </c>
      <c r="BN174" s="1987">
        <v>0.4</v>
      </c>
      <c r="BO174" s="1987">
        <v>0.4</v>
      </c>
      <c r="BP174" s="1987">
        <v>0.4</v>
      </c>
      <c r="BQ174" s="1987">
        <v>0.4</v>
      </c>
      <c r="BR174" s="1987">
        <v>0.4</v>
      </c>
      <c r="BS174" s="1987">
        <v>0.4</v>
      </c>
      <c r="BT174" s="1987">
        <v>0.4</v>
      </c>
      <c r="BU174" s="1987">
        <v>0.4</v>
      </c>
      <c r="BV174" s="1988"/>
      <c r="BW174" s="1987"/>
      <c r="BX174" s="1987"/>
    </row>
    <row r="175" spans="1:77" ht="13.5" customHeight="1">
      <c r="B175" s="1517" t="str">
        <f t="shared" si="188"/>
        <v>3.2.1</v>
      </c>
      <c r="C175" s="1547" t="str">
        <f t="shared" si="189"/>
        <v>風害の抑制</v>
      </c>
      <c r="D175" s="1616">
        <f t="shared" ref="D175:E177" si="191">IF(I$174=0,0,G175/I$174)</f>
        <v>0.70000000000000007</v>
      </c>
      <c r="E175" s="1616">
        <f t="shared" si="191"/>
        <v>0</v>
      </c>
      <c r="G175" s="1591">
        <f t="shared" si="190"/>
        <v>0.70000000000000007</v>
      </c>
      <c r="H175" s="1591">
        <f t="shared" si="190"/>
        <v>0</v>
      </c>
      <c r="I175" s="1591"/>
      <c r="J175" s="1591"/>
      <c r="K175" s="1516">
        <f>IF(スコア表示!X175=0,0,1)</f>
        <v>1</v>
      </c>
      <c r="L175" s="1516">
        <f>IF(スコア表示!AB175=0,0,1)</f>
        <v>0</v>
      </c>
      <c r="N175" s="1613">
        <f t="shared" ref="N175:O177" si="192">IF(P$174&gt;0,R175/P$174,0)</f>
        <v>0.70000000000000007</v>
      </c>
      <c r="O175" s="1613">
        <f t="shared" si="192"/>
        <v>0</v>
      </c>
      <c r="P175" s="1516"/>
      <c r="Q175" s="1516"/>
      <c r="R175" s="1516">
        <f>IF(スコア入力!R175="EB",重み_対象外!D175,U175)</f>
        <v>9.3333333333333379E-2</v>
      </c>
      <c r="S175" s="1516">
        <f>IF(スコア入力!Y175="EB",重み_対象外!E175,V175)</f>
        <v>0</v>
      </c>
      <c r="T175" s="1460"/>
      <c r="U175" s="1514">
        <f t="shared" ref="U175:V177" si="193">X$169*X$174*X175</f>
        <v>9.3333333333333379E-2</v>
      </c>
      <c r="V175" s="1514">
        <f t="shared" si="193"/>
        <v>0</v>
      </c>
      <c r="W175" s="1460"/>
      <c r="X175" s="1516">
        <f t="shared" si="159"/>
        <v>0.70000000000000007</v>
      </c>
      <c r="Y175" s="1516">
        <f t="shared" si="160"/>
        <v>0</v>
      </c>
      <c r="Z175" s="1471"/>
      <c r="AA175" s="1513" t="str">
        <f t="shared" si="163"/>
        <v>3.2.1</v>
      </c>
      <c r="AB175" s="1513" t="str">
        <f t="shared" si="164"/>
        <v>LR3 3.2</v>
      </c>
      <c r="AC175" s="1513" t="str">
        <f t="shared" si="171"/>
        <v>風害の抑制</v>
      </c>
      <c r="AD175" s="1659">
        <f t="shared" si="172"/>
        <v>0.7</v>
      </c>
      <c r="AE175" s="1659">
        <f t="shared" si="173"/>
        <v>0.7</v>
      </c>
      <c r="AF175" s="1659">
        <f t="shared" si="174"/>
        <v>0.7</v>
      </c>
      <c r="AG175" s="1659">
        <f t="shared" si="175"/>
        <v>0.7</v>
      </c>
      <c r="AH175" s="1659">
        <f t="shared" si="176"/>
        <v>0.7</v>
      </c>
      <c r="AI175" s="1659">
        <f t="shared" si="177"/>
        <v>0.7</v>
      </c>
      <c r="AJ175" s="1659">
        <f t="shared" si="141"/>
        <v>0.7</v>
      </c>
      <c r="AK175" s="1661">
        <f t="shared" si="178"/>
        <v>0.7</v>
      </c>
      <c r="AL175" s="1659">
        <f t="shared" si="179"/>
        <v>0.7</v>
      </c>
      <c r="AM175" s="1659">
        <f t="shared" si="179"/>
        <v>0.6</v>
      </c>
      <c r="AN175" s="1660"/>
      <c r="AO175" s="1659"/>
      <c r="AP175" s="1659"/>
      <c r="AR175" s="1530" t="s">
        <v>1335</v>
      </c>
      <c r="AS175" s="1593" t="s">
        <v>339</v>
      </c>
      <c r="AT175" s="1594" t="s">
        <v>1465</v>
      </c>
      <c r="AU175" s="1523">
        <v>0.7</v>
      </c>
      <c r="AV175" s="1523">
        <v>0.7</v>
      </c>
      <c r="AW175" s="1523">
        <v>0.7</v>
      </c>
      <c r="AX175" s="1523">
        <v>0.7</v>
      </c>
      <c r="AY175" s="1523">
        <v>0.7</v>
      </c>
      <c r="AZ175" s="1523">
        <v>0.7</v>
      </c>
      <c r="BA175" s="1523">
        <v>0.7</v>
      </c>
      <c r="BB175" s="1523">
        <v>0.7</v>
      </c>
      <c r="BC175" s="1523">
        <v>0.7</v>
      </c>
      <c r="BD175" s="1987">
        <v>0.6</v>
      </c>
      <c r="BE175" s="1988"/>
      <c r="BF175" s="1987"/>
      <c r="BG175" s="1987"/>
      <c r="BI175" s="1530" t="s">
        <v>1335</v>
      </c>
      <c r="BJ175" s="1593" t="s">
        <v>339</v>
      </c>
      <c r="BK175" s="1594" t="s">
        <v>1465</v>
      </c>
      <c r="BL175" s="1523">
        <v>0.7</v>
      </c>
      <c r="BM175" s="1523">
        <v>0.7</v>
      </c>
      <c r="BN175" s="1523">
        <v>0.7</v>
      </c>
      <c r="BO175" s="1523">
        <v>0.7</v>
      </c>
      <c r="BP175" s="1523">
        <v>0.7</v>
      </c>
      <c r="BQ175" s="1523">
        <v>0.7</v>
      </c>
      <c r="BR175" s="1523">
        <v>0.7</v>
      </c>
      <c r="BS175" s="1523">
        <v>0.7</v>
      </c>
      <c r="BT175" s="1523">
        <v>0.7</v>
      </c>
      <c r="BU175" s="1987">
        <v>0.6</v>
      </c>
      <c r="BV175" s="1988"/>
      <c r="BW175" s="1987"/>
      <c r="BX175" s="1987"/>
    </row>
    <row r="176" spans="1:77" ht="13.5" customHeight="1">
      <c r="B176" s="1517" t="str">
        <f t="shared" si="188"/>
        <v>3.2.2</v>
      </c>
      <c r="C176" s="1560" t="str">
        <f t="shared" si="189"/>
        <v>砂塵の抑制</v>
      </c>
      <c r="D176" s="1616">
        <f t="shared" si="191"/>
        <v>0</v>
      </c>
      <c r="E176" s="1616">
        <f t="shared" si="191"/>
        <v>0</v>
      </c>
      <c r="G176" s="1591">
        <f t="shared" si="190"/>
        <v>0</v>
      </c>
      <c r="H176" s="1591">
        <f t="shared" si="190"/>
        <v>0</v>
      </c>
      <c r="I176" s="1591"/>
      <c r="J176" s="1591"/>
      <c r="K176" s="1516">
        <f>IF(スコア表示!X176=0,0,1)</f>
        <v>1</v>
      </c>
      <c r="L176" s="1516">
        <f>IF(スコア表示!AB176=0,0,1)</f>
        <v>0</v>
      </c>
      <c r="N176" s="1613">
        <f t="shared" si="192"/>
        <v>0</v>
      </c>
      <c r="O176" s="1613">
        <f t="shared" si="192"/>
        <v>0</v>
      </c>
      <c r="P176" s="1516"/>
      <c r="Q176" s="1516"/>
      <c r="R176" s="1516">
        <f>IF(スコア入力!R176="EB",重み_対象外!D176,U176)</f>
        <v>0</v>
      </c>
      <c r="S176" s="1516">
        <f>IF(スコア入力!Y176="EB",重み_対象外!E176,V176)</f>
        <v>0</v>
      </c>
      <c r="T176" s="1460"/>
      <c r="U176" s="1514">
        <f t="shared" si="193"/>
        <v>0</v>
      </c>
      <c r="V176" s="1514">
        <f t="shared" si="193"/>
        <v>0</v>
      </c>
      <c r="W176" s="1460"/>
      <c r="X176" s="1516">
        <f t="shared" si="159"/>
        <v>0</v>
      </c>
      <c r="Y176" s="1516">
        <f t="shared" si="160"/>
        <v>0</v>
      </c>
      <c r="Z176" s="1471"/>
      <c r="AA176" s="1517" t="str">
        <f t="shared" si="163"/>
        <v>3.2.2</v>
      </c>
      <c r="AB176" s="1517" t="str">
        <f t="shared" si="164"/>
        <v>LR3 3.2</v>
      </c>
      <c r="AC176" s="1560" t="str">
        <f t="shared" si="171"/>
        <v>砂塵の抑制</v>
      </c>
      <c r="AD176" s="1659">
        <f t="shared" si="172"/>
        <v>0</v>
      </c>
      <c r="AE176" s="1659">
        <f t="shared" si="173"/>
        <v>0</v>
      </c>
      <c r="AF176" s="1659">
        <f t="shared" si="174"/>
        <v>0</v>
      </c>
      <c r="AG176" s="1659">
        <f t="shared" si="175"/>
        <v>0</v>
      </c>
      <c r="AH176" s="1659">
        <f t="shared" si="176"/>
        <v>0</v>
      </c>
      <c r="AI176" s="1659">
        <f t="shared" si="177"/>
        <v>0</v>
      </c>
      <c r="AJ176" s="1659">
        <f t="shared" si="141"/>
        <v>0</v>
      </c>
      <c r="AK176" s="1661">
        <f t="shared" si="178"/>
        <v>0</v>
      </c>
      <c r="AL176" s="1659">
        <f t="shared" si="179"/>
        <v>0</v>
      </c>
      <c r="AM176" s="1659">
        <f t="shared" si="179"/>
        <v>0.2</v>
      </c>
      <c r="AN176" s="1660"/>
      <c r="AO176" s="1659"/>
      <c r="AP176" s="1659"/>
      <c r="AR176" s="1530" t="s">
        <v>1337</v>
      </c>
      <c r="AS176" s="1593" t="s">
        <v>1466</v>
      </c>
      <c r="AT176" s="1594" t="s">
        <v>1016</v>
      </c>
      <c r="AU176" s="1523"/>
      <c r="AV176" s="1523"/>
      <c r="AW176" s="1523"/>
      <c r="AX176" s="1523"/>
      <c r="AY176" s="1523"/>
      <c r="AZ176" s="1523"/>
      <c r="BA176" s="1523"/>
      <c r="BB176" s="1523"/>
      <c r="BC176" s="1523"/>
      <c r="BD176" s="1987">
        <v>0.2</v>
      </c>
      <c r="BE176" s="1988"/>
      <c r="BF176" s="1987"/>
      <c r="BG176" s="1987"/>
      <c r="BI176" s="1530" t="s">
        <v>1337</v>
      </c>
      <c r="BJ176" s="1593" t="s">
        <v>1466</v>
      </c>
      <c r="BK176" s="1594" t="s">
        <v>1016</v>
      </c>
      <c r="BL176" s="1523"/>
      <c r="BM176" s="1523"/>
      <c r="BN176" s="1523"/>
      <c r="BO176" s="1523"/>
      <c r="BP176" s="1523"/>
      <c r="BQ176" s="1523"/>
      <c r="BR176" s="1523"/>
      <c r="BS176" s="1523"/>
      <c r="BT176" s="1523"/>
      <c r="BU176" s="1987">
        <v>0.2</v>
      </c>
      <c r="BV176" s="1988"/>
      <c r="BW176" s="1987"/>
      <c r="BX176" s="1987"/>
    </row>
    <row r="177" spans="2:76" s="1458" customFormat="1" ht="13.5" customHeight="1">
      <c r="B177" s="1517" t="str">
        <f>AA177</f>
        <v>3.2.3</v>
      </c>
      <c r="C177" s="1560" t="str">
        <f>AC177</f>
        <v>日照阻害の抑制</v>
      </c>
      <c r="D177" s="1616">
        <f t="shared" si="191"/>
        <v>0.3</v>
      </c>
      <c r="E177" s="1616">
        <f t="shared" si="191"/>
        <v>0</v>
      </c>
      <c r="F177"/>
      <c r="G177" s="1591">
        <f t="shared" si="190"/>
        <v>0.3</v>
      </c>
      <c r="H177" s="1591">
        <f t="shared" si="190"/>
        <v>0</v>
      </c>
      <c r="I177" s="1591"/>
      <c r="J177" s="1591"/>
      <c r="K177" s="1516">
        <f>IF(スコア表示!X177=0,0,1)</f>
        <v>1</v>
      </c>
      <c r="L177" s="1516">
        <f>IF(スコア表示!AB177=0,0,1)</f>
        <v>0</v>
      </c>
      <c r="M177"/>
      <c r="N177" s="1613">
        <f t="shared" si="192"/>
        <v>0.3</v>
      </c>
      <c r="O177" s="1613">
        <f t="shared" si="192"/>
        <v>0</v>
      </c>
      <c r="P177" s="1516"/>
      <c r="Q177" s="1516"/>
      <c r="R177" s="1516">
        <f>IF(スコア入力!R177="EB",重み_対象外!D177,U177)</f>
        <v>4.0000000000000015E-2</v>
      </c>
      <c r="S177" s="1516">
        <f>IF(スコア入力!Y177="EB",重み_対象外!E177,V177)</f>
        <v>0</v>
      </c>
      <c r="T177" s="1460"/>
      <c r="U177" s="1514">
        <f t="shared" si="193"/>
        <v>4.0000000000000015E-2</v>
      </c>
      <c r="V177" s="1514">
        <f t="shared" si="193"/>
        <v>0</v>
      </c>
      <c r="W177" s="1460"/>
      <c r="X177" s="1516">
        <f t="shared" si="159"/>
        <v>0.3</v>
      </c>
      <c r="Y177" s="1516">
        <f t="shared" si="160"/>
        <v>0</v>
      </c>
      <c r="Z177" s="1471"/>
      <c r="AA177" s="1517" t="str">
        <f t="shared" ref="AA177:AM177" si="194">IF($AA$3=1,AR177,BI177)</f>
        <v>3.2.3</v>
      </c>
      <c r="AB177" s="1517" t="str">
        <f t="shared" si="194"/>
        <v>LR3 3.2</v>
      </c>
      <c r="AC177" s="1560" t="str">
        <f t="shared" si="194"/>
        <v>日照阻害の抑制</v>
      </c>
      <c r="AD177" s="1659">
        <f t="shared" si="194"/>
        <v>0.3</v>
      </c>
      <c r="AE177" s="1659">
        <f t="shared" si="194"/>
        <v>0.3</v>
      </c>
      <c r="AF177" s="1659">
        <f t="shared" si="194"/>
        <v>0.3</v>
      </c>
      <c r="AG177" s="1659">
        <f t="shared" si="194"/>
        <v>0.3</v>
      </c>
      <c r="AH177" s="1659">
        <f t="shared" si="194"/>
        <v>0.3</v>
      </c>
      <c r="AI177" s="1659">
        <f t="shared" si="194"/>
        <v>0.3</v>
      </c>
      <c r="AJ177" s="1659">
        <f t="shared" si="194"/>
        <v>0.3</v>
      </c>
      <c r="AK177" s="1661">
        <f t="shared" si="194"/>
        <v>0.3</v>
      </c>
      <c r="AL177" s="1659">
        <f t="shared" si="194"/>
        <v>0.3</v>
      </c>
      <c r="AM177" s="1659">
        <f t="shared" si="194"/>
        <v>0.2</v>
      </c>
      <c r="AN177" s="1660"/>
      <c r="AO177" s="1659"/>
      <c r="AP177" s="1659"/>
      <c r="AQ177" s="1457"/>
      <c r="AR177" s="1530" t="s">
        <v>1452</v>
      </c>
      <c r="AS177" s="1593" t="s">
        <v>339</v>
      </c>
      <c r="AT177" s="1594" t="s">
        <v>1467</v>
      </c>
      <c r="AU177" s="1523">
        <v>0.3</v>
      </c>
      <c r="AV177" s="1523">
        <v>0.3</v>
      </c>
      <c r="AW177" s="1523">
        <v>0.3</v>
      </c>
      <c r="AX177" s="1523">
        <v>0.3</v>
      </c>
      <c r="AY177" s="1523">
        <v>0.3</v>
      </c>
      <c r="AZ177" s="1523">
        <v>0.3</v>
      </c>
      <c r="BA177" s="1523">
        <v>0.3</v>
      </c>
      <c r="BB177" s="1523">
        <v>0.3</v>
      </c>
      <c r="BC177" s="1523">
        <v>0.3</v>
      </c>
      <c r="BD177" s="1987">
        <v>0.2</v>
      </c>
      <c r="BE177" s="1988"/>
      <c r="BF177" s="1987"/>
      <c r="BG177" s="1987"/>
      <c r="BH177"/>
      <c r="BI177" s="1530" t="s">
        <v>1452</v>
      </c>
      <c r="BJ177" s="1593" t="s">
        <v>339</v>
      </c>
      <c r="BK177" s="1594" t="s">
        <v>1467</v>
      </c>
      <c r="BL177" s="1523">
        <v>0.3</v>
      </c>
      <c r="BM177" s="1523">
        <v>0.3</v>
      </c>
      <c r="BN177" s="1523">
        <v>0.3</v>
      </c>
      <c r="BO177" s="1523">
        <v>0.3</v>
      </c>
      <c r="BP177" s="1523">
        <v>0.3</v>
      </c>
      <c r="BQ177" s="1523">
        <v>0.3</v>
      </c>
      <c r="BR177" s="1523">
        <v>0.3</v>
      </c>
      <c r="BS177" s="1523">
        <v>0.3</v>
      </c>
      <c r="BT177" s="1523">
        <v>0.3</v>
      </c>
      <c r="BU177" s="1987">
        <v>0.2</v>
      </c>
      <c r="BV177" s="1988"/>
      <c r="BW177" s="1987"/>
      <c r="BX177" s="1987"/>
    </row>
    <row r="178" spans="2:76" s="1458" customFormat="1" ht="13.5" customHeight="1">
      <c r="B178" s="1517" t="str">
        <f t="shared" si="188"/>
        <v>3.3</v>
      </c>
      <c r="C178" s="1560" t="str">
        <f t="shared" si="189"/>
        <v>光害の抑制</v>
      </c>
      <c r="D178" s="1616">
        <f>IF(I$169=0,0,G178/I$169)</f>
        <v>0.19999999999999998</v>
      </c>
      <c r="E178" s="1616">
        <f>IF(J$169=0,0,H178/J$169)</f>
        <v>0</v>
      </c>
      <c r="F178"/>
      <c r="G178" s="1591">
        <f t="shared" si="190"/>
        <v>0.19999999999999996</v>
      </c>
      <c r="H178" s="1591">
        <f t="shared" si="190"/>
        <v>0</v>
      </c>
      <c r="I178" s="1591">
        <f>SUM(G179:G180)</f>
        <v>1</v>
      </c>
      <c r="J178" s="1591">
        <f>SUM(H179:H180)</f>
        <v>0</v>
      </c>
      <c r="K178" s="1516">
        <f>IF(スコア表示!X178=0,0,1)</f>
        <v>1</v>
      </c>
      <c r="L178" s="1516">
        <f>IF(スコア表示!AB178=0,0,1)</f>
        <v>0</v>
      </c>
      <c r="M178"/>
      <c r="N178" s="1613">
        <f>IF(P$169=0,0,P178/P$169)</f>
        <v>0.19999999999999996</v>
      </c>
      <c r="O178" s="1613">
        <f>IF(Q$169=0,0,Q178/Q$169)</f>
        <v>0</v>
      </c>
      <c r="P178" s="1516">
        <f>SUM(R179:R180)</f>
        <v>6.6666666666666693E-2</v>
      </c>
      <c r="Q178" s="1516">
        <f>SUM(S179:S180)</f>
        <v>0</v>
      </c>
      <c r="R178" s="1516">
        <f>IF(スコア入力!R178="EB",重み_対象外!D178,U178)</f>
        <v>0</v>
      </c>
      <c r="S178" s="1516">
        <f>IF(スコア入力!Y178="EB",重み_対象外!E178,V178)</f>
        <v>0</v>
      </c>
      <c r="T178" s="1460"/>
      <c r="U178" s="1514"/>
      <c r="V178" s="1514"/>
      <c r="W178" s="1460"/>
      <c r="X178" s="1516">
        <f t="shared" si="159"/>
        <v>0.20000000000000004</v>
      </c>
      <c r="Y178" s="1516">
        <f t="shared" si="160"/>
        <v>0</v>
      </c>
      <c r="Z178" s="1471"/>
      <c r="AA178" s="1517" t="str">
        <f t="shared" si="163"/>
        <v>3.3</v>
      </c>
      <c r="AB178" s="1517" t="str">
        <f t="shared" si="164"/>
        <v>LR3 3</v>
      </c>
      <c r="AC178" s="1560" t="str">
        <f t="shared" si="171"/>
        <v>光害の抑制</v>
      </c>
      <c r="AD178" s="1659">
        <f t="shared" si="172"/>
        <v>0.2</v>
      </c>
      <c r="AE178" s="1659">
        <f t="shared" si="173"/>
        <v>0.2</v>
      </c>
      <c r="AF178" s="1659">
        <f t="shared" si="174"/>
        <v>0.2</v>
      </c>
      <c r="AG178" s="1659">
        <f t="shared" si="175"/>
        <v>0.2</v>
      </c>
      <c r="AH178" s="1659">
        <f t="shared" si="176"/>
        <v>0.2</v>
      </c>
      <c r="AI178" s="1659">
        <f t="shared" si="177"/>
        <v>0.2</v>
      </c>
      <c r="AJ178" s="1659">
        <f t="shared" si="141"/>
        <v>0.2</v>
      </c>
      <c r="AK178" s="1661">
        <f t="shared" si="178"/>
        <v>0.2</v>
      </c>
      <c r="AL178" s="1659">
        <f t="shared" si="179"/>
        <v>0.2</v>
      </c>
      <c r="AM178" s="1659">
        <f t="shared" si="179"/>
        <v>0.2</v>
      </c>
      <c r="AN178" s="1660">
        <f>IF($AA$3=1,BE178,BV178)</f>
        <v>0</v>
      </c>
      <c r="AO178" s="1659">
        <f>IF($AA$3=1,BF178,BW178)</f>
        <v>0</v>
      </c>
      <c r="AP178" s="1659">
        <f>IF($AA$3=1,BG178,BX178)</f>
        <v>0</v>
      </c>
      <c r="AQ178" s="1457"/>
      <c r="AR178" s="1530" t="s">
        <v>1468</v>
      </c>
      <c r="AS178" s="1593" t="s">
        <v>337</v>
      </c>
      <c r="AT178" s="1594" t="s">
        <v>1018</v>
      </c>
      <c r="AU178" s="1987">
        <v>0.2</v>
      </c>
      <c r="AV178" s="1987">
        <v>0.2</v>
      </c>
      <c r="AW178" s="1987">
        <v>0.2</v>
      </c>
      <c r="AX178" s="1987">
        <v>0.2</v>
      </c>
      <c r="AY178" s="1987">
        <v>0.2</v>
      </c>
      <c r="AZ178" s="1987">
        <v>0.2</v>
      </c>
      <c r="BA178" s="1987">
        <v>0.2</v>
      </c>
      <c r="BB178" s="1987">
        <v>0.2</v>
      </c>
      <c r="BC178" s="1987">
        <v>0.2</v>
      </c>
      <c r="BD178" s="1987">
        <v>0.2</v>
      </c>
      <c r="BE178" s="1988"/>
      <c r="BF178" s="1987"/>
      <c r="BG178" s="1987"/>
      <c r="BH178"/>
      <c r="BI178" s="1530" t="s">
        <v>1468</v>
      </c>
      <c r="BJ178" s="1593" t="s">
        <v>337</v>
      </c>
      <c r="BK178" s="1594" t="s">
        <v>1018</v>
      </c>
      <c r="BL178" s="1987">
        <v>0.2</v>
      </c>
      <c r="BM178" s="1987">
        <v>0.2</v>
      </c>
      <c r="BN178" s="1987">
        <v>0.2</v>
      </c>
      <c r="BO178" s="1987">
        <v>0.2</v>
      </c>
      <c r="BP178" s="1987">
        <v>0.2</v>
      </c>
      <c r="BQ178" s="1987">
        <v>0.2</v>
      </c>
      <c r="BR178" s="1987">
        <v>0.2</v>
      </c>
      <c r="BS178" s="1987">
        <v>0.2</v>
      </c>
      <c r="BT178" s="1987">
        <v>0.2</v>
      </c>
      <c r="BU178" s="1987">
        <v>0.2</v>
      </c>
      <c r="BV178" s="1988"/>
      <c r="BW178" s="1987"/>
      <c r="BX178" s="1987"/>
    </row>
    <row r="179" spans="2:76" s="1458" customFormat="1" ht="13.5" customHeight="1">
      <c r="B179" s="1517" t="str">
        <f t="shared" si="188"/>
        <v>3.3.1</v>
      </c>
      <c r="C179" s="1674" t="str">
        <f t="shared" si="189"/>
        <v>屋外照明及び屋内照明のうち外に漏れる光への対策</v>
      </c>
      <c r="D179" s="1616">
        <f>IF(I$178=0,0,G179/I$178)</f>
        <v>0.70000000000000007</v>
      </c>
      <c r="E179" s="1616">
        <f>IF(J$178=0,0,H179/J$178)</f>
        <v>0</v>
      </c>
      <c r="F179"/>
      <c r="G179" s="1591">
        <f t="shared" si="190"/>
        <v>0.70000000000000007</v>
      </c>
      <c r="H179" s="1591">
        <f t="shared" si="190"/>
        <v>0</v>
      </c>
      <c r="I179" s="1591"/>
      <c r="J179" s="1591"/>
      <c r="K179" s="1516">
        <f>IF(スコア表示!X179=0,0,1)</f>
        <v>1</v>
      </c>
      <c r="L179" s="1516">
        <f>IF(スコア表示!AB179=0,0,1)</f>
        <v>0</v>
      </c>
      <c r="M179"/>
      <c r="N179" s="1613">
        <f>IF(P$178&gt;0,R179/P$178,0)</f>
        <v>0.70000000000000007</v>
      </c>
      <c r="O179" s="1613">
        <f>IF(Q$178&gt;0,S179/Q$178,0)</f>
        <v>0</v>
      </c>
      <c r="P179" s="1516"/>
      <c r="Q179" s="1516"/>
      <c r="R179" s="1516">
        <f>IF(スコア入力!R179="EB",重み_対象外!D179,U179)</f>
        <v>4.666666666666669E-2</v>
      </c>
      <c r="S179" s="1516">
        <f>IF(スコア入力!Y179="EB",重み_対象外!E179,V179)</f>
        <v>0</v>
      </c>
      <c r="T179" s="1460"/>
      <c r="U179" s="1514">
        <f>X$169*X$178*X179</f>
        <v>4.666666666666669E-2</v>
      </c>
      <c r="V179" s="1514">
        <f>Y$169*Y$178*Y179</f>
        <v>0</v>
      </c>
      <c r="W179" s="1460"/>
      <c r="X179" s="1516">
        <f t="shared" si="159"/>
        <v>0.70000000000000007</v>
      </c>
      <c r="Y179" s="1516">
        <f t="shared" si="160"/>
        <v>0</v>
      </c>
      <c r="Z179" s="1471"/>
      <c r="AA179" s="1517" t="str">
        <f t="shared" si="163"/>
        <v>3.3.1</v>
      </c>
      <c r="AB179" s="1517" t="str">
        <f t="shared" si="164"/>
        <v>LR3 3.3</v>
      </c>
      <c r="AC179" s="1674" t="str">
        <f t="shared" si="171"/>
        <v>屋外照明及び屋内照明のうち外に漏れる光への対策</v>
      </c>
      <c r="AD179" s="1659">
        <f t="shared" si="172"/>
        <v>0.7</v>
      </c>
      <c r="AE179" s="1659">
        <f t="shared" si="173"/>
        <v>0.7</v>
      </c>
      <c r="AF179" s="1659">
        <f t="shared" si="174"/>
        <v>0.7</v>
      </c>
      <c r="AG179" s="1659">
        <f t="shared" si="175"/>
        <v>0.7</v>
      </c>
      <c r="AH179" s="1659">
        <f t="shared" si="176"/>
        <v>0.7</v>
      </c>
      <c r="AI179" s="1659">
        <f t="shared" si="177"/>
        <v>0.7</v>
      </c>
      <c r="AJ179" s="1659">
        <f t="shared" si="141"/>
        <v>0.7</v>
      </c>
      <c r="AK179" s="1661">
        <f t="shared" si="178"/>
        <v>0.7</v>
      </c>
      <c r="AL179" s="1659">
        <f t="shared" si="179"/>
        <v>0.7</v>
      </c>
      <c r="AM179" s="1659">
        <f t="shared" si="179"/>
        <v>0.7</v>
      </c>
      <c r="AN179" s="1660"/>
      <c r="AO179" s="1659"/>
      <c r="AP179" s="1659"/>
      <c r="AQ179" s="1457"/>
      <c r="AR179" s="1530" t="s">
        <v>1340</v>
      </c>
      <c r="AS179" s="1593" t="s">
        <v>340</v>
      </c>
      <c r="AT179" s="1594" t="s">
        <v>1469</v>
      </c>
      <c r="AU179" s="1523">
        <v>0.7</v>
      </c>
      <c r="AV179" s="1523">
        <v>0.7</v>
      </c>
      <c r="AW179" s="1523">
        <v>0.7</v>
      </c>
      <c r="AX179" s="1523">
        <v>0.7</v>
      </c>
      <c r="AY179" s="1523">
        <v>0.7</v>
      </c>
      <c r="AZ179" s="1523">
        <v>0.7</v>
      </c>
      <c r="BA179" s="1523">
        <v>0.7</v>
      </c>
      <c r="BB179" s="1523">
        <v>0.7</v>
      </c>
      <c r="BC179" s="1523">
        <v>0.7</v>
      </c>
      <c r="BD179" s="1523">
        <v>0.7</v>
      </c>
      <c r="BE179" s="1988"/>
      <c r="BF179" s="1987"/>
      <c r="BG179" s="1987"/>
      <c r="BH179"/>
      <c r="BI179" s="1530" t="s">
        <v>1340</v>
      </c>
      <c r="BJ179" s="1593" t="s">
        <v>340</v>
      </c>
      <c r="BK179" s="1594" t="s">
        <v>1469</v>
      </c>
      <c r="BL179" s="1523">
        <v>0.7</v>
      </c>
      <c r="BM179" s="1523">
        <v>0.7</v>
      </c>
      <c r="BN179" s="1523">
        <v>0.7</v>
      </c>
      <c r="BO179" s="1523">
        <v>0.7</v>
      </c>
      <c r="BP179" s="1523">
        <v>0.7</v>
      </c>
      <c r="BQ179" s="1523">
        <v>0.7</v>
      </c>
      <c r="BR179" s="1523">
        <v>0.7</v>
      </c>
      <c r="BS179" s="1523">
        <v>0.7</v>
      </c>
      <c r="BT179" s="1523">
        <v>0.7</v>
      </c>
      <c r="BU179" s="1523">
        <v>0.7</v>
      </c>
      <c r="BV179" s="1988"/>
      <c r="BW179" s="1987"/>
      <c r="BX179" s="1987"/>
    </row>
    <row r="180" spans="2:76" s="1458" customFormat="1" ht="13.5" customHeight="1">
      <c r="B180" s="1517" t="str">
        <f t="shared" si="188"/>
        <v>3.3.2</v>
      </c>
      <c r="C180" s="1674" t="str">
        <f t="shared" si="189"/>
        <v>昼光の建物外壁による反射光（グレア）への対策</v>
      </c>
      <c r="D180" s="1616">
        <f>IF(I$178=0,0,G180/I$178)</f>
        <v>0.3</v>
      </c>
      <c r="E180" s="1616">
        <f>IF(J$178=0,0,H180/J$178)</f>
        <v>0</v>
      </c>
      <c r="F180"/>
      <c r="G180" s="1591">
        <f t="shared" si="190"/>
        <v>0.3</v>
      </c>
      <c r="H180" s="1591">
        <f t="shared" si="190"/>
        <v>0</v>
      </c>
      <c r="I180" s="1591"/>
      <c r="J180" s="1591"/>
      <c r="K180" s="1516">
        <f>IF(スコア表示!X180=0,0,1)</f>
        <v>1</v>
      </c>
      <c r="L180" s="1516">
        <f>IF(スコア表示!AB180=0,0,1)</f>
        <v>0</v>
      </c>
      <c r="M180"/>
      <c r="N180" s="1613">
        <f>IF(P$178&gt;0,R180/P$178,0)</f>
        <v>0.3</v>
      </c>
      <c r="O180" s="1613">
        <f>IF(Q$178&gt;0,S180/Q$178,0)</f>
        <v>0</v>
      </c>
      <c r="P180" s="1516"/>
      <c r="Q180" s="1516"/>
      <c r="R180" s="1516">
        <f>IF(スコア入力!R180="EB",重み_対象外!D180,U180)</f>
        <v>2.0000000000000007E-2</v>
      </c>
      <c r="S180" s="1516">
        <f>IF(スコア入力!Y180="EB",重み_対象外!E180,V180)</f>
        <v>0</v>
      </c>
      <c r="T180" s="1460"/>
      <c r="U180" s="1514">
        <f>X$169*X$178*X180</f>
        <v>2.0000000000000007E-2</v>
      </c>
      <c r="V180" s="1514">
        <f>Y$169*Y$178*Y180</f>
        <v>0</v>
      </c>
      <c r="W180" s="1460"/>
      <c r="X180" s="1516">
        <f t="shared" si="159"/>
        <v>0.3</v>
      </c>
      <c r="Y180" s="1516">
        <f t="shared" si="160"/>
        <v>0</v>
      </c>
      <c r="Z180" s="1471"/>
      <c r="AA180" s="1517" t="str">
        <f t="shared" si="163"/>
        <v>3.3.2</v>
      </c>
      <c r="AB180" s="1517" t="str">
        <f t="shared" si="164"/>
        <v>LR3 3.3</v>
      </c>
      <c r="AC180" s="1674" t="str">
        <f t="shared" si="171"/>
        <v>昼光の建物外壁による反射光（グレア）への対策</v>
      </c>
      <c r="AD180" s="1659">
        <f t="shared" si="172"/>
        <v>0.3</v>
      </c>
      <c r="AE180" s="1659">
        <f t="shared" si="173"/>
        <v>0.3</v>
      </c>
      <c r="AF180" s="1659">
        <f t="shared" si="174"/>
        <v>0.3</v>
      </c>
      <c r="AG180" s="1659">
        <f t="shared" si="175"/>
        <v>0.3</v>
      </c>
      <c r="AH180" s="1659">
        <f t="shared" si="176"/>
        <v>0.3</v>
      </c>
      <c r="AI180" s="1659">
        <f t="shared" si="177"/>
        <v>0.3</v>
      </c>
      <c r="AJ180" s="1659">
        <f t="shared" si="141"/>
        <v>0.3</v>
      </c>
      <c r="AK180" s="1661">
        <f t="shared" si="178"/>
        <v>0.3</v>
      </c>
      <c r="AL180" s="1659">
        <f t="shared" si="179"/>
        <v>0.3</v>
      </c>
      <c r="AM180" s="1659">
        <f t="shared" si="179"/>
        <v>0.3</v>
      </c>
      <c r="AN180" s="1660"/>
      <c r="AO180" s="1659"/>
      <c r="AP180" s="1659"/>
      <c r="AQ180" s="1457"/>
      <c r="AR180" s="1530" t="s">
        <v>1386</v>
      </c>
      <c r="AS180" s="1593" t="s">
        <v>340</v>
      </c>
      <c r="AT180" s="1594" t="s">
        <v>1470</v>
      </c>
      <c r="AU180" s="1523">
        <v>0.3</v>
      </c>
      <c r="AV180" s="1523">
        <v>0.3</v>
      </c>
      <c r="AW180" s="1523">
        <v>0.3</v>
      </c>
      <c r="AX180" s="1523">
        <v>0.3</v>
      </c>
      <c r="AY180" s="1523">
        <v>0.3</v>
      </c>
      <c r="AZ180" s="1523">
        <v>0.3</v>
      </c>
      <c r="BA180" s="1523">
        <v>0.3</v>
      </c>
      <c r="BB180" s="1523">
        <v>0.3</v>
      </c>
      <c r="BC180" s="1523">
        <v>0.3</v>
      </c>
      <c r="BD180" s="1523">
        <v>0.3</v>
      </c>
      <c r="BE180" s="1988"/>
      <c r="BF180" s="1987"/>
      <c r="BG180" s="1987"/>
      <c r="BH180"/>
      <c r="BI180" s="1530" t="s">
        <v>1386</v>
      </c>
      <c r="BJ180" s="1593" t="s">
        <v>340</v>
      </c>
      <c r="BK180" s="1594" t="s">
        <v>1470</v>
      </c>
      <c r="BL180" s="1523">
        <v>0.3</v>
      </c>
      <c r="BM180" s="1523">
        <v>0.3</v>
      </c>
      <c r="BN180" s="1523">
        <v>0.3</v>
      </c>
      <c r="BO180" s="1523">
        <v>0.3</v>
      </c>
      <c r="BP180" s="1523">
        <v>0.3</v>
      </c>
      <c r="BQ180" s="1523">
        <v>0.3</v>
      </c>
      <c r="BR180" s="1523">
        <v>0.3</v>
      </c>
      <c r="BS180" s="1523">
        <v>0.3</v>
      </c>
      <c r="BT180" s="1523">
        <v>0.3</v>
      </c>
      <c r="BU180" s="1523">
        <v>0.3</v>
      </c>
      <c r="BV180" s="1988"/>
      <c r="BW180" s="1987"/>
      <c r="BX180" s="1987"/>
    </row>
    <row r="181" spans="2:76" s="1458" customFormat="1">
      <c r="B181" s="1450"/>
      <c r="C181" s="1451"/>
      <c r="D181" s="1596"/>
      <c r="E181" s="1452"/>
      <c r="F181"/>
      <c r="G181" s="1452"/>
      <c r="H181" s="1452"/>
      <c r="I181" s="1452"/>
      <c r="J181" s="1452"/>
      <c r="K181" s="1452"/>
      <c r="L181" s="1452"/>
      <c r="M181"/>
      <c r="N181" s="1596"/>
      <c r="O181" s="1596"/>
      <c r="P181" s="1452"/>
      <c r="Q181" s="1452"/>
      <c r="R181" s="1452"/>
      <c r="S181" s="1452"/>
      <c r="T181" s="1452"/>
      <c r="U181" s="1452"/>
      <c r="V181" s="1452"/>
      <c r="W181" s="1452"/>
      <c r="X181" s="1452"/>
      <c r="Y181" s="1452"/>
      <c r="Z181" s="1453"/>
      <c r="AA181" s="1454"/>
      <c r="AB181" s="1454"/>
      <c r="AC181" s="1455"/>
      <c r="AD181" s="1456"/>
      <c r="AE181" s="1456"/>
      <c r="AF181" s="1456"/>
      <c r="AG181" s="1456"/>
      <c r="AH181" s="1456"/>
      <c r="AI181" s="1456"/>
      <c r="AJ181" s="1456"/>
      <c r="AK181" s="1456"/>
      <c r="AL181" s="1456"/>
      <c r="AM181" s="1456"/>
      <c r="AN181" s="1456"/>
      <c r="AO181" s="1456"/>
      <c r="AP181" s="1456"/>
      <c r="AQ181" s="1457"/>
      <c r="BH181"/>
    </row>
  </sheetData>
  <sheetProtection password="82B4" sheet="1" objects="1" scenarios="1"/>
  <mergeCells count="1">
    <mergeCell ref="B5:C6"/>
  </mergeCells>
  <phoneticPr fontId="20"/>
  <printOptions horizontalCentered="1"/>
  <pageMargins left="0.59055118110236227" right="0.59055118110236227" top="0.78740157480314965" bottom="0.59055118110236227" header="0.51181102362204722" footer="0.51181102362204722"/>
  <pageSetup paperSize="9" scale="33" fitToWidth="2" orientation="portrait" verticalDpi="4294967293" r:id="rId1"/>
  <headerFooter alignWithMargins="0">
    <oddHeader>&amp;L&amp;F&amp;R&amp;A</oddHeader>
    <oddFooter>&amp;C&amp;P/&amp;N</oddFooter>
  </headerFooter>
  <colBreaks count="1" manualBreakCount="1">
    <brk id="26" max="176" man="1"/>
  </colBreaks>
</worksheet>
</file>

<file path=xl/worksheets/sheet28.xml><?xml version="1.0" encoding="utf-8"?>
<worksheet xmlns="http://schemas.openxmlformats.org/spreadsheetml/2006/main" xmlns:r="http://schemas.openxmlformats.org/officeDocument/2006/relationships">
  <sheetPr codeName="Sheet16">
    <pageSetUpPr fitToPage="1"/>
  </sheetPr>
  <dimension ref="A1:S38"/>
  <sheetViews>
    <sheetView showGridLines="0" workbookViewId="0"/>
  </sheetViews>
  <sheetFormatPr defaultColWidth="0" defaultRowHeight="0" customHeight="1" zeroHeight="1"/>
  <cols>
    <col min="1" max="1" width="1.125" style="192" customWidth="1"/>
    <col min="2" max="18" width="8.75" style="192" customWidth="1"/>
    <col min="19" max="19" width="1.5" style="192" customWidth="1"/>
    <col min="20" max="16384" width="8.75" style="192" hidden="1"/>
  </cols>
  <sheetData>
    <row r="1" spans="2:18" ht="13.5" customHeight="1">
      <c r="B1" s="1689"/>
      <c r="C1" s="1689"/>
      <c r="D1" s="1689"/>
      <c r="E1" s="1689"/>
      <c r="F1" s="1689"/>
      <c r="G1" s="1689"/>
      <c r="H1" s="1689"/>
      <c r="I1" s="1689"/>
      <c r="J1" s="1689"/>
      <c r="K1" s="1689"/>
      <c r="L1" s="1689"/>
      <c r="M1" s="1689"/>
      <c r="N1" s="1689"/>
      <c r="O1" s="1689"/>
      <c r="P1" s="1689"/>
      <c r="Q1" s="1689"/>
      <c r="R1" s="1689"/>
    </row>
    <row r="2" spans="2:18" ht="13.5" customHeight="1">
      <c r="B2" s="1689"/>
      <c r="C2" s="1689"/>
      <c r="D2" s="1689"/>
      <c r="E2" s="1689"/>
      <c r="F2" s="1689"/>
      <c r="G2" s="1689"/>
      <c r="H2" s="1689"/>
      <c r="I2" s="1689"/>
      <c r="J2" s="1689"/>
      <c r="K2" s="1689"/>
      <c r="L2" s="1689"/>
      <c r="M2" s="1689"/>
      <c r="N2" s="1689"/>
      <c r="O2" s="1689"/>
      <c r="P2" s="1689"/>
      <c r="Q2" s="1689"/>
      <c r="R2" s="1689"/>
    </row>
    <row r="3" spans="2:18" ht="13.5" customHeight="1">
      <c r="B3" s="1689"/>
      <c r="C3" s="1689"/>
      <c r="D3" s="1689"/>
      <c r="E3" s="1689"/>
      <c r="F3" s="1689"/>
      <c r="G3" s="1689"/>
      <c r="H3" s="1689"/>
      <c r="I3" s="1689"/>
      <c r="J3" s="1689"/>
      <c r="K3" s="1689"/>
      <c r="L3" s="1689"/>
      <c r="M3" s="1689"/>
      <c r="N3" s="1689"/>
      <c r="O3" s="1689"/>
      <c r="P3" s="1689"/>
      <c r="Q3" s="1689"/>
      <c r="R3" s="1689"/>
    </row>
    <row r="4" spans="2:18" ht="13.5" customHeight="1">
      <c r="B4" s="1689"/>
      <c r="C4" s="1689"/>
      <c r="D4" s="1689"/>
      <c r="E4" s="1689"/>
      <c r="F4" s="1689"/>
      <c r="G4" s="1689"/>
      <c r="H4" s="1689"/>
      <c r="I4" s="1689"/>
      <c r="J4" s="1689"/>
      <c r="K4" s="1689"/>
      <c r="L4" s="1689"/>
      <c r="M4" s="1689"/>
      <c r="N4" s="1689"/>
      <c r="O4" s="1689"/>
      <c r="P4" s="1689"/>
      <c r="Q4" s="1689"/>
      <c r="R4" s="1689"/>
    </row>
    <row r="5" spans="2:18" ht="13.5" customHeight="1">
      <c r="B5" s="1689"/>
      <c r="C5" s="1689"/>
      <c r="D5" s="1689"/>
      <c r="E5" s="1689"/>
      <c r="F5" s="1689"/>
      <c r="G5" s="1689"/>
      <c r="H5" s="1689"/>
      <c r="I5" s="1689"/>
      <c r="J5" s="1689"/>
      <c r="K5" s="1689"/>
      <c r="L5" s="1689"/>
      <c r="M5" s="1689"/>
      <c r="N5" s="1689"/>
      <c r="O5" s="1689"/>
      <c r="P5" s="1689"/>
      <c r="Q5" s="1689"/>
      <c r="R5" s="1689"/>
    </row>
    <row r="6" spans="2:18" ht="13.5" customHeight="1">
      <c r="B6" s="1689"/>
      <c r="C6" s="1689"/>
      <c r="D6" s="1689"/>
      <c r="E6" s="1689"/>
      <c r="F6" s="1689"/>
      <c r="G6" s="1689"/>
      <c r="H6" s="1689"/>
      <c r="I6" s="1689"/>
      <c r="J6" s="1689"/>
      <c r="K6" s="1689"/>
      <c r="L6" s="1689"/>
      <c r="M6" s="1689"/>
      <c r="N6" s="1689"/>
      <c r="O6" s="1689"/>
      <c r="P6" s="1689"/>
      <c r="Q6" s="1689"/>
      <c r="R6" s="1689"/>
    </row>
    <row r="7" spans="2:18" ht="13.5" customHeight="1">
      <c r="B7" s="1689"/>
      <c r="C7" s="1689"/>
      <c r="D7" s="1689"/>
      <c r="E7" s="1689"/>
      <c r="F7" s="1689"/>
      <c r="G7" s="1689"/>
      <c r="H7" s="1689"/>
      <c r="I7" s="1689"/>
      <c r="J7" s="1689"/>
      <c r="K7" s="1689"/>
      <c r="L7" s="1689"/>
      <c r="M7" s="1689"/>
      <c r="N7" s="1689"/>
      <c r="O7" s="1689"/>
      <c r="P7" s="1689"/>
      <c r="Q7" s="1689"/>
      <c r="R7" s="1689"/>
    </row>
    <row r="8" spans="2:18" ht="13.5" customHeight="1">
      <c r="B8" s="1689"/>
      <c r="C8" s="1689"/>
      <c r="D8" s="1689"/>
      <c r="E8" s="1689"/>
      <c r="F8" s="1689"/>
      <c r="G8" s="1689"/>
      <c r="H8" s="1689"/>
      <c r="I8" s="1689"/>
      <c r="J8" s="1689"/>
      <c r="K8" s="1689"/>
      <c r="L8" s="1689"/>
      <c r="M8" s="1689"/>
      <c r="N8" s="1689"/>
      <c r="O8" s="1689"/>
      <c r="P8" s="1689"/>
      <c r="Q8" s="1689"/>
      <c r="R8" s="1689"/>
    </row>
    <row r="9" spans="2:18" ht="13.5" customHeight="1">
      <c r="B9" s="1689"/>
      <c r="C9" s="1689"/>
      <c r="D9" s="1689"/>
      <c r="E9" s="1689"/>
      <c r="F9" s="1689"/>
      <c r="G9" s="1689"/>
      <c r="H9" s="1689"/>
      <c r="I9" s="1689"/>
      <c r="J9" s="1689"/>
      <c r="K9" s="1689"/>
      <c r="L9" s="1689"/>
      <c r="M9" s="1689"/>
      <c r="N9" s="1689"/>
      <c r="O9" s="1689"/>
      <c r="P9" s="1689"/>
      <c r="Q9" s="1689"/>
      <c r="R9" s="1689"/>
    </row>
    <row r="10" spans="2:18" ht="13.5" customHeight="1">
      <c r="B10" s="1689"/>
      <c r="C10" s="1689"/>
      <c r="D10" s="1689"/>
      <c r="E10" s="1689"/>
      <c r="F10" s="1689"/>
      <c r="G10" s="1689"/>
      <c r="H10" s="1689"/>
      <c r="I10" s="1689"/>
      <c r="J10" s="1689"/>
      <c r="K10" s="1689"/>
      <c r="L10" s="1689"/>
      <c r="M10" s="1689"/>
      <c r="N10" s="1689"/>
      <c r="O10" s="1689"/>
      <c r="P10" s="1689"/>
      <c r="Q10" s="1689"/>
      <c r="R10" s="1689"/>
    </row>
    <row r="11" spans="2:18" ht="13.5" customHeight="1">
      <c r="B11" s="1689"/>
      <c r="C11" s="1689"/>
      <c r="D11" s="1689"/>
      <c r="E11" s="1689"/>
      <c r="F11" s="1689"/>
      <c r="G11" s="1689"/>
      <c r="H11" s="1689"/>
      <c r="I11" s="1689"/>
      <c r="J11" s="1689"/>
      <c r="K11" s="1689"/>
      <c r="L11" s="1689"/>
      <c r="M11" s="1689"/>
      <c r="N11" s="1689"/>
      <c r="O11" s="1689"/>
      <c r="P11" s="1689"/>
      <c r="Q11" s="1689"/>
      <c r="R11" s="1689"/>
    </row>
    <row r="12" spans="2:18" ht="13.5" customHeight="1">
      <c r="B12" s="1689"/>
      <c r="C12" s="1689"/>
      <c r="D12" s="1689"/>
      <c r="E12" s="1689"/>
      <c r="F12" s="1689"/>
      <c r="G12" s="1689"/>
      <c r="H12" s="1689"/>
      <c r="I12" s="1689"/>
      <c r="J12" s="1689"/>
      <c r="K12" s="1689"/>
      <c r="L12" s="1689"/>
      <c r="M12" s="1689"/>
      <c r="N12" s="1689"/>
      <c r="O12" s="1689"/>
      <c r="P12" s="1689"/>
      <c r="Q12" s="1689"/>
      <c r="R12" s="1689"/>
    </row>
    <row r="13" spans="2:18" ht="18.75">
      <c r="B13" s="1689"/>
      <c r="C13" s="1689"/>
      <c r="D13" s="1689"/>
      <c r="E13" s="1690"/>
      <c r="F13" s="1689"/>
      <c r="G13" s="1689"/>
      <c r="H13" s="1689"/>
      <c r="I13" s="1689"/>
      <c r="J13" s="1689"/>
      <c r="K13" s="1689"/>
      <c r="L13" s="1689"/>
      <c r="M13" s="1689"/>
      <c r="N13" s="1689"/>
      <c r="O13" s="1689"/>
      <c r="P13" s="1689"/>
      <c r="Q13" s="1689"/>
      <c r="R13" s="1689"/>
    </row>
    <row r="14" spans="2:18" ht="13.5" customHeight="1">
      <c r="B14" s="1689"/>
      <c r="C14" s="1689"/>
      <c r="D14" s="1689"/>
      <c r="E14" s="1689"/>
      <c r="F14" s="1689"/>
      <c r="G14" s="1689"/>
      <c r="H14" s="1689"/>
      <c r="I14" s="1689"/>
      <c r="J14" s="1689"/>
      <c r="K14" s="1689"/>
      <c r="L14" s="1689"/>
      <c r="M14" s="1689"/>
      <c r="N14" s="1689"/>
      <c r="O14" s="1689"/>
      <c r="P14" s="1689"/>
      <c r="Q14" s="1689"/>
      <c r="R14" s="1689"/>
    </row>
    <row r="15" spans="2:18" ht="13.5" customHeight="1">
      <c r="B15" s="1689"/>
      <c r="C15" s="1689"/>
      <c r="D15" s="1689"/>
      <c r="E15" s="1689"/>
      <c r="F15" s="1689"/>
      <c r="G15" s="1689"/>
      <c r="H15" s="1689"/>
      <c r="I15" s="1689"/>
      <c r="J15" s="1689"/>
      <c r="K15" s="1689"/>
      <c r="L15" s="1689"/>
      <c r="M15" s="1689"/>
      <c r="N15" s="1689"/>
      <c r="O15" s="1689"/>
      <c r="P15" s="1689"/>
      <c r="Q15" s="1689"/>
      <c r="R15" s="1689"/>
    </row>
    <row r="16" spans="2:18" ht="13.5" customHeight="1">
      <c r="B16" s="1689"/>
      <c r="C16" s="1689"/>
      <c r="D16" s="1689"/>
      <c r="E16" s="1689"/>
      <c r="F16" s="1689"/>
      <c r="G16" s="1689"/>
      <c r="H16" s="1689"/>
      <c r="I16" s="1689"/>
      <c r="J16" s="1689"/>
      <c r="K16" s="1689"/>
      <c r="L16" s="1689"/>
      <c r="M16" s="1689"/>
      <c r="N16" s="1689"/>
      <c r="O16" s="1689"/>
      <c r="P16" s="1689"/>
      <c r="Q16" s="1689"/>
      <c r="R16" s="1689"/>
    </row>
    <row r="17" spans="2:18" ht="13.5" customHeight="1">
      <c r="B17" s="1689"/>
      <c r="C17" s="1689"/>
      <c r="D17" s="1689"/>
      <c r="E17" s="1689"/>
      <c r="F17" s="1689"/>
      <c r="G17" s="1689"/>
      <c r="H17" s="1689"/>
      <c r="I17" s="1689"/>
      <c r="J17" s="1689"/>
      <c r="K17" s="1689"/>
      <c r="L17" s="1689"/>
      <c r="M17" s="1689"/>
      <c r="N17" s="1689"/>
      <c r="O17" s="1689"/>
      <c r="P17" s="1689"/>
      <c r="Q17" s="1689"/>
      <c r="R17" s="1689"/>
    </row>
    <row r="18" spans="2:18" ht="13.5" customHeight="1">
      <c r="B18" s="1689"/>
      <c r="C18" s="1689"/>
      <c r="D18" s="1689"/>
      <c r="E18" s="1689"/>
      <c r="F18" s="1689"/>
      <c r="G18" s="1689"/>
      <c r="H18" s="1689"/>
      <c r="I18" s="1689"/>
      <c r="J18" s="1689"/>
      <c r="K18" s="1689"/>
      <c r="L18" s="1689"/>
      <c r="M18" s="1689"/>
      <c r="N18" s="1689"/>
      <c r="O18" s="1689"/>
      <c r="P18" s="1689"/>
      <c r="Q18" s="1689"/>
      <c r="R18" s="1689"/>
    </row>
    <row r="19" spans="2:18" ht="13.5" customHeight="1">
      <c r="B19" s="1689"/>
      <c r="C19" s="1689"/>
      <c r="D19" s="1689"/>
      <c r="E19" s="1689"/>
      <c r="F19" s="1689"/>
      <c r="G19" s="1689"/>
      <c r="H19" s="1689"/>
      <c r="I19" s="1689"/>
      <c r="J19" s="1689"/>
      <c r="K19" s="1689"/>
      <c r="L19" s="1689"/>
      <c r="M19" s="1689"/>
      <c r="N19" s="1689"/>
      <c r="O19" s="1689"/>
      <c r="P19" s="1689"/>
      <c r="Q19" s="1689"/>
      <c r="R19" s="1689"/>
    </row>
    <row r="20" spans="2:18" ht="13.5" customHeight="1">
      <c r="B20" s="1689"/>
      <c r="C20" s="1689"/>
      <c r="D20" s="1689"/>
      <c r="E20" s="1689"/>
      <c r="F20" s="1689"/>
      <c r="G20" s="1689"/>
      <c r="H20" s="1689"/>
      <c r="I20" s="1689"/>
      <c r="J20" s="1689"/>
      <c r="K20" s="1689"/>
      <c r="L20" s="1689"/>
      <c r="M20" s="1689"/>
      <c r="N20" s="1689"/>
      <c r="O20" s="1689"/>
      <c r="P20" s="1689"/>
      <c r="Q20" s="1689"/>
      <c r="R20" s="1689"/>
    </row>
    <row r="21" spans="2:18" ht="13.5" customHeight="1">
      <c r="B21" s="1689"/>
      <c r="C21" s="1689"/>
      <c r="D21" s="1689"/>
      <c r="E21" s="1689"/>
      <c r="F21" s="1689"/>
      <c r="G21" s="1689"/>
      <c r="H21" s="1689"/>
      <c r="I21" s="1689"/>
      <c r="J21" s="1689"/>
      <c r="K21" s="1689"/>
      <c r="L21" s="1689"/>
      <c r="M21" s="1689"/>
      <c r="N21" s="1689"/>
      <c r="O21" s="1689"/>
      <c r="P21" s="1689"/>
      <c r="Q21" s="1689"/>
      <c r="R21" s="1689"/>
    </row>
    <row r="22" spans="2:18" ht="13.5" customHeight="1">
      <c r="B22" s="1689"/>
      <c r="C22" s="1689"/>
      <c r="D22" s="1689"/>
      <c r="E22" s="1689"/>
      <c r="F22" s="1689"/>
      <c r="G22" s="1689"/>
      <c r="H22" s="1689"/>
      <c r="I22" s="1689"/>
      <c r="J22" s="1689"/>
      <c r="K22" s="1689"/>
      <c r="L22" s="1689"/>
      <c r="M22" s="1689"/>
      <c r="N22" s="1689"/>
      <c r="O22" s="1689"/>
      <c r="P22" s="1689"/>
      <c r="Q22" s="1689"/>
      <c r="R22" s="1689"/>
    </row>
    <row r="23" spans="2:18" ht="13.5" customHeight="1">
      <c r="B23" s="1689"/>
      <c r="C23" s="1689"/>
      <c r="D23" s="1689"/>
      <c r="E23" s="1689"/>
      <c r="F23" s="1689"/>
      <c r="G23" s="1689"/>
      <c r="H23" s="1689"/>
      <c r="I23" s="1689"/>
      <c r="J23" s="1689"/>
      <c r="K23" s="1689"/>
      <c r="L23" s="1689"/>
      <c r="M23" s="1689"/>
      <c r="N23" s="1689"/>
      <c r="O23" s="1689"/>
      <c r="P23" s="1689"/>
      <c r="Q23" s="1689"/>
      <c r="R23" s="1689"/>
    </row>
    <row r="24" spans="2:18" ht="13.5" customHeight="1">
      <c r="B24" s="1689"/>
      <c r="C24" s="1689"/>
      <c r="D24" s="1689"/>
      <c r="E24" s="1689"/>
      <c r="F24" s="1689"/>
      <c r="G24" s="1689"/>
      <c r="H24" s="1689"/>
      <c r="I24" s="1689"/>
      <c r="J24" s="1689"/>
      <c r="K24" s="1689"/>
      <c r="L24" s="1689"/>
      <c r="M24" s="1689"/>
      <c r="N24" s="1689"/>
      <c r="O24" s="1689"/>
      <c r="P24" s="1689"/>
      <c r="Q24" s="1689"/>
      <c r="R24" s="1689"/>
    </row>
    <row r="25" spans="2:18" ht="13.5" customHeight="1">
      <c r="B25" s="1689"/>
      <c r="C25" s="1689"/>
      <c r="D25" s="1689"/>
      <c r="E25" s="1689"/>
      <c r="F25" s="1689"/>
      <c r="G25" s="1689"/>
      <c r="H25" s="1689"/>
      <c r="I25" s="1689"/>
      <c r="J25" s="1689"/>
      <c r="K25" s="1689"/>
      <c r="L25" s="1689"/>
      <c r="M25" s="1689"/>
      <c r="N25" s="1689"/>
      <c r="O25" s="1689"/>
      <c r="P25" s="1689"/>
      <c r="Q25" s="1689"/>
      <c r="R25" s="1689"/>
    </row>
    <row r="26" spans="2:18" ht="13.5" customHeight="1">
      <c r="B26" s="1689"/>
      <c r="C26" s="1689"/>
      <c r="D26" s="1689"/>
      <c r="E26" s="1689"/>
      <c r="F26" s="1689"/>
      <c r="G26" s="1689"/>
      <c r="H26" s="1689"/>
      <c r="I26" s="1689"/>
      <c r="J26" s="1689"/>
      <c r="K26" s="1689"/>
      <c r="L26" s="1689"/>
      <c r="M26" s="1689"/>
      <c r="N26" s="1689"/>
      <c r="O26" s="1689"/>
      <c r="P26" s="1689"/>
      <c r="Q26" s="1689"/>
      <c r="R26" s="1689"/>
    </row>
    <row r="27" spans="2:18" ht="13.5" customHeight="1">
      <c r="B27" s="1689"/>
      <c r="C27" s="1689"/>
      <c r="D27" s="1689"/>
      <c r="E27" s="1689"/>
      <c r="F27" s="1689"/>
      <c r="G27" s="1689"/>
      <c r="H27" s="1689"/>
      <c r="I27" s="1689"/>
      <c r="J27" s="1689"/>
      <c r="K27" s="1689"/>
      <c r="L27" s="1689"/>
      <c r="M27" s="1689"/>
      <c r="N27" s="1689"/>
      <c r="O27" s="1689"/>
      <c r="P27" s="1689"/>
      <c r="Q27" s="1689"/>
      <c r="R27" s="1689"/>
    </row>
    <row r="28" spans="2:18" ht="13.5" customHeight="1">
      <c r="B28" s="1689"/>
      <c r="C28" s="1689"/>
      <c r="D28" s="1689"/>
      <c r="E28" s="1689"/>
      <c r="F28" s="1689"/>
      <c r="G28" s="1689"/>
      <c r="H28" s="1689"/>
      <c r="I28" s="1689"/>
      <c r="J28" s="1689"/>
      <c r="K28" s="1689"/>
      <c r="L28" s="1689"/>
      <c r="M28" s="1689"/>
      <c r="N28" s="1689"/>
      <c r="O28" s="1689"/>
      <c r="P28" s="1689"/>
      <c r="Q28" s="1689"/>
      <c r="R28" s="1689"/>
    </row>
    <row r="29" spans="2:18" ht="13.5" customHeight="1">
      <c r="B29" s="1689"/>
      <c r="C29" s="1689"/>
      <c r="D29" s="1689"/>
      <c r="E29" s="1689"/>
      <c r="F29" s="1689"/>
      <c r="G29" s="1689"/>
      <c r="H29" s="1689"/>
      <c r="I29" s="1689"/>
      <c r="J29" s="1689"/>
      <c r="K29" s="1689"/>
      <c r="L29" s="1689"/>
      <c r="M29" s="1689"/>
      <c r="N29" s="1689"/>
      <c r="O29" s="1689"/>
      <c r="P29" s="1689"/>
      <c r="Q29" s="1689"/>
      <c r="R29" s="1689"/>
    </row>
    <row r="30" spans="2:18" ht="13.5" customHeight="1">
      <c r="B30" s="1689"/>
      <c r="C30" s="1689"/>
      <c r="D30" s="1689"/>
      <c r="E30" s="1689"/>
      <c r="F30" s="1689"/>
      <c r="G30" s="1689"/>
      <c r="H30" s="1689"/>
      <c r="I30" s="1689"/>
      <c r="J30" s="1689"/>
      <c r="K30" s="1689"/>
      <c r="L30" s="1689"/>
      <c r="M30" s="1689"/>
      <c r="N30" s="1689"/>
      <c r="O30" s="1689"/>
      <c r="P30" s="1689"/>
      <c r="Q30" s="1689"/>
      <c r="R30" s="1689"/>
    </row>
    <row r="31" spans="2:18" ht="13.5" customHeight="1">
      <c r="B31" s="1689"/>
      <c r="C31" s="1689"/>
      <c r="D31" s="1689"/>
      <c r="E31" s="1689"/>
      <c r="F31" s="1689"/>
      <c r="G31" s="1689"/>
      <c r="H31" s="1689"/>
      <c r="I31" s="1689"/>
      <c r="J31" s="1689"/>
      <c r="K31" s="1689"/>
      <c r="L31" s="1689"/>
      <c r="M31" s="1689"/>
      <c r="N31" s="1689"/>
      <c r="O31" s="1689"/>
      <c r="P31" s="1689"/>
      <c r="Q31" s="1689"/>
      <c r="R31" s="1689"/>
    </row>
    <row r="32" spans="2:18" ht="13.5" customHeight="1">
      <c r="B32" s="1689"/>
      <c r="C32" s="1689"/>
      <c r="D32" s="1689"/>
      <c r="E32" s="1689"/>
      <c r="F32" s="1689"/>
      <c r="G32" s="1689"/>
      <c r="H32" s="1689"/>
      <c r="I32" s="1689"/>
      <c r="J32" s="1689"/>
      <c r="K32" s="1689"/>
      <c r="L32" s="1689"/>
      <c r="M32" s="1689"/>
      <c r="N32" s="1689"/>
      <c r="O32" s="1689"/>
      <c r="P32" s="1689"/>
      <c r="Q32" s="1689"/>
      <c r="R32" s="1689"/>
    </row>
    <row r="33" spans="2:18" ht="13.5" customHeight="1">
      <c r="B33" s="1689"/>
      <c r="C33" s="1689"/>
      <c r="D33" s="1689"/>
      <c r="E33" s="1689"/>
      <c r="F33" s="1689"/>
      <c r="G33" s="1689"/>
      <c r="H33" s="1689"/>
      <c r="I33" s="1689"/>
      <c r="J33" s="1689"/>
      <c r="K33" s="1689"/>
      <c r="L33" s="1689"/>
      <c r="M33" s="1689"/>
      <c r="N33" s="1689"/>
      <c r="O33" s="1689"/>
      <c r="P33" s="1689"/>
      <c r="Q33" s="1689"/>
      <c r="R33" s="1689"/>
    </row>
    <row r="34" spans="2:18" ht="13.5" customHeight="1">
      <c r="B34" s="1689"/>
      <c r="C34" s="1689"/>
      <c r="D34" s="1689"/>
      <c r="E34" s="1689"/>
      <c r="F34" s="1689"/>
      <c r="G34" s="1689"/>
      <c r="H34" s="1689"/>
      <c r="I34" s="1689"/>
      <c r="J34" s="1689"/>
      <c r="K34" s="1689"/>
      <c r="L34" s="1689"/>
      <c r="M34" s="1689"/>
      <c r="N34" s="1689"/>
      <c r="O34" s="1689"/>
      <c r="P34" s="1689"/>
      <c r="Q34" s="1689"/>
      <c r="R34" s="1689"/>
    </row>
    <row r="35" spans="2:18" ht="13.5" customHeight="1">
      <c r="B35" s="1689"/>
      <c r="C35" s="1689"/>
      <c r="D35" s="1689"/>
      <c r="E35" s="1689"/>
      <c r="F35" s="1689"/>
      <c r="G35" s="1689"/>
      <c r="H35" s="1689"/>
      <c r="I35" s="1689"/>
      <c r="J35" s="1689"/>
      <c r="K35" s="1689"/>
      <c r="L35" s="1689"/>
      <c r="M35" s="1689"/>
      <c r="N35" s="1689"/>
      <c r="O35" s="1689"/>
      <c r="P35" s="1689"/>
      <c r="Q35" s="1689"/>
      <c r="R35" s="1689"/>
    </row>
    <row r="36" spans="2:18" ht="13.5" customHeight="1">
      <c r="B36" s="1689"/>
      <c r="C36" s="1689"/>
      <c r="D36" s="1689"/>
      <c r="E36" s="1689"/>
      <c r="F36" s="1689"/>
      <c r="G36" s="1689"/>
      <c r="H36" s="1689"/>
      <c r="I36" s="1689"/>
      <c r="J36" s="1689"/>
      <c r="K36" s="1689"/>
      <c r="L36" s="1689"/>
      <c r="M36" s="1689"/>
      <c r="N36" s="1689"/>
      <c r="O36" s="1689"/>
      <c r="P36" s="1689"/>
      <c r="Q36" s="1689"/>
      <c r="R36" s="1689"/>
    </row>
    <row r="37" spans="2:18" ht="13.5" customHeight="1">
      <c r="G37" s="1689"/>
      <c r="H37" s="1689"/>
      <c r="I37" s="1689"/>
      <c r="J37" s="1689"/>
      <c r="K37" s="1689"/>
      <c r="L37" s="1689"/>
      <c r="M37" s="1689"/>
      <c r="N37" s="1689"/>
      <c r="O37" s="1689"/>
      <c r="P37" s="1689"/>
      <c r="Q37" s="1689"/>
      <c r="R37" s="1689"/>
    </row>
    <row r="38" spans="2:18" ht="13.5" hidden="1" customHeight="1">
      <c r="J38" s="1689"/>
      <c r="K38" s="1689"/>
      <c r="L38" s="1689"/>
      <c r="M38" s="1689"/>
      <c r="N38" s="1689"/>
      <c r="O38" s="1689"/>
      <c r="P38" s="1689"/>
      <c r="Q38" s="1689"/>
      <c r="R38" s="1689"/>
    </row>
  </sheetData>
  <sheetProtection password="82B4" sheet="1" objects="1" scenarios="1"/>
  <phoneticPr fontId="20"/>
  <printOptions horizontalCentered="1"/>
  <pageMargins left="0.59055118110236227" right="0.59055118110236227" top="0.78740157480314965" bottom="0.59055118110236227" header="0.51181102362204722" footer="0.51181102362204722"/>
  <pageSetup paperSize="9" scale="60" orientation="portrait" verticalDpi="4294967293"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sheetPr>
    <pageSetUpPr fitToPage="1"/>
  </sheetPr>
  <dimension ref="A1:WVY217"/>
  <sheetViews>
    <sheetView showGridLines="0" zoomScaleNormal="100" workbookViewId="0">
      <selection activeCell="F5" sqref="F5"/>
    </sheetView>
  </sheetViews>
  <sheetFormatPr defaultColWidth="0" defaultRowHeight="0" customHeight="1" zeroHeight="1"/>
  <cols>
    <col min="1" max="1" width="0.75" style="693" customWidth="1"/>
    <col min="2" max="2" width="2.125" style="708" customWidth="1"/>
    <col min="3" max="3" width="13.375" style="708" customWidth="1"/>
    <col min="4" max="4" width="5.375" style="709" customWidth="1"/>
    <col min="5" max="5" width="9.75" style="1025" customWidth="1"/>
    <col min="6" max="6" width="6.25" style="1000" customWidth="1"/>
    <col min="7" max="7" width="6.5" style="1000" customWidth="1"/>
    <col min="8" max="8" width="12.875" style="1000" customWidth="1"/>
    <col min="9" max="9" width="7.125" style="1001" customWidth="1"/>
    <col min="10" max="10" width="12.125" style="1001" customWidth="1"/>
    <col min="11" max="11" width="11.875" style="1000" customWidth="1"/>
    <col min="12" max="12" width="10.75" style="1000" customWidth="1"/>
    <col min="13" max="13" width="11.875" style="1003" customWidth="1"/>
    <col min="14" max="15" width="11.375" style="1003" customWidth="1"/>
    <col min="16" max="16" width="0.75" style="693" customWidth="1"/>
    <col min="17" max="17" width="3.875" style="693" customWidth="1"/>
    <col min="18" max="18" width="20.625" style="702" hidden="1" customWidth="1"/>
    <col min="19" max="19" width="18.625" style="986" hidden="1" customWidth="1"/>
    <col min="20" max="20" width="15.25" style="702" hidden="1" customWidth="1"/>
    <col min="21" max="21" width="19.25" style="702" hidden="1" customWidth="1"/>
    <col min="22" max="22" width="18.625" style="702" hidden="1" customWidth="1"/>
    <col min="23" max="23" width="11.125" style="702" hidden="1" customWidth="1"/>
    <col min="24" max="24" width="20.5" style="702" hidden="1" customWidth="1"/>
    <col min="25" max="25" width="18.625" style="702" hidden="1" customWidth="1"/>
    <col min="26" max="26" width="23" style="702" hidden="1" customWidth="1"/>
    <col min="27" max="27" width="4.5" style="702" hidden="1" customWidth="1"/>
    <col min="28" max="28" width="5" style="702" hidden="1" customWidth="1"/>
    <col min="29" max="31" width="5" style="987" hidden="1" customWidth="1"/>
    <col min="32" max="32" width="5.125" style="987" hidden="1" customWidth="1"/>
    <col min="33" max="256" width="9" style="987" hidden="1" customWidth="1"/>
    <col min="257" max="257" width="0.75" style="987" hidden="1" customWidth="1"/>
    <col min="258" max="258" width="2.125" style="987" hidden="1" customWidth="1"/>
    <col min="259" max="259" width="13.375" style="987" hidden="1" customWidth="1"/>
    <col min="260" max="260" width="5.375" style="987" hidden="1" customWidth="1"/>
    <col min="261" max="261" width="9.75" style="987" hidden="1" customWidth="1"/>
    <col min="262" max="262" width="6.25" style="987" hidden="1" customWidth="1"/>
    <col min="263" max="263" width="6.5" style="987" hidden="1" customWidth="1"/>
    <col min="264" max="264" width="12.875" style="987" hidden="1" customWidth="1"/>
    <col min="265" max="265" width="7.125" style="987" hidden="1" customWidth="1"/>
    <col min="266" max="266" width="12.125" style="987" hidden="1" customWidth="1"/>
    <col min="267" max="267" width="11.875" style="987" hidden="1" customWidth="1"/>
    <col min="268" max="268" width="10.75" style="987" hidden="1" customWidth="1"/>
    <col min="269" max="269" width="11.875" style="987" hidden="1" customWidth="1"/>
    <col min="270" max="271" width="11.375" style="987" hidden="1" customWidth="1"/>
    <col min="272" max="272" width="0.75" style="987" hidden="1" customWidth="1"/>
    <col min="273" max="273" width="3.875" style="987" hidden="1" customWidth="1"/>
    <col min="274" max="288" width="9" style="987" hidden="1" customWidth="1"/>
    <col min="289" max="512" width="9" style="987" hidden="1"/>
    <col min="513" max="513" width="0.75" style="987" hidden="1" customWidth="1"/>
    <col min="514" max="514" width="2.125" style="987" hidden="1" customWidth="1"/>
    <col min="515" max="515" width="13.375" style="987" hidden="1" customWidth="1"/>
    <col min="516" max="516" width="5.375" style="987" hidden="1" customWidth="1"/>
    <col min="517" max="517" width="9.75" style="987" hidden="1" customWidth="1"/>
    <col min="518" max="518" width="6.25" style="987" hidden="1" customWidth="1"/>
    <col min="519" max="519" width="6.5" style="987" hidden="1" customWidth="1"/>
    <col min="520" max="520" width="12.875" style="987" hidden="1" customWidth="1"/>
    <col min="521" max="521" width="7.125" style="987" hidden="1" customWidth="1"/>
    <col min="522" max="522" width="12.125" style="987" hidden="1" customWidth="1"/>
    <col min="523" max="523" width="11.875" style="987" hidden="1" customWidth="1"/>
    <col min="524" max="524" width="10.75" style="987" hidden="1" customWidth="1"/>
    <col min="525" max="525" width="11.875" style="987" hidden="1" customWidth="1"/>
    <col min="526" max="527" width="11.375" style="987" hidden="1" customWidth="1"/>
    <col min="528" max="528" width="0.75" style="987" hidden="1" customWidth="1"/>
    <col min="529" max="529" width="3.875" style="987" hidden="1" customWidth="1"/>
    <col min="530" max="544" width="9" style="987" hidden="1" customWidth="1"/>
    <col min="545" max="768" width="9" style="987" hidden="1"/>
    <col min="769" max="769" width="0.75" style="987" hidden="1" customWidth="1"/>
    <col min="770" max="770" width="2.125" style="987" hidden="1" customWidth="1"/>
    <col min="771" max="771" width="13.375" style="987" hidden="1" customWidth="1"/>
    <col min="772" max="772" width="5.375" style="987" hidden="1" customWidth="1"/>
    <col min="773" max="773" width="9.75" style="987" hidden="1" customWidth="1"/>
    <col min="774" max="774" width="6.25" style="987" hidden="1" customWidth="1"/>
    <col min="775" max="775" width="6.5" style="987" hidden="1" customWidth="1"/>
    <col min="776" max="776" width="12.875" style="987" hidden="1" customWidth="1"/>
    <col min="777" max="777" width="7.125" style="987" hidden="1" customWidth="1"/>
    <col min="778" max="778" width="12.125" style="987" hidden="1" customWidth="1"/>
    <col min="779" max="779" width="11.875" style="987" hidden="1" customWidth="1"/>
    <col min="780" max="780" width="10.75" style="987" hidden="1" customWidth="1"/>
    <col min="781" max="781" width="11.875" style="987" hidden="1" customWidth="1"/>
    <col min="782" max="783" width="11.375" style="987" hidden="1" customWidth="1"/>
    <col min="784" max="784" width="0.75" style="987" hidden="1" customWidth="1"/>
    <col min="785" max="785" width="3.875" style="987" hidden="1" customWidth="1"/>
    <col min="786" max="800" width="9" style="987" hidden="1" customWidth="1"/>
    <col min="801" max="1024" width="9" style="987" hidden="1"/>
    <col min="1025" max="1025" width="0.75" style="987" hidden="1" customWidth="1"/>
    <col min="1026" max="1026" width="2.125" style="987" hidden="1" customWidth="1"/>
    <col min="1027" max="1027" width="13.375" style="987" hidden="1" customWidth="1"/>
    <col min="1028" max="1028" width="5.375" style="987" hidden="1" customWidth="1"/>
    <col min="1029" max="1029" width="9.75" style="987" hidden="1" customWidth="1"/>
    <col min="1030" max="1030" width="6.25" style="987" hidden="1" customWidth="1"/>
    <col min="1031" max="1031" width="6.5" style="987" hidden="1" customWidth="1"/>
    <col min="1032" max="1032" width="12.875" style="987" hidden="1" customWidth="1"/>
    <col min="1033" max="1033" width="7.125" style="987" hidden="1" customWidth="1"/>
    <col min="1034" max="1034" width="12.125" style="987" hidden="1" customWidth="1"/>
    <col min="1035" max="1035" width="11.875" style="987" hidden="1" customWidth="1"/>
    <col min="1036" max="1036" width="10.75" style="987" hidden="1" customWidth="1"/>
    <col min="1037" max="1037" width="11.875" style="987" hidden="1" customWidth="1"/>
    <col min="1038" max="1039" width="11.375" style="987" hidden="1" customWidth="1"/>
    <col min="1040" max="1040" width="0.75" style="987" hidden="1" customWidth="1"/>
    <col min="1041" max="1041" width="3.875" style="987" hidden="1" customWidth="1"/>
    <col min="1042" max="1056" width="9" style="987" hidden="1" customWidth="1"/>
    <col min="1057" max="1280" width="9" style="987" hidden="1"/>
    <col min="1281" max="1281" width="0.75" style="987" hidden="1" customWidth="1"/>
    <col min="1282" max="1282" width="2.125" style="987" hidden="1" customWidth="1"/>
    <col min="1283" max="1283" width="13.375" style="987" hidden="1" customWidth="1"/>
    <col min="1284" max="1284" width="5.375" style="987" hidden="1" customWidth="1"/>
    <col min="1285" max="1285" width="9.75" style="987" hidden="1" customWidth="1"/>
    <col min="1286" max="1286" width="6.25" style="987" hidden="1" customWidth="1"/>
    <col min="1287" max="1287" width="6.5" style="987" hidden="1" customWidth="1"/>
    <col min="1288" max="1288" width="12.875" style="987" hidden="1" customWidth="1"/>
    <col min="1289" max="1289" width="7.125" style="987" hidden="1" customWidth="1"/>
    <col min="1290" max="1290" width="12.125" style="987" hidden="1" customWidth="1"/>
    <col min="1291" max="1291" width="11.875" style="987" hidden="1" customWidth="1"/>
    <col min="1292" max="1292" width="10.75" style="987" hidden="1" customWidth="1"/>
    <col min="1293" max="1293" width="11.875" style="987" hidden="1" customWidth="1"/>
    <col min="1294" max="1295" width="11.375" style="987" hidden="1" customWidth="1"/>
    <col min="1296" max="1296" width="0.75" style="987" hidden="1" customWidth="1"/>
    <col min="1297" max="1297" width="3.875" style="987" hidden="1" customWidth="1"/>
    <col min="1298" max="1312" width="9" style="987" hidden="1" customWidth="1"/>
    <col min="1313" max="1536" width="9" style="987" hidden="1"/>
    <col min="1537" max="1537" width="0.75" style="987" hidden="1" customWidth="1"/>
    <col min="1538" max="1538" width="2.125" style="987" hidden="1" customWidth="1"/>
    <col min="1539" max="1539" width="13.375" style="987" hidden="1" customWidth="1"/>
    <col min="1540" max="1540" width="5.375" style="987" hidden="1" customWidth="1"/>
    <col min="1541" max="1541" width="9.75" style="987" hidden="1" customWidth="1"/>
    <col min="1542" max="1542" width="6.25" style="987" hidden="1" customWidth="1"/>
    <col min="1543" max="1543" width="6.5" style="987" hidden="1" customWidth="1"/>
    <col min="1544" max="1544" width="12.875" style="987" hidden="1" customWidth="1"/>
    <col min="1545" max="1545" width="7.125" style="987" hidden="1" customWidth="1"/>
    <col min="1546" max="1546" width="12.125" style="987" hidden="1" customWidth="1"/>
    <col min="1547" max="1547" width="11.875" style="987" hidden="1" customWidth="1"/>
    <col min="1548" max="1548" width="10.75" style="987" hidden="1" customWidth="1"/>
    <col min="1549" max="1549" width="11.875" style="987" hidden="1" customWidth="1"/>
    <col min="1550" max="1551" width="11.375" style="987" hidden="1" customWidth="1"/>
    <col min="1552" max="1552" width="0.75" style="987" hidden="1" customWidth="1"/>
    <col min="1553" max="1553" width="3.875" style="987" hidden="1" customWidth="1"/>
    <col min="1554" max="1568" width="9" style="987" hidden="1" customWidth="1"/>
    <col min="1569" max="1792" width="9" style="987" hidden="1"/>
    <col min="1793" max="1793" width="0.75" style="987" hidden="1" customWidth="1"/>
    <col min="1794" max="1794" width="2.125" style="987" hidden="1" customWidth="1"/>
    <col min="1795" max="1795" width="13.375" style="987" hidden="1" customWidth="1"/>
    <col min="1796" max="1796" width="5.375" style="987" hidden="1" customWidth="1"/>
    <col min="1797" max="1797" width="9.75" style="987" hidden="1" customWidth="1"/>
    <col min="1798" max="1798" width="6.25" style="987" hidden="1" customWidth="1"/>
    <col min="1799" max="1799" width="6.5" style="987" hidden="1" customWidth="1"/>
    <col min="1800" max="1800" width="12.875" style="987" hidden="1" customWidth="1"/>
    <col min="1801" max="1801" width="7.125" style="987" hidden="1" customWidth="1"/>
    <col min="1802" max="1802" width="12.125" style="987" hidden="1" customWidth="1"/>
    <col min="1803" max="1803" width="11.875" style="987" hidden="1" customWidth="1"/>
    <col min="1804" max="1804" width="10.75" style="987" hidden="1" customWidth="1"/>
    <col min="1805" max="1805" width="11.875" style="987" hidden="1" customWidth="1"/>
    <col min="1806" max="1807" width="11.375" style="987" hidden="1" customWidth="1"/>
    <col min="1808" max="1808" width="0.75" style="987" hidden="1" customWidth="1"/>
    <col min="1809" max="1809" width="3.875" style="987" hidden="1" customWidth="1"/>
    <col min="1810" max="1824" width="9" style="987" hidden="1" customWidth="1"/>
    <col min="1825" max="2048" width="9" style="987" hidden="1"/>
    <col min="2049" max="2049" width="0.75" style="987" hidden="1" customWidth="1"/>
    <col min="2050" max="2050" width="2.125" style="987" hidden="1" customWidth="1"/>
    <col min="2051" max="2051" width="13.375" style="987" hidden="1" customWidth="1"/>
    <col min="2052" max="2052" width="5.375" style="987" hidden="1" customWidth="1"/>
    <col min="2053" max="2053" width="9.75" style="987" hidden="1" customWidth="1"/>
    <col min="2054" max="2054" width="6.25" style="987" hidden="1" customWidth="1"/>
    <col min="2055" max="2055" width="6.5" style="987" hidden="1" customWidth="1"/>
    <col min="2056" max="2056" width="12.875" style="987" hidden="1" customWidth="1"/>
    <col min="2057" max="2057" width="7.125" style="987" hidden="1" customWidth="1"/>
    <col min="2058" max="2058" width="12.125" style="987" hidden="1" customWidth="1"/>
    <col min="2059" max="2059" width="11.875" style="987" hidden="1" customWidth="1"/>
    <col min="2060" max="2060" width="10.75" style="987" hidden="1" customWidth="1"/>
    <col min="2061" max="2061" width="11.875" style="987" hidden="1" customWidth="1"/>
    <col min="2062" max="2063" width="11.375" style="987" hidden="1" customWidth="1"/>
    <col min="2064" max="2064" width="0.75" style="987" hidden="1" customWidth="1"/>
    <col min="2065" max="2065" width="3.875" style="987" hidden="1" customWidth="1"/>
    <col min="2066" max="2080" width="9" style="987" hidden="1" customWidth="1"/>
    <col min="2081" max="2304" width="9" style="987" hidden="1"/>
    <col min="2305" max="2305" width="0.75" style="987" hidden="1" customWidth="1"/>
    <col min="2306" max="2306" width="2.125" style="987" hidden="1" customWidth="1"/>
    <col min="2307" max="2307" width="13.375" style="987" hidden="1" customWidth="1"/>
    <col min="2308" max="2308" width="5.375" style="987" hidden="1" customWidth="1"/>
    <col min="2309" max="2309" width="9.75" style="987" hidden="1" customWidth="1"/>
    <col min="2310" max="2310" width="6.25" style="987" hidden="1" customWidth="1"/>
    <col min="2311" max="2311" width="6.5" style="987" hidden="1" customWidth="1"/>
    <col min="2312" max="2312" width="12.875" style="987" hidden="1" customWidth="1"/>
    <col min="2313" max="2313" width="7.125" style="987" hidden="1" customWidth="1"/>
    <col min="2314" max="2314" width="12.125" style="987" hidden="1" customWidth="1"/>
    <col min="2315" max="2315" width="11.875" style="987" hidden="1" customWidth="1"/>
    <col min="2316" max="2316" width="10.75" style="987" hidden="1" customWidth="1"/>
    <col min="2317" max="2317" width="11.875" style="987" hidden="1" customWidth="1"/>
    <col min="2318" max="2319" width="11.375" style="987" hidden="1" customWidth="1"/>
    <col min="2320" max="2320" width="0.75" style="987" hidden="1" customWidth="1"/>
    <col min="2321" max="2321" width="3.875" style="987" hidden="1" customWidth="1"/>
    <col min="2322" max="2336" width="9" style="987" hidden="1" customWidth="1"/>
    <col min="2337" max="2560" width="9" style="987" hidden="1"/>
    <col min="2561" max="2561" width="0.75" style="987" hidden="1" customWidth="1"/>
    <col min="2562" max="2562" width="2.125" style="987" hidden="1" customWidth="1"/>
    <col min="2563" max="2563" width="13.375" style="987" hidden="1" customWidth="1"/>
    <col min="2564" max="2564" width="5.375" style="987" hidden="1" customWidth="1"/>
    <col min="2565" max="2565" width="9.75" style="987" hidden="1" customWidth="1"/>
    <col min="2566" max="2566" width="6.25" style="987" hidden="1" customWidth="1"/>
    <col min="2567" max="2567" width="6.5" style="987" hidden="1" customWidth="1"/>
    <col min="2568" max="2568" width="12.875" style="987" hidden="1" customWidth="1"/>
    <col min="2569" max="2569" width="7.125" style="987" hidden="1" customWidth="1"/>
    <col min="2570" max="2570" width="12.125" style="987" hidden="1" customWidth="1"/>
    <col min="2571" max="2571" width="11.875" style="987" hidden="1" customWidth="1"/>
    <col min="2572" max="2572" width="10.75" style="987" hidden="1" customWidth="1"/>
    <col min="2573" max="2573" width="11.875" style="987" hidden="1" customWidth="1"/>
    <col min="2574" max="2575" width="11.375" style="987" hidden="1" customWidth="1"/>
    <col min="2576" max="2576" width="0.75" style="987" hidden="1" customWidth="1"/>
    <col min="2577" max="2577" width="3.875" style="987" hidden="1" customWidth="1"/>
    <col min="2578" max="2592" width="9" style="987" hidden="1" customWidth="1"/>
    <col min="2593" max="2816" width="9" style="987" hidden="1"/>
    <col min="2817" max="2817" width="0.75" style="987" hidden="1" customWidth="1"/>
    <col min="2818" max="2818" width="2.125" style="987" hidden="1" customWidth="1"/>
    <col min="2819" max="2819" width="13.375" style="987" hidden="1" customWidth="1"/>
    <col min="2820" max="2820" width="5.375" style="987" hidden="1" customWidth="1"/>
    <col min="2821" max="2821" width="9.75" style="987" hidden="1" customWidth="1"/>
    <col min="2822" max="2822" width="6.25" style="987" hidden="1" customWidth="1"/>
    <col min="2823" max="2823" width="6.5" style="987" hidden="1" customWidth="1"/>
    <col min="2824" max="2824" width="12.875" style="987" hidden="1" customWidth="1"/>
    <col min="2825" max="2825" width="7.125" style="987" hidden="1" customWidth="1"/>
    <col min="2826" max="2826" width="12.125" style="987" hidden="1" customWidth="1"/>
    <col min="2827" max="2827" width="11.875" style="987" hidden="1" customWidth="1"/>
    <col min="2828" max="2828" width="10.75" style="987" hidden="1" customWidth="1"/>
    <col min="2829" max="2829" width="11.875" style="987" hidden="1" customWidth="1"/>
    <col min="2830" max="2831" width="11.375" style="987" hidden="1" customWidth="1"/>
    <col min="2832" max="2832" width="0.75" style="987" hidden="1" customWidth="1"/>
    <col min="2833" max="2833" width="3.875" style="987" hidden="1" customWidth="1"/>
    <col min="2834" max="2848" width="9" style="987" hidden="1" customWidth="1"/>
    <col min="2849" max="3072" width="9" style="987" hidden="1"/>
    <col min="3073" max="3073" width="0.75" style="987" hidden="1" customWidth="1"/>
    <col min="3074" max="3074" width="2.125" style="987" hidden="1" customWidth="1"/>
    <col min="3075" max="3075" width="13.375" style="987" hidden="1" customWidth="1"/>
    <col min="3076" max="3076" width="5.375" style="987" hidden="1" customWidth="1"/>
    <col min="3077" max="3077" width="9.75" style="987" hidden="1" customWidth="1"/>
    <col min="3078" max="3078" width="6.25" style="987" hidden="1" customWidth="1"/>
    <col min="3079" max="3079" width="6.5" style="987" hidden="1" customWidth="1"/>
    <col min="3080" max="3080" width="12.875" style="987" hidden="1" customWidth="1"/>
    <col min="3081" max="3081" width="7.125" style="987" hidden="1" customWidth="1"/>
    <col min="3082" max="3082" width="12.125" style="987" hidden="1" customWidth="1"/>
    <col min="3083" max="3083" width="11.875" style="987" hidden="1" customWidth="1"/>
    <col min="3084" max="3084" width="10.75" style="987" hidden="1" customWidth="1"/>
    <col min="3085" max="3085" width="11.875" style="987" hidden="1" customWidth="1"/>
    <col min="3086" max="3087" width="11.375" style="987" hidden="1" customWidth="1"/>
    <col min="3088" max="3088" width="0.75" style="987" hidden="1" customWidth="1"/>
    <col min="3089" max="3089" width="3.875" style="987" hidden="1" customWidth="1"/>
    <col min="3090" max="3104" width="9" style="987" hidden="1" customWidth="1"/>
    <col min="3105" max="3328" width="9" style="987" hidden="1"/>
    <col min="3329" max="3329" width="0.75" style="987" hidden="1" customWidth="1"/>
    <col min="3330" max="3330" width="2.125" style="987" hidden="1" customWidth="1"/>
    <col min="3331" max="3331" width="13.375" style="987" hidden="1" customWidth="1"/>
    <col min="3332" max="3332" width="5.375" style="987" hidden="1" customWidth="1"/>
    <col min="3333" max="3333" width="9.75" style="987" hidden="1" customWidth="1"/>
    <col min="3334" max="3334" width="6.25" style="987" hidden="1" customWidth="1"/>
    <col min="3335" max="3335" width="6.5" style="987" hidden="1" customWidth="1"/>
    <col min="3336" max="3336" width="12.875" style="987" hidden="1" customWidth="1"/>
    <col min="3337" max="3337" width="7.125" style="987" hidden="1" customWidth="1"/>
    <col min="3338" max="3338" width="12.125" style="987" hidden="1" customWidth="1"/>
    <col min="3339" max="3339" width="11.875" style="987" hidden="1" customWidth="1"/>
    <col min="3340" max="3340" width="10.75" style="987" hidden="1" customWidth="1"/>
    <col min="3341" max="3341" width="11.875" style="987" hidden="1" customWidth="1"/>
    <col min="3342" max="3343" width="11.375" style="987" hidden="1" customWidth="1"/>
    <col min="3344" max="3344" width="0.75" style="987" hidden="1" customWidth="1"/>
    <col min="3345" max="3345" width="3.875" style="987" hidden="1" customWidth="1"/>
    <col min="3346" max="3360" width="9" style="987" hidden="1" customWidth="1"/>
    <col min="3361" max="3584" width="9" style="987" hidden="1"/>
    <col min="3585" max="3585" width="0.75" style="987" hidden="1" customWidth="1"/>
    <col min="3586" max="3586" width="2.125" style="987" hidden="1" customWidth="1"/>
    <col min="3587" max="3587" width="13.375" style="987" hidden="1" customWidth="1"/>
    <col min="3588" max="3588" width="5.375" style="987" hidden="1" customWidth="1"/>
    <col min="3589" max="3589" width="9.75" style="987" hidden="1" customWidth="1"/>
    <col min="3590" max="3590" width="6.25" style="987" hidden="1" customWidth="1"/>
    <col min="3591" max="3591" width="6.5" style="987" hidden="1" customWidth="1"/>
    <col min="3592" max="3592" width="12.875" style="987" hidden="1" customWidth="1"/>
    <col min="3593" max="3593" width="7.125" style="987" hidden="1" customWidth="1"/>
    <col min="3594" max="3594" width="12.125" style="987" hidden="1" customWidth="1"/>
    <col min="3595" max="3595" width="11.875" style="987" hidden="1" customWidth="1"/>
    <col min="3596" max="3596" width="10.75" style="987" hidden="1" customWidth="1"/>
    <col min="3597" max="3597" width="11.875" style="987" hidden="1" customWidth="1"/>
    <col min="3598" max="3599" width="11.375" style="987" hidden="1" customWidth="1"/>
    <col min="3600" max="3600" width="0.75" style="987" hidden="1" customWidth="1"/>
    <col min="3601" max="3601" width="3.875" style="987" hidden="1" customWidth="1"/>
    <col min="3602" max="3616" width="9" style="987" hidden="1" customWidth="1"/>
    <col min="3617" max="3840" width="9" style="987" hidden="1"/>
    <col min="3841" max="3841" width="0.75" style="987" hidden="1" customWidth="1"/>
    <col min="3842" max="3842" width="2.125" style="987" hidden="1" customWidth="1"/>
    <col min="3843" max="3843" width="13.375" style="987" hidden="1" customWidth="1"/>
    <col min="3844" max="3844" width="5.375" style="987" hidden="1" customWidth="1"/>
    <col min="3845" max="3845" width="9.75" style="987" hidden="1" customWidth="1"/>
    <col min="3846" max="3846" width="6.25" style="987" hidden="1" customWidth="1"/>
    <col min="3847" max="3847" width="6.5" style="987" hidden="1" customWidth="1"/>
    <col min="3848" max="3848" width="12.875" style="987" hidden="1" customWidth="1"/>
    <col min="3849" max="3849" width="7.125" style="987" hidden="1" customWidth="1"/>
    <col min="3850" max="3850" width="12.125" style="987" hidden="1" customWidth="1"/>
    <col min="3851" max="3851" width="11.875" style="987" hidden="1" customWidth="1"/>
    <col min="3852" max="3852" width="10.75" style="987" hidden="1" customWidth="1"/>
    <col min="3853" max="3853" width="11.875" style="987" hidden="1" customWidth="1"/>
    <col min="3854" max="3855" width="11.375" style="987" hidden="1" customWidth="1"/>
    <col min="3856" max="3856" width="0.75" style="987" hidden="1" customWidth="1"/>
    <col min="3857" max="3857" width="3.875" style="987" hidden="1" customWidth="1"/>
    <col min="3858" max="3872" width="9" style="987" hidden="1" customWidth="1"/>
    <col min="3873" max="4096" width="9" style="987" hidden="1"/>
    <col min="4097" max="4097" width="0.75" style="987" hidden="1" customWidth="1"/>
    <col min="4098" max="4098" width="2.125" style="987" hidden="1" customWidth="1"/>
    <col min="4099" max="4099" width="13.375" style="987" hidden="1" customWidth="1"/>
    <col min="4100" max="4100" width="5.375" style="987" hidden="1" customWidth="1"/>
    <col min="4101" max="4101" width="9.75" style="987" hidden="1" customWidth="1"/>
    <col min="4102" max="4102" width="6.25" style="987" hidden="1" customWidth="1"/>
    <col min="4103" max="4103" width="6.5" style="987" hidden="1" customWidth="1"/>
    <col min="4104" max="4104" width="12.875" style="987" hidden="1" customWidth="1"/>
    <col min="4105" max="4105" width="7.125" style="987" hidden="1" customWidth="1"/>
    <col min="4106" max="4106" width="12.125" style="987" hidden="1" customWidth="1"/>
    <col min="4107" max="4107" width="11.875" style="987" hidden="1" customWidth="1"/>
    <col min="4108" max="4108" width="10.75" style="987" hidden="1" customWidth="1"/>
    <col min="4109" max="4109" width="11.875" style="987" hidden="1" customWidth="1"/>
    <col min="4110" max="4111" width="11.375" style="987" hidden="1" customWidth="1"/>
    <col min="4112" max="4112" width="0.75" style="987" hidden="1" customWidth="1"/>
    <col min="4113" max="4113" width="3.875" style="987" hidden="1" customWidth="1"/>
    <col min="4114" max="4128" width="9" style="987" hidden="1" customWidth="1"/>
    <col min="4129" max="4352" width="9" style="987" hidden="1"/>
    <col min="4353" max="4353" width="0.75" style="987" hidden="1" customWidth="1"/>
    <col min="4354" max="4354" width="2.125" style="987" hidden="1" customWidth="1"/>
    <col min="4355" max="4355" width="13.375" style="987" hidden="1" customWidth="1"/>
    <col min="4356" max="4356" width="5.375" style="987" hidden="1" customWidth="1"/>
    <col min="4357" max="4357" width="9.75" style="987" hidden="1" customWidth="1"/>
    <col min="4358" max="4358" width="6.25" style="987" hidden="1" customWidth="1"/>
    <col min="4359" max="4359" width="6.5" style="987" hidden="1" customWidth="1"/>
    <col min="4360" max="4360" width="12.875" style="987" hidden="1" customWidth="1"/>
    <col min="4361" max="4361" width="7.125" style="987" hidden="1" customWidth="1"/>
    <col min="4362" max="4362" width="12.125" style="987" hidden="1" customWidth="1"/>
    <col min="4363" max="4363" width="11.875" style="987" hidden="1" customWidth="1"/>
    <col min="4364" max="4364" width="10.75" style="987" hidden="1" customWidth="1"/>
    <col min="4365" max="4365" width="11.875" style="987" hidden="1" customWidth="1"/>
    <col min="4366" max="4367" width="11.375" style="987" hidden="1" customWidth="1"/>
    <col min="4368" max="4368" width="0.75" style="987" hidden="1" customWidth="1"/>
    <col min="4369" max="4369" width="3.875" style="987" hidden="1" customWidth="1"/>
    <col min="4370" max="4384" width="9" style="987" hidden="1" customWidth="1"/>
    <col min="4385" max="4608" width="9" style="987" hidden="1"/>
    <col min="4609" max="4609" width="0.75" style="987" hidden="1" customWidth="1"/>
    <col min="4610" max="4610" width="2.125" style="987" hidden="1" customWidth="1"/>
    <col min="4611" max="4611" width="13.375" style="987" hidden="1" customWidth="1"/>
    <col min="4612" max="4612" width="5.375" style="987" hidden="1" customWidth="1"/>
    <col min="4613" max="4613" width="9.75" style="987" hidden="1" customWidth="1"/>
    <col min="4614" max="4614" width="6.25" style="987" hidden="1" customWidth="1"/>
    <col min="4615" max="4615" width="6.5" style="987" hidden="1" customWidth="1"/>
    <col min="4616" max="4616" width="12.875" style="987" hidden="1" customWidth="1"/>
    <col min="4617" max="4617" width="7.125" style="987" hidden="1" customWidth="1"/>
    <col min="4618" max="4618" width="12.125" style="987" hidden="1" customWidth="1"/>
    <col min="4619" max="4619" width="11.875" style="987" hidden="1" customWidth="1"/>
    <col min="4620" max="4620" width="10.75" style="987" hidden="1" customWidth="1"/>
    <col min="4621" max="4621" width="11.875" style="987" hidden="1" customWidth="1"/>
    <col min="4622" max="4623" width="11.375" style="987" hidden="1" customWidth="1"/>
    <col min="4624" max="4624" width="0.75" style="987" hidden="1" customWidth="1"/>
    <col min="4625" max="4625" width="3.875" style="987" hidden="1" customWidth="1"/>
    <col min="4626" max="4640" width="9" style="987" hidden="1" customWidth="1"/>
    <col min="4641" max="4864" width="9" style="987" hidden="1"/>
    <col min="4865" max="4865" width="0.75" style="987" hidden="1" customWidth="1"/>
    <col min="4866" max="4866" width="2.125" style="987" hidden="1" customWidth="1"/>
    <col min="4867" max="4867" width="13.375" style="987" hidden="1" customWidth="1"/>
    <col min="4868" max="4868" width="5.375" style="987" hidden="1" customWidth="1"/>
    <col min="4869" max="4869" width="9.75" style="987" hidden="1" customWidth="1"/>
    <col min="4870" max="4870" width="6.25" style="987" hidden="1" customWidth="1"/>
    <col min="4871" max="4871" width="6.5" style="987" hidden="1" customWidth="1"/>
    <col min="4872" max="4872" width="12.875" style="987" hidden="1" customWidth="1"/>
    <col min="4873" max="4873" width="7.125" style="987" hidden="1" customWidth="1"/>
    <col min="4874" max="4874" width="12.125" style="987" hidden="1" customWidth="1"/>
    <col min="4875" max="4875" width="11.875" style="987" hidden="1" customWidth="1"/>
    <col min="4876" max="4876" width="10.75" style="987" hidden="1" customWidth="1"/>
    <col min="4877" max="4877" width="11.875" style="987" hidden="1" customWidth="1"/>
    <col min="4878" max="4879" width="11.375" style="987" hidden="1" customWidth="1"/>
    <col min="4880" max="4880" width="0.75" style="987" hidden="1" customWidth="1"/>
    <col min="4881" max="4881" width="3.875" style="987" hidden="1" customWidth="1"/>
    <col min="4882" max="4896" width="9" style="987" hidden="1" customWidth="1"/>
    <col min="4897" max="5120" width="9" style="987" hidden="1"/>
    <col min="5121" max="5121" width="0.75" style="987" hidden="1" customWidth="1"/>
    <col min="5122" max="5122" width="2.125" style="987" hidden="1" customWidth="1"/>
    <col min="5123" max="5123" width="13.375" style="987" hidden="1" customWidth="1"/>
    <col min="5124" max="5124" width="5.375" style="987" hidden="1" customWidth="1"/>
    <col min="5125" max="5125" width="9.75" style="987" hidden="1" customWidth="1"/>
    <col min="5126" max="5126" width="6.25" style="987" hidden="1" customWidth="1"/>
    <col min="5127" max="5127" width="6.5" style="987" hidden="1" customWidth="1"/>
    <col min="5128" max="5128" width="12.875" style="987" hidden="1" customWidth="1"/>
    <col min="5129" max="5129" width="7.125" style="987" hidden="1" customWidth="1"/>
    <col min="5130" max="5130" width="12.125" style="987" hidden="1" customWidth="1"/>
    <col min="5131" max="5131" width="11.875" style="987" hidden="1" customWidth="1"/>
    <col min="5132" max="5132" width="10.75" style="987" hidden="1" customWidth="1"/>
    <col min="5133" max="5133" width="11.875" style="987" hidden="1" customWidth="1"/>
    <col min="5134" max="5135" width="11.375" style="987" hidden="1" customWidth="1"/>
    <col min="5136" max="5136" width="0.75" style="987" hidden="1" customWidth="1"/>
    <col min="5137" max="5137" width="3.875" style="987" hidden="1" customWidth="1"/>
    <col min="5138" max="5152" width="9" style="987" hidden="1" customWidth="1"/>
    <col min="5153" max="5376" width="9" style="987" hidden="1"/>
    <col min="5377" max="5377" width="0.75" style="987" hidden="1" customWidth="1"/>
    <col min="5378" max="5378" width="2.125" style="987" hidden="1" customWidth="1"/>
    <col min="5379" max="5379" width="13.375" style="987" hidden="1" customWidth="1"/>
    <col min="5380" max="5380" width="5.375" style="987" hidden="1" customWidth="1"/>
    <col min="5381" max="5381" width="9.75" style="987" hidden="1" customWidth="1"/>
    <col min="5382" max="5382" width="6.25" style="987" hidden="1" customWidth="1"/>
    <col min="5383" max="5383" width="6.5" style="987" hidden="1" customWidth="1"/>
    <col min="5384" max="5384" width="12.875" style="987" hidden="1" customWidth="1"/>
    <col min="5385" max="5385" width="7.125" style="987" hidden="1" customWidth="1"/>
    <col min="5386" max="5386" width="12.125" style="987" hidden="1" customWidth="1"/>
    <col min="5387" max="5387" width="11.875" style="987" hidden="1" customWidth="1"/>
    <col min="5388" max="5388" width="10.75" style="987" hidden="1" customWidth="1"/>
    <col min="5389" max="5389" width="11.875" style="987" hidden="1" customWidth="1"/>
    <col min="5390" max="5391" width="11.375" style="987" hidden="1" customWidth="1"/>
    <col min="5392" max="5392" width="0.75" style="987" hidden="1" customWidth="1"/>
    <col min="5393" max="5393" width="3.875" style="987" hidden="1" customWidth="1"/>
    <col min="5394" max="5408" width="9" style="987" hidden="1" customWidth="1"/>
    <col min="5409" max="5632" width="9" style="987" hidden="1"/>
    <col min="5633" max="5633" width="0.75" style="987" hidden="1" customWidth="1"/>
    <col min="5634" max="5634" width="2.125" style="987" hidden="1" customWidth="1"/>
    <col min="5635" max="5635" width="13.375" style="987" hidden="1" customWidth="1"/>
    <col min="5636" max="5636" width="5.375" style="987" hidden="1" customWidth="1"/>
    <col min="5637" max="5637" width="9.75" style="987" hidden="1" customWidth="1"/>
    <col min="5638" max="5638" width="6.25" style="987" hidden="1" customWidth="1"/>
    <col min="5639" max="5639" width="6.5" style="987" hidden="1" customWidth="1"/>
    <col min="5640" max="5640" width="12.875" style="987" hidden="1" customWidth="1"/>
    <col min="5641" max="5641" width="7.125" style="987" hidden="1" customWidth="1"/>
    <col min="5642" max="5642" width="12.125" style="987" hidden="1" customWidth="1"/>
    <col min="5643" max="5643" width="11.875" style="987" hidden="1" customWidth="1"/>
    <col min="5644" max="5644" width="10.75" style="987" hidden="1" customWidth="1"/>
    <col min="5645" max="5645" width="11.875" style="987" hidden="1" customWidth="1"/>
    <col min="5646" max="5647" width="11.375" style="987" hidden="1" customWidth="1"/>
    <col min="5648" max="5648" width="0.75" style="987" hidden="1" customWidth="1"/>
    <col min="5649" max="5649" width="3.875" style="987" hidden="1" customWidth="1"/>
    <col min="5650" max="5664" width="9" style="987" hidden="1" customWidth="1"/>
    <col min="5665" max="5888" width="9" style="987" hidden="1"/>
    <col min="5889" max="5889" width="0.75" style="987" hidden="1" customWidth="1"/>
    <col min="5890" max="5890" width="2.125" style="987" hidden="1" customWidth="1"/>
    <col min="5891" max="5891" width="13.375" style="987" hidden="1" customWidth="1"/>
    <col min="5892" max="5892" width="5.375" style="987" hidden="1" customWidth="1"/>
    <col min="5893" max="5893" width="9.75" style="987" hidden="1" customWidth="1"/>
    <col min="5894" max="5894" width="6.25" style="987" hidden="1" customWidth="1"/>
    <col min="5895" max="5895" width="6.5" style="987" hidden="1" customWidth="1"/>
    <col min="5896" max="5896" width="12.875" style="987" hidden="1" customWidth="1"/>
    <col min="5897" max="5897" width="7.125" style="987" hidden="1" customWidth="1"/>
    <col min="5898" max="5898" width="12.125" style="987" hidden="1" customWidth="1"/>
    <col min="5899" max="5899" width="11.875" style="987" hidden="1" customWidth="1"/>
    <col min="5900" max="5900" width="10.75" style="987" hidden="1" customWidth="1"/>
    <col min="5901" max="5901" width="11.875" style="987" hidden="1" customWidth="1"/>
    <col min="5902" max="5903" width="11.375" style="987" hidden="1" customWidth="1"/>
    <col min="5904" max="5904" width="0.75" style="987" hidden="1" customWidth="1"/>
    <col min="5905" max="5905" width="3.875" style="987" hidden="1" customWidth="1"/>
    <col min="5906" max="5920" width="9" style="987" hidden="1" customWidth="1"/>
    <col min="5921" max="6144" width="9" style="987" hidden="1"/>
    <col min="6145" max="6145" width="0.75" style="987" hidden="1" customWidth="1"/>
    <col min="6146" max="6146" width="2.125" style="987" hidden="1" customWidth="1"/>
    <col min="6147" max="6147" width="13.375" style="987" hidden="1" customWidth="1"/>
    <col min="6148" max="6148" width="5.375" style="987" hidden="1" customWidth="1"/>
    <col min="6149" max="6149" width="9.75" style="987" hidden="1" customWidth="1"/>
    <col min="6150" max="6150" width="6.25" style="987" hidden="1" customWidth="1"/>
    <col min="6151" max="6151" width="6.5" style="987" hidden="1" customWidth="1"/>
    <col min="6152" max="6152" width="12.875" style="987" hidden="1" customWidth="1"/>
    <col min="6153" max="6153" width="7.125" style="987" hidden="1" customWidth="1"/>
    <col min="6154" max="6154" width="12.125" style="987" hidden="1" customWidth="1"/>
    <col min="6155" max="6155" width="11.875" style="987" hidden="1" customWidth="1"/>
    <col min="6156" max="6156" width="10.75" style="987" hidden="1" customWidth="1"/>
    <col min="6157" max="6157" width="11.875" style="987" hidden="1" customWidth="1"/>
    <col min="6158" max="6159" width="11.375" style="987" hidden="1" customWidth="1"/>
    <col min="6160" max="6160" width="0.75" style="987" hidden="1" customWidth="1"/>
    <col min="6161" max="6161" width="3.875" style="987" hidden="1" customWidth="1"/>
    <col min="6162" max="6176" width="9" style="987" hidden="1" customWidth="1"/>
    <col min="6177" max="6400" width="9" style="987" hidden="1"/>
    <col min="6401" max="6401" width="0.75" style="987" hidden="1" customWidth="1"/>
    <col min="6402" max="6402" width="2.125" style="987" hidden="1" customWidth="1"/>
    <col min="6403" max="6403" width="13.375" style="987" hidden="1" customWidth="1"/>
    <col min="6404" max="6404" width="5.375" style="987" hidden="1" customWidth="1"/>
    <col min="6405" max="6405" width="9.75" style="987" hidden="1" customWidth="1"/>
    <col min="6406" max="6406" width="6.25" style="987" hidden="1" customWidth="1"/>
    <col min="6407" max="6407" width="6.5" style="987" hidden="1" customWidth="1"/>
    <col min="6408" max="6408" width="12.875" style="987" hidden="1" customWidth="1"/>
    <col min="6409" max="6409" width="7.125" style="987" hidden="1" customWidth="1"/>
    <col min="6410" max="6410" width="12.125" style="987" hidden="1" customWidth="1"/>
    <col min="6411" max="6411" width="11.875" style="987" hidden="1" customWidth="1"/>
    <col min="6412" max="6412" width="10.75" style="987" hidden="1" customWidth="1"/>
    <col min="6413" max="6413" width="11.875" style="987" hidden="1" customWidth="1"/>
    <col min="6414" max="6415" width="11.375" style="987" hidden="1" customWidth="1"/>
    <col min="6416" max="6416" width="0.75" style="987" hidden="1" customWidth="1"/>
    <col min="6417" max="6417" width="3.875" style="987" hidden="1" customWidth="1"/>
    <col min="6418" max="6432" width="9" style="987" hidden="1" customWidth="1"/>
    <col min="6433" max="6656" width="9" style="987" hidden="1"/>
    <col min="6657" max="6657" width="0.75" style="987" hidden="1" customWidth="1"/>
    <col min="6658" max="6658" width="2.125" style="987" hidden="1" customWidth="1"/>
    <col min="6659" max="6659" width="13.375" style="987" hidden="1" customWidth="1"/>
    <col min="6660" max="6660" width="5.375" style="987" hidden="1" customWidth="1"/>
    <col min="6661" max="6661" width="9.75" style="987" hidden="1" customWidth="1"/>
    <col min="6662" max="6662" width="6.25" style="987" hidden="1" customWidth="1"/>
    <col min="6663" max="6663" width="6.5" style="987" hidden="1" customWidth="1"/>
    <col min="6664" max="6664" width="12.875" style="987" hidden="1" customWidth="1"/>
    <col min="6665" max="6665" width="7.125" style="987" hidden="1" customWidth="1"/>
    <col min="6666" max="6666" width="12.125" style="987" hidden="1" customWidth="1"/>
    <col min="6667" max="6667" width="11.875" style="987" hidden="1" customWidth="1"/>
    <col min="6668" max="6668" width="10.75" style="987" hidden="1" customWidth="1"/>
    <col min="6669" max="6669" width="11.875" style="987" hidden="1" customWidth="1"/>
    <col min="6670" max="6671" width="11.375" style="987" hidden="1" customWidth="1"/>
    <col min="6672" max="6672" width="0.75" style="987" hidden="1" customWidth="1"/>
    <col min="6673" max="6673" width="3.875" style="987" hidden="1" customWidth="1"/>
    <col min="6674" max="6688" width="9" style="987" hidden="1" customWidth="1"/>
    <col min="6689" max="6912" width="9" style="987" hidden="1"/>
    <col min="6913" max="6913" width="0.75" style="987" hidden="1" customWidth="1"/>
    <col min="6914" max="6914" width="2.125" style="987" hidden="1" customWidth="1"/>
    <col min="6915" max="6915" width="13.375" style="987" hidden="1" customWidth="1"/>
    <col min="6916" max="6916" width="5.375" style="987" hidden="1" customWidth="1"/>
    <col min="6917" max="6917" width="9.75" style="987" hidden="1" customWidth="1"/>
    <col min="6918" max="6918" width="6.25" style="987" hidden="1" customWidth="1"/>
    <col min="6919" max="6919" width="6.5" style="987" hidden="1" customWidth="1"/>
    <col min="6920" max="6920" width="12.875" style="987" hidden="1" customWidth="1"/>
    <col min="6921" max="6921" width="7.125" style="987" hidden="1" customWidth="1"/>
    <col min="6922" max="6922" width="12.125" style="987" hidden="1" customWidth="1"/>
    <col min="6923" max="6923" width="11.875" style="987" hidden="1" customWidth="1"/>
    <col min="6924" max="6924" width="10.75" style="987" hidden="1" customWidth="1"/>
    <col min="6925" max="6925" width="11.875" style="987" hidden="1" customWidth="1"/>
    <col min="6926" max="6927" width="11.375" style="987" hidden="1" customWidth="1"/>
    <col min="6928" max="6928" width="0.75" style="987" hidden="1" customWidth="1"/>
    <col min="6929" max="6929" width="3.875" style="987" hidden="1" customWidth="1"/>
    <col min="6930" max="6944" width="9" style="987" hidden="1" customWidth="1"/>
    <col min="6945" max="7168" width="9" style="987" hidden="1"/>
    <col min="7169" max="7169" width="0.75" style="987" hidden="1" customWidth="1"/>
    <col min="7170" max="7170" width="2.125" style="987" hidden="1" customWidth="1"/>
    <col min="7171" max="7171" width="13.375" style="987" hidden="1" customWidth="1"/>
    <col min="7172" max="7172" width="5.375" style="987" hidden="1" customWidth="1"/>
    <col min="7173" max="7173" width="9.75" style="987" hidden="1" customWidth="1"/>
    <col min="7174" max="7174" width="6.25" style="987" hidden="1" customWidth="1"/>
    <col min="7175" max="7175" width="6.5" style="987" hidden="1" customWidth="1"/>
    <col min="7176" max="7176" width="12.875" style="987" hidden="1" customWidth="1"/>
    <col min="7177" max="7177" width="7.125" style="987" hidden="1" customWidth="1"/>
    <col min="7178" max="7178" width="12.125" style="987" hidden="1" customWidth="1"/>
    <col min="7179" max="7179" width="11.875" style="987" hidden="1" customWidth="1"/>
    <col min="7180" max="7180" width="10.75" style="987" hidden="1" customWidth="1"/>
    <col min="7181" max="7181" width="11.875" style="987" hidden="1" customWidth="1"/>
    <col min="7182" max="7183" width="11.375" style="987" hidden="1" customWidth="1"/>
    <col min="7184" max="7184" width="0.75" style="987" hidden="1" customWidth="1"/>
    <col min="7185" max="7185" width="3.875" style="987" hidden="1" customWidth="1"/>
    <col min="7186" max="7200" width="9" style="987" hidden="1" customWidth="1"/>
    <col min="7201" max="7424" width="9" style="987" hidden="1"/>
    <col min="7425" max="7425" width="0.75" style="987" hidden="1" customWidth="1"/>
    <col min="7426" max="7426" width="2.125" style="987" hidden="1" customWidth="1"/>
    <col min="7427" max="7427" width="13.375" style="987" hidden="1" customWidth="1"/>
    <col min="7428" max="7428" width="5.375" style="987" hidden="1" customWidth="1"/>
    <col min="7429" max="7429" width="9.75" style="987" hidden="1" customWidth="1"/>
    <col min="7430" max="7430" width="6.25" style="987" hidden="1" customWidth="1"/>
    <col min="7431" max="7431" width="6.5" style="987" hidden="1" customWidth="1"/>
    <col min="7432" max="7432" width="12.875" style="987" hidden="1" customWidth="1"/>
    <col min="7433" max="7433" width="7.125" style="987" hidden="1" customWidth="1"/>
    <col min="7434" max="7434" width="12.125" style="987" hidden="1" customWidth="1"/>
    <col min="7435" max="7435" width="11.875" style="987" hidden="1" customWidth="1"/>
    <col min="7436" max="7436" width="10.75" style="987" hidden="1" customWidth="1"/>
    <col min="7437" max="7437" width="11.875" style="987" hidden="1" customWidth="1"/>
    <col min="7438" max="7439" width="11.375" style="987" hidden="1" customWidth="1"/>
    <col min="7440" max="7440" width="0.75" style="987" hidden="1" customWidth="1"/>
    <col min="7441" max="7441" width="3.875" style="987" hidden="1" customWidth="1"/>
    <col min="7442" max="7456" width="9" style="987" hidden="1" customWidth="1"/>
    <col min="7457" max="7680" width="9" style="987" hidden="1"/>
    <col min="7681" max="7681" width="0.75" style="987" hidden="1" customWidth="1"/>
    <col min="7682" max="7682" width="2.125" style="987" hidden="1" customWidth="1"/>
    <col min="7683" max="7683" width="13.375" style="987" hidden="1" customWidth="1"/>
    <col min="7684" max="7684" width="5.375" style="987" hidden="1" customWidth="1"/>
    <col min="7685" max="7685" width="9.75" style="987" hidden="1" customWidth="1"/>
    <col min="7686" max="7686" width="6.25" style="987" hidden="1" customWidth="1"/>
    <col min="7687" max="7687" width="6.5" style="987" hidden="1" customWidth="1"/>
    <col min="7688" max="7688" width="12.875" style="987" hidden="1" customWidth="1"/>
    <col min="7689" max="7689" width="7.125" style="987" hidden="1" customWidth="1"/>
    <col min="7690" max="7690" width="12.125" style="987" hidden="1" customWidth="1"/>
    <col min="7691" max="7691" width="11.875" style="987" hidden="1" customWidth="1"/>
    <col min="7692" max="7692" width="10.75" style="987" hidden="1" customWidth="1"/>
    <col min="7693" max="7693" width="11.875" style="987" hidden="1" customWidth="1"/>
    <col min="7694" max="7695" width="11.375" style="987" hidden="1" customWidth="1"/>
    <col min="7696" max="7696" width="0.75" style="987" hidden="1" customWidth="1"/>
    <col min="7697" max="7697" width="3.875" style="987" hidden="1" customWidth="1"/>
    <col min="7698" max="7712" width="9" style="987" hidden="1" customWidth="1"/>
    <col min="7713" max="7936" width="9" style="987" hidden="1"/>
    <col min="7937" max="7937" width="0.75" style="987" hidden="1" customWidth="1"/>
    <col min="7938" max="7938" width="2.125" style="987" hidden="1" customWidth="1"/>
    <col min="7939" max="7939" width="13.375" style="987" hidden="1" customWidth="1"/>
    <col min="7940" max="7940" width="5.375" style="987" hidden="1" customWidth="1"/>
    <col min="7941" max="7941" width="9.75" style="987" hidden="1" customWidth="1"/>
    <col min="7942" max="7942" width="6.25" style="987" hidden="1" customWidth="1"/>
    <col min="7943" max="7943" width="6.5" style="987" hidden="1" customWidth="1"/>
    <col min="7944" max="7944" width="12.875" style="987" hidden="1" customWidth="1"/>
    <col min="7945" max="7945" width="7.125" style="987" hidden="1" customWidth="1"/>
    <col min="7946" max="7946" width="12.125" style="987" hidden="1" customWidth="1"/>
    <col min="7947" max="7947" width="11.875" style="987" hidden="1" customWidth="1"/>
    <col min="7948" max="7948" width="10.75" style="987" hidden="1" customWidth="1"/>
    <col min="7949" max="7949" width="11.875" style="987" hidden="1" customWidth="1"/>
    <col min="7950" max="7951" width="11.375" style="987" hidden="1" customWidth="1"/>
    <col min="7952" max="7952" width="0.75" style="987" hidden="1" customWidth="1"/>
    <col min="7953" max="7953" width="3.875" style="987" hidden="1" customWidth="1"/>
    <col min="7954" max="7968" width="9" style="987" hidden="1" customWidth="1"/>
    <col min="7969" max="8192" width="9" style="987" hidden="1"/>
    <col min="8193" max="8193" width="0.75" style="987" hidden="1" customWidth="1"/>
    <col min="8194" max="8194" width="2.125" style="987" hidden="1" customWidth="1"/>
    <col min="8195" max="8195" width="13.375" style="987" hidden="1" customWidth="1"/>
    <col min="8196" max="8196" width="5.375" style="987" hidden="1" customWidth="1"/>
    <col min="8197" max="8197" width="9.75" style="987" hidden="1" customWidth="1"/>
    <col min="8198" max="8198" width="6.25" style="987" hidden="1" customWidth="1"/>
    <col min="8199" max="8199" width="6.5" style="987" hidden="1" customWidth="1"/>
    <col min="8200" max="8200" width="12.875" style="987" hidden="1" customWidth="1"/>
    <col min="8201" max="8201" width="7.125" style="987" hidden="1" customWidth="1"/>
    <col min="8202" max="8202" width="12.125" style="987" hidden="1" customWidth="1"/>
    <col min="8203" max="8203" width="11.875" style="987" hidden="1" customWidth="1"/>
    <col min="8204" max="8204" width="10.75" style="987" hidden="1" customWidth="1"/>
    <col min="8205" max="8205" width="11.875" style="987" hidden="1" customWidth="1"/>
    <col min="8206" max="8207" width="11.375" style="987" hidden="1" customWidth="1"/>
    <col min="8208" max="8208" width="0.75" style="987" hidden="1" customWidth="1"/>
    <col min="8209" max="8209" width="3.875" style="987" hidden="1" customWidth="1"/>
    <col min="8210" max="8224" width="9" style="987" hidden="1" customWidth="1"/>
    <col min="8225" max="8448" width="9" style="987" hidden="1"/>
    <col min="8449" max="8449" width="0.75" style="987" hidden="1" customWidth="1"/>
    <col min="8450" max="8450" width="2.125" style="987" hidden="1" customWidth="1"/>
    <col min="8451" max="8451" width="13.375" style="987" hidden="1" customWidth="1"/>
    <col min="8452" max="8452" width="5.375" style="987" hidden="1" customWidth="1"/>
    <col min="8453" max="8453" width="9.75" style="987" hidden="1" customWidth="1"/>
    <col min="8454" max="8454" width="6.25" style="987" hidden="1" customWidth="1"/>
    <col min="8455" max="8455" width="6.5" style="987" hidden="1" customWidth="1"/>
    <col min="8456" max="8456" width="12.875" style="987" hidden="1" customWidth="1"/>
    <col min="8457" max="8457" width="7.125" style="987" hidden="1" customWidth="1"/>
    <col min="8458" max="8458" width="12.125" style="987" hidden="1" customWidth="1"/>
    <col min="8459" max="8459" width="11.875" style="987" hidden="1" customWidth="1"/>
    <col min="8460" max="8460" width="10.75" style="987" hidden="1" customWidth="1"/>
    <col min="8461" max="8461" width="11.875" style="987" hidden="1" customWidth="1"/>
    <col min="8462" max="8463" width="11.375" style="987" hidden="1" customWidth="1"/>
    <col min="8464" max="8464" width="0.75" style="987" hidden="1" customWidth="1"/>
    <col min="8465" max="8465" width="3.875" style="987" hidden="1" customWidth="1"/>
    <col min="8466" max="8480" width="9" style="987" hidden="1" customWidth="1"/>
    <col min="8481" max="8704" width="9" style="987" hidden="1"/>
    <col min="8705" max="8705" width="0.75" style="987" hidden="1" customWidth="1"/>
    <col min="8706" max="8706" width="2.125" style="987" hidden="1" customWidth="1"/>
    <col min="8707" max="8707" width="13.375" style="987" hidden="1" customWidth="1"/>
    <col min="8708" max="8708" width="5.375" style="987" hidden="1" customWidth="1"/>
    <col min="8709" max="8709" width="9.75" style="987" hidden="1" customWidth="1"/>
    <col min="8710" max="8710" width="6.25" style="987" hidden="1" customWidth="1"/>
    <col min="8711" max="8711" width="6.5" style="987" hidden="1" customWidth="1"/>
    <col min="8712" max="8712" width="12.875" style="987" hidden="1" customWidth="1"/>
    <col min="8713" max="8713" width="7.125" style="987" hidden="1" customWidth="1"/>
    <col min="8714" max="8714" width="12.125" style="987" hidden="1" customWidth="1"/>
    <col min="8715" max="8715" width="11.875" style="987" hidden="1" customWidth="1"/>
    <col min="8716" max="8716" width="10.75" style="987" hidden="1" customWidth="1"/>
    <col min="8717" max="8717" width="11.875" style="987" hidden="1" customWidth="1"/>
    <col min="8718" max="8719" width="11.375" style="987" hidden="1" customWidth="1"/>
    <col min="8720" max="8720" width="0.75" style="987" hidden="1" customWidth="1"/>
    <col min="8721" max="8721" width="3.875" style="987" hidden="1" customWidth="1"/>
    <col min="8722" max="8736" width="9" style="987" hidden="1" customWidth="1"/>
    <col min="8737" max="8960" width="9" style="987" hidden="1"/>
    <col min="8961" max="8961" width="0.75" style="987" hidden="1" customWidth="1"/>
    <col min="8962" max="8962" width="2.125" style="987" hidden="1" customWidth="1"/>
    <col min="8963" max="8963" width="13.375" style="987" hidden="1" customWidth="1"/>
    <col min="8964" max="8964" width="5.375" style="987" hidden="1" customWidth="1"/>
    <col min="8965" max="8965" width="9.75" style="987" hidden="1" customWidth="1"/>
    <col min="8966" max="8966" width="6.25" style="987" hidden="1" customWidth="1"/>
    <col min="8967" max="8967" width="6.5" style="987" hidden="1" customWidth="1"/>
    <col min="8968" max="8968" width="12.875" style="987" hidden="1" customWidth="1"/>
    <col min="8969" max="8969" width="7.125" style="987" hidden="1" customWidth="1"/>
    <col min="8970" max="8970" width="12.125" style="987" hidden="1" customWidth="1"/>
    <col min="8971" max="8971" width="11.875" style="987" hidden="1" customWidth="1"/>
    <col min="8972" max="8972" width="10.75" style="987" hidden="1" customWidth="1"/>
    <col min="8973" max="8973" width="11.875" style="987" hidden="1" customWidth="1"/>
    <col min="8974" max="8975" width="11.375" style="987" hidden="1" customWidth="1"/>
    <col min="8976" max="8976" width="0.75" style="987" hidden="1" customWidth="1"/>
    <col min="8977" max="8977" width="3.875" style="987" hidden="1" customWidth="1"/>
    <col min="8978" max="8992" width="9" style="987" hidden="1" customWidth="1"/>
    <col min="8993" max="9216" width="9" style="987" hidden="1"/>
    <col min="9217" max="9217" width="0.75" style="987" hidden="1" customWidth="1"/>
    <col min="9218" max="9218" width="2.125" style="987" hidden="1" customWidth="1"/>
    <col min="9219" max="9219" width="13.375" style="987" hidden="1" customWidth="1"/>
    <col min="9220" max="9220" width="5.375" style="987" hidden="1" customWidth="1"/>
    <col min="9221" max="9221" width="9.75" style="987" hidden="1" customWidth="1"/>
    <col min="9222" max="9222" width="6.25" style="987" hidden="1" customWidth="1"/>
    <col min="9223" max="9223" width="6.5" style="987" hidden="1" customWidth="1"/>
    <col min="9224" max="9224" width="12.875" style="987" hidden="1" customWidth="1"/>
    <col min="9225" max="9225" width="7.125" style="987" hidden="1" customWidth="1"/>
    <col min="9226" max="9226" width="12.125" style="987" hidden="1" customWidth="1"/>
    <col min="9227" max="9227" width="11.875" style="987" hidden="1" customWidth="1"/>
    <col min="9228" max="9228" width="10.75" style="987" hidden="1" customWidth="1"/>
    <col min="9229" max="9229" width="11.875" style="987" hidden="1" customWidth="1"/>
    <col min="9230" max="9231" width="11.375" style="987" hidden="1" customWidth="1"/>
    <col min="9232" max="9232" width="0.75" style="987" hidden="1" customWidth="1"/>
    <col min="9233" max="9233" width="3.875" style="987" hidden="1" customWidth="1"/>
    <col min="9234" max="9248" width="9" style="987" hidden="1" customWidth="1"/>
    <col min="9249" max="9472" width="9" style="987" hidden="1"/>
    <col min="9473" max="9473" width="0.75" style="987" hidden="1" customWidth="1"/>
    <col min="9474" max="9474" width="2.125" style="987" hidden="1" customWidth="1"/>
    <col min="9475" max="9475" width="13.375" style="987" hidden="1" customWidth="1"/>
    <col min="9476" max="9476" width="5.375" style="987" hidden="1" customWidth="1"/>
    <col min="9477" max="9477" width="9.75" style="987" hidden="1" customWidth="1"/>
    <col min="9478" max="9478" width="6.25" style="987" hidden="1" customWidth="1"/>
    <col min="9479" max="9479" width="6.5" style="987" hidden="1" customWidth="1"/>
    <col min="9480" max="9480" width="12.875" style="987" hidden="1" customWidth="1"/>
    <col min="9481" max="9481" width="7.125" style="987" hidden="1" customWidth="1"/>
    <col min="9482" max="9482" width="12.125" style="987" hidden="1" customWidth="1"/>
    <col min="9483" max="9483" width="11.875" style="987" hidden="1" customWidth="1"/>
    <col min="9484" max="9484" width="10.75" style="987" hidden="1" customWidth="1"/>
    <col min="9485" max="9485" width="11.875" style="987" hidden="1" customWidth="1"/>
    <col min="9486" max="9487" width="11.375" style="987" hidden="1" customWidth="1"/>
    <col min="9488" max="9488" width="0.75" style="987" hidden="1" customWidth="1"/>
    <col min="9489" max="9489" width="3.875" style="987" hidden="1" customWidth="1"/>
    <col min="9490" max="9504" width="9" style="987" hidden="1" customWidth="1"/>
    <col min="9505" max="9728" width="9" style="987" hidden="1"/>
    <col min="9729" max="9729" width="0.75" style="987" hidden="1" customWidth="1"/>
    <col min="9730" max="9730" width="2.125" style="987" hidden="1" customWidth="1"/>
    <col min="9731" max="9731" width="13.375" style="987" hidden="1" customWidth="1"/>
    <col min="9732" max="9732" width="5.375" style="987" hidden="1" customWidth="1"/>
    <col min="9733" max="9733" width="9.75" style="987" hidden="1" customWidth="1"/>
    <col min="9734" max="9734" width="6.25" style="987" hidden="1" customWidth="1"/>
    <col min="9735" max="9735" width="6.5" style="987" hidden="1" customWidth="1"/>
    <col min="9736" max="9736" width="12.875" style="987" hidden="1" customWidth="1"/>
    <col min="9737" max="9737" width="7.125" style="987" hidden="1" customWidth="1"/>
    <col min="9738" max="9738" width="12.125" style="987" hidden="1" customWidth="1"/>
    <col min="9739" max="9739" width="11.875" style="987" hidden="1" customWidth="1"/>
    <col min="9740" max="9740" width="10.75" style="987" hidden="1" customWidth="1"/>
    <col min="9741" max="9741" width="11.875" style="987" hidden="1" customWidth="1"/>
    <col min="9742" max="9743" width="11.375" style="987" hidden="1" customWidth="1"/>
    <col min="9744" max="9744" width="0.75" style="987" hidden="1" customWidth="1"/>
    <col min="9745" max="9745" width="3.875" style="987" hidden="1" customWidth="1"/>
    <col min="9746" max="9760" width="9" style="987" hidden="1" customWidth="1"/>
    <col min="9761" max="9984" width="9" style="987" hidden="1"/>
    <col min="9985" max="9985" width="0.75" style="987" hidden="1" customWidth="1"/>
    <col min="9986" max="9986" width="2.125" style="987" hidden="1" customWidth="1"/>
    <col min="9987" max="9987" width="13.375" style="987" hidden="1" customWidth="1"/>
    <col min="9988" max="9988" width="5.375" style="987" hidden="1" customWidth="1"/>
    <col min="9989" max="9989" width="9.75" style="987" hidden="1" customWidth="1"/>
    <col min="9990" max="9990" width="6.25" style="987" hidden="1" customWidth="1"/>
    <col min="9991" max="9991" width="6.5" style="987" hidden="1" customWidth="1"/>
    <col min="9992" max="9992" width="12.875" style="987" hidden="1" customWidth="1"/>
    <col min="9993" max="9993" width="7.125" style="987" hidden="1" customWidth="1"/>
    <col min="9994" max="9994" width="12.125" style="987" hidden="1" customWidth="1"/>
    <col min="9995" max="9995" width="11.875" style="987" hidden="1" customWidth="1"/>
    <col min="9996" max="9996" width="10.75" style="987" hidden="1" customWidth="1"/>
    <col min="9997" max="9997" width="11.875" style="987" hidden="1" customWidth="1"/>
    <col min="9998" max="9999" width="11.375" style="987" hidden="1" customWidth="1"/>
    <col min="10000" max="10000" width="0.75" style="987" hidden="1" customWidth="1"/>
    <col min="10001" max="10001" width="3.875" style="987" hidden="1" customWidth="1"/>
    <col min="10002" max="10016" width="9" style="987" hidden="1" customWidth="1"/>
    <col min="10017" max="10240" width="9" style="987" hidden="1"/>
    <col min="10241" max="10241" width="0.75" style="987" hidden="1" customWidth="1"/>
    <col min="10242" max="10242" width="2.125" style="987" hidden="1" customWidth="1"/>
    <col min="10243" max="10243" width="13.375" style="987" hidden="1" customWidth="1"/>
    <col min="10244" max="10244" width="5.375" style="987" hidden="1" customWidth="1"/>
    <col min="10245" max="10245" width="9.75" style="987" hidden="1" customWidth="1"/>
    <col min="10246" max="10246" width="6.25" style="987" hidden="1" customWidth="1"/>
    <col min="10247" max="10247" width="6.5" style="987" hidden="1" customWidth="1"/>
    <col min="10248" max="10248" width="12.875" style="987" hidden="1" customWidth="1"/>
    <col min="10249" max="10249" width="7.125" style="987" hidden="1" customWidth="1"/>
    <col min="10250" max="10250" width="12.125" style="987" hidden="1" customWidth="1"/>
    <col min="10251" max="10251" width="11.875" style="987" hidden="1" customWidth="1"/>
    <col min="10252" max="10252" width="10.75" style="987" hidden="1" customWidth="1"/>
    <col min="10253" max="10253" width="11.875" style="987" hidden="1" customWidth="1"/>
    <col min="10254" max="10255" width="11.375" style="987" hidden="1" customWidth="1"/>
    <col min="10256" max="10256" width="0.75" style="987" hidden="1" customWidth="1"/>
    <col min="10257" max="10257" width="3.875" style="987" hidden="1" customWidth="1"/>
    <col min="10258" max="10272" width="9" style="987" hidden="1" customWidth="1"/>
    <col min="10273" max="10496" width="9" style="987" hidden="1"/>
    <col min="10497" max="10497" width="0.75" style="987" hidden="1" customWidth="1"/>
    <col min="10498" max="10498" width="2.125" style="987" hidden="1" customWidth="1"/>
    <col min="10499" max="10499" width="13.375" style="987" hidden="1" customWidth="1"/>
    <col min="10500" max="10500" width="5.375" style="987" hidden="1" customWidth="1"/>
    <col min="10501" max="10501" width="9.75" style="987" hidden="1" customWidth="1"/>
    <col min="10502" max="10502" width="6.25" style="987" hidden="1" customWidth="1"/>
    <col min="10503" max="10503" width="6.5" style="987" hidden="1" customWidth="1"/>
    <col min="10504" max="10504" width="12.875" style="987" hidden="1" customWidth="1"/>
    <col min="10505" max="10505" width="7.125" style="987" hidden="1" customWidth="1"/>
    <col min="10506" max="10506" width="12.125" style="987" hidden="1" customWidth="1"/>
    <col min="10507" max="10507" width="11.875" style="987" hidden="1" customWidth="1"/>
    <col min="10508" max="10508" width="10.75" style="987" hidden="1" customWidth="1"/>
    <col min="10509" max="10509" width="11.875" style="987" hidden="1" customWidth="1"/>
    <col min="10510" max="10511" width="11.375" style="987" hidden="1" customWidth="1"/>
    <col min="10512" max="10512" width="0.75" style="987" hidden="1" customWidth="1"/>
    <col min="10513" max="10513" width="3.875" style="987" hidden="1" customWidth="1"/>
    <col min="10514" max="10528" width="9" style="987" hidden="1" customWidth="1"/>
    <col min="10529" max="10752" width="9" style="987" hidden="1"/>
    <col min="10753" max="10753" width="0.75" style="987" hidden="1" customWidth="1"/>
    <col min="10754" max="10754" width="2.125" style="987" hidden="1" customWidth="1"/>
    <col min="10755" max="10755" width="13.375" style="987" hidden="1" customWidth="1"/>
    <col min="10756" max="10756" width="5.375" style="987" hidden="1" customWidth="1"/>
    <col min="10757" max="10757" width="9.75" style="987" hidden="1" customWidth="1"/>
    <col min="10758" max="10758" width="6.25" style="987" hidden="1" customWidth="1"/>
    <col min="10759" max="10759" width="6.5" style="987" hidden="1" customWidth="1"/>
    <col min="10760" max="10760" width="12.875" style="987" hidden="1" customWidth="1"/>
    <col min="10761" max="10761" width="7.125" style="987" hidden="1" customWidth="1"/>
    <col min="10762" max="10762" width="12.125" style="987" hidden="1" customWidth="1"/>
    <col min="10763" max="10763" width="11.875" style="987" hidden="1" customWidth="1"/>
    <col min="10764" max="10764" width="10.75" style="987" hidden="1" customWidth="1"/>
    <col min="10765" max="10765" width="11.875" style="987" hidden="1" customWidth="1"/>
    <col min="10766" max="10767" width="11.375" style="987" hidden="1" customWidth="1"/>
    <col min="10768" max="10768" width="0.75" style="987" hidden="1" customWidth="1"/>
    <col min="10769" max="10769" width="3.875" style="987" hidden="1" customWidth="1"/>
    <col min="10770" max="10784" width="9" style="987" hidden="1" customWidth="1"/>
    <col min="10785" max="11008" width="9" style="987" hidden="1"/>
    <col min="11009" max="11009" width="0.75" style="987" hidden="1" customWidth="1"/>
    <col min="11010" max="11010" width="2.125" style="987" hidden="1" customWidth="1"/>
    <col min="11011" max="11011" width="13.375" style="987" hidden="1" customWidth="1"/>
    <col min="11012" max="11012" width="5.375" style="987" hidden="1" customWidth="1"/>
    <col min="11013" max="11013" width="9.75" style="987" hidden="1" customWidth="1"/>
    <col min="11014" max="11014" width="6.25" style="987" hidden="1" customWidth="1"/>
    <col min="11015" max="11015" width="6.5" style="987" hidden="1" customWidth="1"/>
    <col min="11016" max="11016" width="12.875" style="987" hidden="1" customWidth="1"/>
    <col min="11017" max="11017" width="7.125" style="987" hidden="1" customWidth="1"/>
    <col min="11018" max="11018" width="12.125" style="987" hidden="1" customWidth="1"/>
    <col min="11019" max="11019" width="11.875" style="987" hidden="1" customWidth="1"/>
    <col min="11020" max="11020" width="10.75" style="987" hidden="1" customWidth="1"/>
    <col min="11021" max="11021" width="11.875" style="987" hidden="1" customWidth="1"/>
    <col min="11022" max="11023" width="11.375" style="987" hidden="1" customWidth="1"/>
    <col min="11024" max="11024" width="0.75" style="987" hidden="1" customWidth="1"/>
    <col min="11025" max="11025" width="3.875" style="987" hidden="1" customWidth="1"/>
    <col min="11026" max="11040" width="9" style="987" hidden="1" customWidth="1"/>
    <col min="11041" max="11264" width="9" style="987" hidden="1"/>
    <col min="11265" max="11265" width="0.75" style="987" hidden="1" customWidth="1"/>
    <col min="11266" max="11266" width="2.125" style="987" hidden="1" customWidth="1"/>
    <col min="11267" max="11267" width="13.375" style="987" hidden="1" customWidth="1"/>
    <col min="11268" max="11268" width="5.375" style="987" hidden="1" customWidth="1"/>
    <col min="11269" max="11269" width="9.75" style="987" hidden="1" customWidth="1"/>
    <col min="11270" max="11270" width="6.25" style="987" hidden="1" customWidth="1"/>
    <col min="11271" max="11271" width="6.5" style="987" hidden="1" customWidth="1"/>
    <col min="11272" max="11272" width="12.875" style="987" hidden="1" customWidth="1"/>
    <col min="11273" max="11273" width="7.125" style="987" hidden="1" customWidth="1"/>
    <col min="11274" max="11274" width="12.125" style="987" hidden="1" customWidth="1"/>
    <col min="11275" max="11275" width="11.875" style="987" hidden="1" customWidth="1"/>
    <col min="11276" max="11276" width="10.75" style="987" hidden="1" customWidth="1"/>
    <col min="11277" max="11277" width="11.875" style="987" hidden="1" customWidth="1"/>
    <col min="11278" max="11279" width="11.375" style="987" hidden="1" customWidth="1"/>
    <col min="11280" max="11280" width="0.75" style="987" hidden="1" customWidth="1"/>
    <col min="11281" max="11281" width="3.875" style="987" hidden="1" customWidth="1"/>
    <col min="11282" max="11296" width="9" style="987" hidden="1" customWidth="1"/>
    <col min="11297" max="11520" width="9" style="987" hidden="1"/>
    <col min="11521" max="11521" width="0.75" style="987" hidden="1" customWidth="1"/>
    <col min="11522" max="11522" width="2.125" style="987" hidden="1" customWidth="1"/>
    <col min="11523" max="11523" width="13.375" style="987" hidden="1" customWidth="1"/>
    <col min="11524" max="11524" width="5.375" style="987" hidden="1" customWidth="1"/>
    <col min="11525" max="11525" width="9.75" style="987" hidden="1" customWidth="1"/>
    <col min="11526" max="11526" width="6.25" style="987" hidden="1" customWidth="1"/>
    <col min="11527" max="11527" width="6.5" style="987" hidden="1" customWidth="1"/>
    <col min="11528" max="11528" width="12.875" style="987" hidden="1" customWidth="1"/>
    <col min="11529" max="11529" width="7.125" style="987" hidden="1" customWidth="1"/>
    <col min="11530" max="11530" width="12.125" style="987" hidden="1" customWidth="1"/>
    <col min="11531" max="11531" width="11.875" style="987" hidden="1" customWidth="1"/>
    <col min="11532" max="11532" width="10.75" style="987" hidden="1" customWidth="1"/>
    <col min="11533" max="11533" width="11.875" style="987" hidden="1" customWidth="1"/>
    <col min="11534" max="11535" width="11.375" style="987" hidden="1" customWidth="1"/>
    <col min="11536" max="11536" width="0.75" style="987" hidden="1" customWidth="1"/>
    <col min="11537" max="11537" width="3.875" style="987" hidden="1" customWidth="1"/>
    <col min="11538" max="11552" width="9" style="987" hidden="1" customWidth="1"/>
    <col min="11553" max="11776" width="9" style="987" hidden="1"/>
    <col min="11777" max="11777" width="0.75" style="987" hidden="1" customWidth="1"/>
    <col min="11778" max="11778" width="2.125" style="987" hidden="1" customWidth="1"/>
    <col min="11779" max="11779" width="13.375" style="987" hidden="1" customWidth="1"/>
    <col min="11780" max="11780" width="5.375" style="987" hidden="1" customWidth="1"/>
    <col min="11781" max="11781" width="9.75" style="987" hidden="1" customWidth="1"/>
    <col min="11782" max="11782" width="6.25" style="987" hidden="1" customWidth="1"/>
    <col min="11783" max="11783" width="6.5" style="987" hidden="1" customWidth="1"/>
    <col min="11784" max="11784" width="12.875" style="987" hidden="1" customWidth="1"/>
    <col min="11785" max="11785" width="7.125" style="987" hidden="1" customWidth="1"/>
    <col min="11786" max="11786" width="12.125" style="987" hidden="1" customWidth="1"/>
    <col min="11787" max="11787" width="11.875" style="987" hidden="1" customWidth="1"/>
    <col min="11788" max="11788" width="10.75" style="987" hidden="1" customWidth="1"/>
    <col min="11789" max="11789" width="11.875" style="987" hidden="1" customWidth="1"/>
    <col min="11790" max="11791" width="11.375" style="987" hidden="1" customWidth="1"/>
    <col min="11792" max="11792" width="0.75" style="987" hidden="1" customWidth="1"/>
    <col min="11793" max="11793" width="3.875" style="987" hidden="1" customWidth="1"/>
    <col min="11794" max="11808" width="9" style="987" hidden="1" customWidth="1"/>
    <col min="11809" max="12032" width="9" style="987" hidden="1"/>
    <col min="12033" max="12033" width="0.75" style="987" hidden="1" customWidth="1"/>
    <col min="12034" max="12034" width="2.125" style="987" hidden="1" customWidth="1"/>
    <col min="12035" max="12035" width="13.375" style="987" hidden="1" customWidth="1"/>
    <col min="12036" max="12036" width="5.375" style="987" hidden="1" customWidth="1"/>
    <col min="12037" max="12037" width="9.75" style="987" hidden="1" customWidth="1"/>
    <col min="12038" max="12038" width="6.25" style="987" hidden="1" customWidth="1"/>
    <col min="12039" max="12039" width="6.5" style="987" hidden="1" customWidth="1"/>
    <col min="12040" max="12040" width="12.875" style="987" hidden="1" customWidth="1"/>
    <col min="12041" max="12041" width="7.125" style="987" hidden="1" customWidth="1"/>
    <col min="12042" max="12042" width="12.125" style="987" hidden="1" customWidth="1"/>
    <col min="12043" max="12043" width="11.875" style="987" hidden="1" customWidth="1"/>
    <col min="12044" max="12044" width="10.75" style="987" hidden="1" customWidth="1"/>
    <col min="12045" max="12045" width="11.875" style="987" hidden="1" customWidth="1"/>
    <col min="12046" max="12047" width="11.375" style="987" hidden="1" customWidth="1"/>
    <col min="12048" max="12048" width="0.75" style="987" hidden="1" customWidth="1"/>
    <col min="12049" max="12049" width="3.875" style="987" hidden="1" customWidth="1"/>
    <col min="12050" max="12064" width="9" style="987" hidden="1" customWidth="1"/>
    <col min="12065" max="12288" width="9" style="987" hidden="1"/>
    <col min="12289" max="12289" width="0.75" style="987" hidden="1" customWidth="1"/>
    <col min="12290" max="12290" width="2.125" style="987" hidden="1" customWidth="1"/>
    <col min="12291" max="12291" width="13.375" style="987" hidden="1" customWidth="1"/>
    <col min="12292" max="12292" width="5.375" style="987" hidden="1" customWidth="1"/>
    <col min="12293" max="12293" width="9.75" style="987" hidden="1" customWidth="1"/>
    <col min="12294" max="12294" width="6.25" style="987" hidden="1" customWidth="1"/>
    <col min="12295" max="12295" width="6.5" style="987" hidden="1" customWidth="1"/>
    <col min="12296" max="12296" width="12.875" style="987" hidden="1" customWidth="1"/>
    <col min="12297" max="12297" width="7.125" style="987" hidden="1" customWidth="1"/>
    <col min="12298" max="12298" width="12.125" style="987" hidden="1" customWidth="1"/>
    <col min="12299" max="12299" width="11.875" style="987" hidden="1" customWidth="1"/>
    <col min="12300" max="12300" width="10.75" style="987" hidden="1" customWidth="1"/>
    <col min="12301" max="12301" width="11.875" style="987" hidden="1" customWidth="1"/>
    <col min="12302" max="12303" width="11.375" style="987" hidden="1" customWidth="1"/>
    <col min="12304" max="12304" width="0.75" style="987" hidden="1" customWidth="1"/>
    <col min="12305" max="12305" width="3.875" style="987" hidden="1" customWidth="1"/>
    <col min="12306" max="12320" width="9" style="987" hidden="1" customWidth="1"/>
    <col min="12321" max="12544" width="9" style="987" hidden="1"/>
    <col min="12545" max="12545" width="0.75" style="987" hidden="1" customWidth="1"/>
    <col min="12546" max="12546" width="2.125" style="987" hidden="1" customWidth="1"/>
    <col min="12547" max="12547" width="13.375" style="987" hidden="1" customWidth="1"/>
    <col min="12548" max="12548" width="5.375" style="987" hidden="1" customWidth="1"/>
    <col min="12549" max="12549" width="9.75" style="987" hidden="1" customWidth="1"/>
    <col min="12550" max="12550" width="6.25" style="987" hidden="1" customWidth="1"/>
    <col min="12551" max="12551" width="6.5" style="987" hidden="1" customWidth="1"/>
    <col min="12552" max="12552" width="12.875" style="987" hidden="1" customWidth="1"/>
    <col min="12553" max="12553" width="7.125" style="987" hidden="1" customWidth="1"/>
    <col min="12554" max="12554" width="12.125" style="987" hidden="1" customWidth="1"/>
    <col min="12555" max="12555" width="11.875" style="987" hidden="1" customWidth="1"/>
    <col min="12556" max="12556" width="10.75" style="987" hidden="1" customWidth="1"/>
    <col min="12557" max="12557" width="11.875" style="987" hidden="1" customWidth="1"/>
    <col min="12558" max="12559" width="11.375" style="987" hidden="1" customWidth="1"/>
    <col min="12560" max="12560" width="0.75" style="987" hidden="1" customWidth="1"/>
    <col min="12561" max="12561" width="3.875" style="987" hidden="1" customWidth="1"/>
    <col min="12562" max="12576" width="9" style="987" hidden="1" customWidth="1"/>
    <col min="12577" max="12800" width="9" style="987" hidden="1"/>
    <col min="12801" max="12801" width="0.75" style="987" hidden="1" customWidth="1"/>
    <col min="12802" max="12802" width="2.125" style="987" hidden="1" customWidth="1"/>
    <col min="12803" max="12803" width="13.375" style="987" hidden="1" customWidth="1"/>
    <col min="12804" max="12804" width="5.375" style="987" hidden="1" customWidth="1"/>
    <col min="12805" max="12805" width="9.75" style="987" hidden="1" customWidth="1"/>
    <col min="12806" max="12806" width="6.25" style="987" hidden="1" customWidth="1"/>
    <col min="12807" max="12807" width="6.5" style="987" hidden="1" customWidth="1"/>
    <col min="12808" max="12808" width="12.875" style="987" hidden="1" customWidth="1"/>
    <col min="12809" max="12809" width="7.125" style="987" hidden="1" customWidth="1"/>
    <col min="12810" max="12810" width="12.125" style="987" hidden="1" customWidth="1"/>
    <col min="12811" max="12811" width="11.875" style="987" hidden="1" customWidth="1"/>
    <col min="12812" max="12812" width="10.75" style="987" hidden="1" customWidth="1"/>
    <col min="12813" max="12813" width="11.875" style="987" hidden="1" customWidth="1"/>
    <col min="12814" max="12815" width="11.375" style="987" hidden="1" customWidth="1"/>
    <col min="12816" max="12816" width="0.75" style="987" hidden="1" customWidth="1"/>
    <col min="12817" max="12817" width="3.875" style="987" hidden="1" customWidth="1"/>
    <col min="12818" max="12832" width="9" style="987" hidden="1" customWidth="1"/>
    <col min="12833" max="13056" width="9" style="987" hidden="1"/>
    <col min="13057" max="13057" width="0.75" style="987" hidden="1" customWidth="1"/>
    <col min="13058" max="13058" width="2.125" style="987" hidden="1" customWidth="1"/>
    <col min="13059" max="13059" width="13.375" style="987" hidden="1" customWidth="1"/>
    <col min="13060" max="13060" width="5.375" style="987" hidden="1" customWidth="1"/>
    <col min="13061" max="13061" width="9.75" style="987" hidden="1" customWidth="1"/>
    <col min="13062" max="13062" width="6.25" style="987" hidden="1" customWidth="1"/>
    <col min="13063" max="13063" width="6.5" style="987" hidden="1" customWidth="1"/>
    <col min="13064" max="13064" width="12.875" style="987" hidden="1" customWidth="1"/>
    <col min="13065" max="13065" width="7.125" style="987" hidden="1" customWidth="1"/>
    <col min="13066" max="13066" width="12.125" style="987" hidden="1" customWidth="1"/>
    <col min="13067" max="13067" width="11.875" style="987" hidden="1" customWidth="1"/>
    <col min="13068" max="13068" width="10.75" style="987" hidden="1" customWidth="1"/>
    <col min="13069" max="13069" width="11.875" style="987" hidden="1" customWidth="1"/>
    <col min="13070" max="13071" width="11.375" style="987" hidden="1" customWidth="1"/>
    <col min="13072" max="13072" width="0.75" style="987" hidden="1" customWidth="1"/>
    <col min="13073" max="13073" width="3.875" style="987" hidden="1" customWidth="1"/>
    <col min="13074" max="13088" width="9" style="987" hidden="1" customWidth="1"/>
    <col min="13089" max="13312" width="9" style="987" hidden="1"/>
    <col min="13313" max="13313" width="0.75" style="987" hidden="1" customWidth="1"/>
    <col min="13314" max="13314" width="2.125" style="987" hidden="1" customWidth="1"/>
    <col min="13315" max="13315" width="13.375" style="987" hidden="1" customWidth="1"/>
    <col min="13316" max="13316" width="5.375" style="987" hidden="1" customWidth="1"/>
    <col min="13317" max="13317" width="9.75" style="987" hidden="1" customWidth="1"/>
    <col min="13318" max="13318" width="6.25" style="987" hidden="1" customWidth="1"/>
    <col min="13319" max="13319" width="6.5" style="987" hidden="1" customWidth="1"/>
    <col min="13320" max="13320" width="12.875" style="987" hidden="1" customWidth="1"/>
    <col min="13321" max="13321" width="7.125" style="987" hidden="1" customWidth="1"/>
    <col min="13322" max="13322" width="12.125" style="987" hidden="1" customWidth="1"/>
    <col min="13323" max="13323" width="11.875" style="987" hidden="1" customWidth="1"/>
    <col min="13324" max="13324" width="10.75" style="987" hidden="1" customWidth="1"/>
    <col min="13325" max="13325" width="11.875" style="987" hidden="1" customWidth="1"/>
    <col min="13326" max="13327" width="11.375" style="987" hidden="1" customWidth="1"/>
    <col min="13328" max="13328" width="0.75" style="987" hidden="1" customWidth="1"/>
    <col min="13329" max="13329" width="3.875" style="987" hidden="1" customWidth="1"/>
    <col min="13330" max="13344" width="9" style="987" hidden="1" customWidth="1"/>
    <col min="13345" max="13568" width="9" style="987" hidden="1"/>
    <col min="13569" max="13569" width="0.75" style="987" hidden="1" customWidth="1"/>
    <col min="13570" max="13570" width="2.125" style="987" hidden="1" customWidth="1"/>
    <col min="13571" max="13571" width="13.375" style="987" hidden="1" customWidth="1"/>
    <col min="13572" max="13572" width="5.375" style="987" hidden="1" customWidth="1"/>
    <col min="13573" max="13573" width="9.75" style="987" hidden="1" customWidth="1"/>
    <col min="13574" max="13574" width="6.25" style="987" hidden="1" customWidth="1"/>
    <col min="13575" max="13575" width="6.5" style="987" hidden="1" customWidth="1"/>
    <col min="13576" max="13576" width="12.875" style="987" hidden="1" customWidth="1"/>
    <col min="13577" max="13577" width="7.125" style="987" hidden="1" customWidth="1"/>
    <col min="13578" max="13578" width="12.125" style="987" hidden="1" customWidth="1"/>
    <col min="13579" max="13579" width="11.875" style="987" hidden="1" customWidth="1"/>
    <col min="13580" max="13580" width="10.75" style="987" hidden="1" customWidth="1"/>
    <col min="13581" max="13581" width="11.875" style="987" hidden="1" customWidth="1"/>
    <col min="13582" max="13583" width="11.375" style="987" hidden="1" customWidth="1"/>
    <col min="13584" max="13584" width="0.75" style="987" hidden="1" customWidth="1"/>
    <col min="13585" max="13585" width="3.875" style="987" hidden="1" customWidth="1"/>
    <col min="13586" max="13600" width="9" style="987" hidden="1" customWidth="1"/>
    <col min="13601" max="13824" width="9" style="987" hidden="1"/>
    <col min="13825" max="13825" width="0.75" style="987" hidden="1" customWidth="1"/>
    <col min="13826" max="13826" width="2.125" style="987" hidden="1" customWidth="1"/>
    <col min="13827" max="13827" width="13.375" style="987" hidden="1" customWidth="1"/>
    <col min="13828" max="13828" width="5.375" style="987" hidden="1" customWidth="1"/>
    <col min="13829" max="13829" width="9.75" style="987" hidden="1" customWidth="1"/>
    <col min="13830" max="13830" width="6.25" style="987" hidden="1" customWidth="1"/>
    <col min="13831" max="13831" width="6.5" style="987" hidden="1" customWidth="1"/>
    <col min="13832" max="13832" width="12.875" style="987" hidden="1" customWidth="1"/>
    <col min="13833" max="13833" width="7.125" style="987" hidden="1" customWidth="1"/>
    <col min="13834" max="13834" width="12.125" style="987" hidden="1" customWidth="1"/>
    <col min="13835" max="13835" width="11.875" style="987" hidden="1" customWidth="1"/>
    <col min="13836" max="13836" width="10.75" style="987" hidden="1" customWidth="1"/>
    <col min="13837" max="13837" width="11.875" style="987" hidden="1" customWidth="1"/>
    <col min="13838" max="13839" width="11.375" style="987" hidden="1" customWidth="1"/>
    <col min="13840" max="13840" width="0.75" style="987" hidden="1" customWidth="1"/>
    <col min="13841" max="13841" width="3.875" style="987" hidden="1" customWidth="1"/>
    <col min="13842" max="13856" width="9" style="987" hidden="1" customWidth="1"/>
    <col min="13857" max="14080" width="9" style="987" hidden="1"/>
    <col min="14081" max="14081" width="0.75" style="987" hidden="1" customWidth="1"/>
    <col min="14082" max="14082" width="2.125" style="987" hidden="1" customWidth="1"/>
    <col min="14083" max="14083" width="13.375" style="987" hidden="1" customWidth="1"/>
    <col min="14084" max="14084" width="5.375" style="987" hidden="1" customWidth="1"/>
    <col min="14085" max="14085" width="9.75" style="987" hidden="1" customWidth="1"/>
    <col min="14086" max="14086" width="6.25" style="987" hidden="1" customWidth="1"/>
    <col min="14087" max="14087" width="6.5" style="987" hidden="1" customWidth="1"/>
    <col min="14088" max="14088" width="12.875" style="987" hidden="1" customWidth="1"/>
    <col min="14089" max="14089" width="7.125" style="987" hidden="1" customWidth="1"/>
    <col min="14090" max="14090" width="12.125" style="987" hidden="1" customWidth="1"/>
    <col min="14091" max="14091" width="11.875" style="987" hidden="1" customWidth="1"/>
    <col min="14092" max="14092" width="10.75" style="987" hidden="1" customWidth="1"/>
    <col min="14093" max="14093" width="11.875" style="987" hidden="1" customWidth="1"/>
    <col min="14094" max="14095" width="11.375" style="987" hidden="1" customWidth="1"/>
    <col min="14096" max="14096" width="0.75" style="987" hidden="1" customWidth="1"/>
    <col min="14097" max="14097" width="3.875" style="987" hidden="1" customWidth="1"/>
    <col min="14098" max="14112" width="9" style="987" hidden="1" customWidth="1"/>
    <col min="14113" max="14336" width="9" style="987" hidden="1"/>
    <col min="14337" max="14337" width="0.75" style="987" hidden="1" customWidth="1"/>
    <col min="14338" max="14338" width="2.125" style="987" hidden="1" customWidth="1"/>
    <col min="14339" max="14339" width="13.375" style="987" hidden="1" customWidth="1"/>
    <col min="14340" max="14340" width="5.375" style="987" hidden="1" customWidth="1"/>
    <col min="14341" max="14341" width="9.75" style="987" hidden="1" customWidth="1"/>
    <col min="14342" max="14342" width="6.25" style="987" hidden="1" customWidth="1"/>
    <col min="14343" max="14343" width="6.5" style="987" hidden="1" customWidth="1"/>
    <col min="14344" max="14344" width="12.875" style="987" hidden="1" customWidth="1"/>
    <col min="14345" max="14345" width="7.125" style="987" hidden="1" customWidth="1"/>
    <col min="14346" max="14346" width="12.125" style="987" hidden="1" customWidth="1"/>
    <col min="14347" max="14347" width="11.875" style="987" hidden="1" customWidth="1"/>
    <col min="14348" max="14348" width="10.75" style="987" hidden="1" customWidth="1"/>
    <col min="14349" max="14349" width="11.875" style="987" hidden="1" customWidth="1"/>
    <col min="14350" max="14351" width="11.375" style="987" hidden="1" customWidth="1"/>
    <col min="14352" max="14352" width="0.75" style="987" hidden="1" customWidth="1"/>
    <col min="14353" max="14353" width="3.875" style="987" hidden="1" customWidth="1"/>
    <col min="14354" max="14368" width="9" style="987" hidden="1" customWidth="1"/>
    <col min="14369" max="14592" width="9" style="987" hidden="1"/>
    <col min="14593" max="14593" width="0.75" style="987" hidden="1" customWidth="1"/>
    <col min="14594" max="14594" width="2.125" style="987" hidden="1" customWidth="1"/>
    <col min="14595" max="14595" width="13.375" style="987" hidden="1" customWidth="1"/>
    <col min="14596" max="14596" width="5.375" style="987" hidden="1" customWidth="1"/>
    <col min="14597" max="14597" width="9.75" style="987" hidden="1" customWidth="1"/>
    <col min="14598" max="14598" width="6.25" style="987" hidden="1" customWidth="1"/>
    <col min="14599" max="14599" width="6.5" style="987" hidden="1" customWidth="1"/>
    <col min="14600" max="14600" width="12.875" style="987" hidden="1" customWidth="1"/>
    <col min="14601" max="14601" width="7.125" style="987" hidden="1" customWidth="1"/>
    <col min="14602" max="14602" width="12.125" style="987" hidden="1" customWidth="1"/>
    <col min="14603" max="14603" width="11.875" style="987" hidden="1" customWidth="1"/>
    <col min="14604" max="14604" width="10.75" style="987" hidden="1" customWidth="1"/>
    <col min="14605" max="14605" width="11.875" style="987" hidden="1" customWidth="1"/>
    <col min="14606" max="14607" width="11.375" style="987" hidden="1" customWidth="1"/>
    <col min="14608" max="14608" width="0.75" style="987" hidden="1" customWidth="1"/>
    <col min="14609" max="14609" width="3.875" style="987" hidden="1" customWidth="1"/>
    <col min="14610" max="14624" width="9" style="987" hidden="1" customWidth="1"/>
    <col min="14625" max="14848" width="9" style="987" hidden="1"/>
    <col min="14849" max="14849" width="0.75" style="987" hidden="1" customWidth="1"/>
    <col min="14850" max="14850" width="2.125" style="987" hidden="1" customWidth="1"/>
    <col min="14851" max="14851" width="13.375" style="987" hidden="1" customWidth="1"/>
    <col min="14852" max="14852" width="5.375" style="987" hidden="1" customWidth="1"/>
    <col min="14853" max="14853" width="9.75" style="987" hidden="1" customWidth="1"/>
    <col min="14854" max="14854" width="6.25" style="987" hidden="1" customWidth="1"/>
    <col min="14855" max="14855" width="6.5" style="987" hidden="1" customWidth="1"/>
    <col min="14856" max="14856" width="12.875" style="987" hidden="1" customWidth="1"/>
    <col min="14857" max="14857" width="7.125" style="987" hidden="1" customWidth="1"/>
    <col min="14858" max="14858" width="12.125" style="987" hidden="1" customWidth="1"/>
    <col min="14859" max="14859" width="11.875" style="987" hidden="1" customWidth="1"/>
    <col min="14860" max="14860" width="10.75" style="987" hidden="1" customWidth="1"/>
    <col min="14861" max="14861" width="11.875" style="987" hidden="1" customWidth="1"/>
    <col min="14862" max="14863" width="11.375" style="987" hidden="1" customWidth="1"/>
    <col min="14864" max="14864" width="0.75" style="987" hidden="1" customWidth="1"/>
    <col min="14865" max="14865" width="3.875" style="987" hidden="1" customWidth="1"/>
    <col min="14866" max="14880" width="9" style="987" hidden="1" customWidth="1"/>
    <col min="14881" max="15104" width="9" style="987" hidden="1"/>
    <col min="15105" max="15105" width="0.75" style="987" hidden="1" customWidth="1"/>
    <col min="15106" max="15106" width="2.125" style="987" hidden="1" customWidth="1"/>
    <col min="15107" max="15107" width="13.375" style="987" hidden="1" customWidth="1"/>
    <col min="15108" max="15108" width="5.375" style="987" hidden="1" customWidth="1"/>
    <col min="15109" max="15109" width="9.75" style="987" hidden="1" customWidth="1"/>
    <col min="15110" max="15110" width="6.25" style="987" hidden="1" customWidth="1"/>
    <col min="15111" max="15111" width="6.5" style="987" hidden="1" customWidth="1"/>
    <col min="15112" max="15112" width="12.875" style="987" hidden="1" customWidth="1"/>
    <col min="15113" max="15113" width="7.125" style="987" hidden="1" customWidth="1"/>
    <col min="15114" max="15114" width="12.125" style="987" hidden="1" customWidth="1"/>
    <col min="15115" max="15115" width="11.875" style="987" hidden="1" customWidth="1"/>
    <col min="15116" max="15116" width="10.75" style="987" hidden="1" customWidth="1"/>
    <col min="15117" max="15117" width="11.875" style="987" hidden="1" customWidth="1"/>
    <col min="15118" max="15119" width="11.375" style="987" hidden="1" customWidth="1"/>
    <col min="15120" max="15120" width="0.75" style="987" hidden="1" customWidth="1"/>
    <col min="15121" max="15121" width="3.875" style="987" hidden="1" customWidth="1"/>
    <col min="15122" max="15136" width="9" style="987" hidden="1" customWidth="1"/>
    <col min="15137" max="15360" width="9" style="987" hidden="1"/>
    <col min="15361" max="15361" width="0.75" style="987" hidden="1" customWidth="1"/>
    <col min="15362" max="15362" width="2.125" style="987" hidden="1" customWidth="1"/>
    <col min="15363" max="15363" width="13.375" style="987" hidden="1" customWidth="1"/>
    <col min="15364" max="15364" width="5.375" style="987" hidden="1" customWidth="1"/>
    <col min="15365" max="15365" width="9.75" style="987" hidden="1" customWidth="1"/>
    <col min="15366" max="15366" width="6.25" style="987" hidden="1" customWidth="1"/>
    <col min="15367" max="15367" width="6.5" style="987" hidden="1" customWidth="1"/>
    <col min="15368" max="15368" width="12.875" style="987" hidden="1" customWidth="1"/>
    <col min="15369" max="15369" width="7.125" style="987" hidden="1" customWidth="1"/>
    <col min="15370" max="15370" width="12.125" style="987" hidden="1" customWidth="1"/>
    <col min="15371" max="15371" width="11.875" style="987" hidden="1" customWidth="1"/>
    <col min="15372" max="15372" width="10.75" style="987" hidden="1" customWidth="1"/>
    <col min="15373" max="15373" width="11.875" style="987" hidden="1" customWidth="1"/>
    <col min="15374" max="15375" width="11.375" style="987" hidden="1" customWidth="1"/>
    <col min="15376" max="15376" width="0.75" style="987" hidden="1" customWidth="1"/>
    <col min="15377" max="15377" width="3.875" style="987" hidden="1" customWidth="1"/>
    <col min="15378" max="15392" width="9" style="987" hidden="1" customWidth="1"/>
    <col min="15393" max="15616" width="9" style="987" hidden="1"/>
    <col min="15617" max="15617" width="0.75" style="987" hidden="1" customWidth="1"/>
    <col min="15618" max="15618" width="2.125" style="987" hidden="1" customWidth="1"/>
    <col min="15619" max="15619" width="13.375" style="987" hidden="1" customWidth="1"/>
    <col min="15620" max="15620" width="5.375" style="987" hidden="1" customWidth="1"/>
    <col min="15621" max="15621" width="9.75" style="987" hidden="1" customWidth="1"/>
    <col min="15622" max="15622" width="6.25" style="987" hidden="1" customWidth="1"/>
    <col min="15623" max="15623" width="6.5" style="987" hidden="1" customWidth="1"/>
    <col min="15624" max="15624" width="12.875" style="987" hidden="1" customWidth="1"/>
    <col min="15625" max="15625" width="7.125" style="987" hidden="1" customWidth="1"/>
    <col min="15626" max="15626" width="12.125" style="987" hidden="1" customWidth="1"/>
    <col min="15627" max="15627" width="11.875" style="987" hidden="1" customWidth="1"/>
    <col min="15628" max="15628" width="10.75" style="987" hidden="1" customWidth="1"/>
    <col min="15629" max="15629" width="11.875" style="987" hidden="1" customWidth="1"/>
    <col min="15630" max="15631" width="11.375" style="987" hidden="1" customWidth="1"/>
    <col min="15632" max="15632" width="0.75" style="987" hidden="1" customWidth="1"/>
    <col min="15633" max="15633" width="3.875" style="987" hidden="1" customWidth="1"/>
    <col min="15634" max="15648" width="9" style="987" hidden="1" customWidth="1"/>
    <col min="15649" max="15872" width="9" style="987" hidden="1"/>
    <col min="15873" max="15873" width="0.75" style="987" hidden="1" customWidth="1"/>
    <col min="15874" max="15874" width="2.125" style="987" hidden="1" customWidth="1"/>
    <col min="15875" max="15875" width="13.375" style="987" hidden="1" customWidth="1"/>
    <col min="15876" max="15876" width="5.375" style="987" hidden="1" customWidth="1"/>
    <col min="15877" max="15877" width="9.75" style="987" hidden="1" customWidth="1"/>
    <col min="15878" max="15878" width="6.25" style="987" hidden="1" customWidth="1"/>
    <col min="15879" max="15879" width="6.5" style="987" hidden="1" customWidth="1"/>
    <col min="15880" max="15880" width="12.875" style="987" hidden="1" customWidth="1"/>
    <col min="15881" max="15881" width="7.125" style="987" hidden="1" customWidth="1"/>
    <col min="15882" max="15882" width="12.125" style="987" hidden="1" customWidth="1"/>
    <col min="15883" max="15883" width="11.875" style="987" hidden="1" customWidth="1"/>
    <col min="15884" max="15884" width="10.75" style="987" hidden="1" customWidth="1"/>
    <col min="15885" max="15885" width="11.875" style="987" hidden="1" customWidth="1"/>
    <col min="15886" max="15887" width="11.375" style="987" hidden="1" customWidth="1"/>
    <col min="15888" max="15888" width="0.75" style="987" hidden="1" customWidth="1"/>
    <col min="15889" max="15889" width="3.875" style="987" hidden="1" customWidth="1"/>
    <col min="15890" max="15904" width="9" style="987" hidden="1" customWidth="1"/>
    <col min="15905" max="16128" width="9" style="987" hidden="1"/>
    <col min="16129" max="16129" width="0.75" style="987" hidden="1" customWidth="1"/>
    <col min="16130" max="16130" width="2.125" style="987" hidden="1" customWidth="1"/>
    <col min="16131" max="16131" width="13.375" style="987" hidden="1" customWidth="1"/>
    <col min="16132" max="16132" width="5.375" style="987" hidden="1" customWidth="1"/>
    <col min="16133" max="16133" width="9.75" style="987" hidden="1" customWidth="1"/>
    <col min="16134" max="16134" width="6.25" style="987" hidden="1" customWidth="1"/>
    <col min="16135" max="16135" width="6.5" style="987" hidden="1" customWidth="1"/>
    <col min="16136" max="16136" width="12.875" style="987" hidden="1" customWidth="1"/>
    <col min="16137" max="16137" width="7.125" style="987" hidden="1" customWidth="1"/>
    <col min="16138" max="16138" width="12.125" style="987" hidden="1" customWidth="1"/>
    <col min="16139" max="16139" width="11.875" style="987" hidden="1" customWidth="1"/>
    <col min="16140" max="16140" width="10.75" style="987" hidden="1" customWidth="1"/>
    <col min="16141" max="16141" width="11.875" style="987" hidden="1" customWidth="1"/>
    <col min="16142" max="16143" width="11.375" style="987" hidden="1" customWidth="1"/>
    <col min="16144" max="16144" width="0.75" style="987" hidden="1" customWidth="1"/>
    <col min="16145" max="16145" width="3.875" style="987" hidden="1" customWidth="1"/>
    <col min="16146" max="16160" width="9" style="987" hidden="1" customWidth="1"/>
    <col min="16161" max="16384" width="9" style="987" hidden="1"/>
  </cols>
  <sheetData>
    <row r="1" spans="1:28" s="691" customFormat="1" ht="6" customHeight="1" thickBot="1">
      <c r="A1" s="683"/>
      <c r="B1" s="684"/>
      <c r="C1" s="685"/>
      <c r="D1" s="686"/>
      <c r="E1" s="687"/>
      <c r="F1" s="688"/>
      <c r="G1" s="688"/>
      <c r="H1" s="688"/>
      <c r="I1" s="689"/>
      <c r="J1" s="689"/>
      <c r="K1" s="688"/>
      <c r="L1" s="690"/>
      <c r="M1" s="687"/>
      <c r="N1" s="687"/>
      <c r="O1" s="683"/>
      <c r="P1" s="683"/>
      <c r="Q1" s="683"/>
      <c r="S1" s="692"/>
    </row>
    <row r="2" spans="1:28" s="702" customFormat="1" ht="18.75" customHeight="1" thickTop="1">
      <c r="A2" s="693"/>
      <c r="B2" s="694"/>
      <c r="C2" s="695"/>
      <c r="D2" s="696"/>
      <c r="E2" s="697"/>
      <c r="F2" s="698"/>
      <c r="G2" s="698"/>
      <c r="H2" s="698"/>
      <c r="I2" s="699"/>
      <c r="J2" s="700"/>
      <c r="K2" s="700"/>
      <c r="L2" s="700"/>
      <c r="M2" s="700"/>
      <c r="N2" s="698"/>
      <c r="O2" s="535"/>
      <c r="P2" s="693"/>
      <c r="Q2" s="2715" t="s">
        <v>1742</v>
      </c>
      <c r="R2" s="701"/>
      <c r="S2" s="701"/>
      <c r="T2" s="701"/>
      <c r="U2" s="701"/>
      <c r="V2" s="701"/>
      <c r="W2" s="701"/>
      <c r="X2" s="701"/>
      <c r="Y2" s="701"/>
      <c r="Z2" s="701"/>
      <c r="AA2" s="701"/>
      <c r="AB2" s="701"/>
    </row>
    <row r="3" spans="1:28" s="702" customFormat="1" ht="18.75" customHeight="1">
      <c r="A3" s="693"/>
      <c r="B3" s="694"/>
      <c r="C3" s="695"/>
      <c r="D3" s="696"/>
      <c r="E3" s="697"/>
      <c r="F3" s="698"/>
      <c r="G3" s="698"/>
      <c r="H3" s="698"/>
      <c r="I3" s="699"/>
      <c r="J3" s="700"/>
      <c r="K3" s="700"/>
      <c r="L3" s="700"/>
      <c r="M3" s="700"/>
      <c r="N3" s="698"/>
      <c r="O3" s="534"/>
      <c r="P3" s="693"/>
      <c r="Q3" s="2716"/>
      <c r="R3" s="701"/>
      <c r="S3" s="701"/>
      <c r="T3" s="701"/>
      <c r="U3" s="701"/>
      <c r="V3" s="701"/>
      <c r="W3" s="701"/>
      <c r="X3" s="701"/>
      <c r="Y3" s="701"/>
      <c r="Z3" s="701"/>
      <c r="AA3" s="701"/>
      <c r="AB3" s="701"/>
    </row>
    <row r="4" spans="1:28" s="702" customFormat="1" ht="18.75" customHeight="1">
      <c r="A4" s="693"/>
      <c r="B4" s="694"/>
      <c r="C4" s="695"/>
      <c r="D4" s="696"/>
      <c r="E4" s="697"/>
      <c r="F4" s="698"/>
      <c r="G4" s="698"/>
      <c r="H4" s="698"/>
      <c r="I4" s="703"/>
      <c r="J4" s="700"/>
      <c r="K4" s="700"/>
      <c r="L4" s="700"/>
      <c r="M4" s="700"/>
      <c r="N4" s="698"/>
      <c r="O4" s="535"/>
      <c r="P4" s="693"/>
      <c r="Q4" s="2716"/>
      <c r="R4" s="701"/>
      <c r="S4" s="701"/>
      <c r="T4" s="701"/>
      <c r="U4" s="701"/>
      <c r="V4" s="701"/>
      <c r="W4" s="701"/>
      <c r="X4" s="701"/>
      <c r="Y4" s="701"/>
      <c r="Z4" s="701"/>
      <c r="AA4" s="701"/>
      <c r="AB4" s="701"/>
    </row>
    <row r="5" spans="1:28" s="702" customFormat="1" ht="13.5" customHeight="1" thickBot="1">
      <c r="A5" s="693"/>
      <c r="B5" s="704"/>
      <c r="C5" s="705"/>
      <c r="D5" s="696"/>
      <c r="E5" s="697"/>
      <c r="F5" s="2382" t="str">
        <f>"■使用評価マニュアル： "&amp;メイン!$C$6&amp;"　■使用評価ソフト： "&amp;メイン!$C$5</f>
        <v>■使用評価マニュアル： CASBEE大阪みらい編（改修）　■使用評価ソフト： 「CASBEE大阪みらい 改修」2015年版　CASBEE-BD_RN_2015(v.1.0)</v>
      </c>
      <c r="G5" s="698"/>
      <c r="H5" s="706"/>
      <c r="I5" s="2383"/>
      <c r="J5" s="2384"/>
      <c r="K5" s="2385"/>
      <c r="L5" s="2386"/>
      <c r="M5" s="2387"/>
      <c r="N5" s="2387"/>
      <c r="O5" s="2387"/>
      <c r="P5" s="693"/>
      <c r="Q5" s="2717"/>
      <c r="R5" s="701"/>
      <c r="S5" s="701"/>
      <c r="T5" s="701"/>
      <c r="U5" s="701"/>
      <c r="V5" s="701"/>
      <c r="W5" s="701"/>
      <c r="X5" s="701"/>
      <c r="Y5" s="701"/>
      <c r="Z5" s="701"/>
      <c r="AA5" s="701"/>
      <c r="AB5" s="701"/>
    </row>
    <row r="6" spans="1:28" s="702" customFormat="1" ht="6" customHeight="1" thickTop="1" thickBot="1">
      <c r="A6" s="693"/>
      <c r="B6" s="707"/>
      <c r="C6" s="708"/>
      <c r="D6" s="709"/>
      <c r="E6" s="710"/>
      <c r="F6" s="711"/>
      <c r="G6" s="711"/>
      <c r="H6" s="711"/>
      <c r="I6" s="712"/>
      <c r="J6" s="713"/>
      <c r="K6" s="713"/>
      <c r="L6" s="714"/>
      <c r="M6" s="710"/>
      <c r="N6" s="710"/>
      <c r="O6" s="710"/>
      <c r="P6" s="693"/>
      <c r="Q6" s="693"/>
      <c r="R6" s="701"/>
      <c r="S6" s="701"/>
      <c r="T6" s="701"/>
      <c r="U6" s="701"/>
      <c r="V6" s="701"/>
      <c r="W6" s="701"/>
      <c r="X6" s="701"/>
      <c r="Y6" s="701"/>
      <c r="Z6" s="701"/>
      <c r="AA6" s="701"/>
      <c r="AB6" s="701"/>
    </row>
    <row r="7" spans="1:28" s="702" customFormat="1" ht="18" customHeight="1" thickBot="1">
      <c r="A7" s="693"/>
      <c r="B7" s="715" t="s">
        <v>883</v>
      </c>
      <c r="C7" s="716"/>
      <c r="D7" s="717"/>
      <c r="E7" s="716"/>
      <c r="F7" s="716"/>
      <c r="G7" s="716"/>
      <c r="H7" s="718"/>
      <c r="I7" s="719"/>
      <c r="J7" s="719"/>
      <c r="K7" s="719"/>
      <c r="L7" s="720" t="s">
        <v>884</v>
      </c>
      <c r="M7" s="716"/>
      <c r="N7" s="716"/>
      <c r="O7" s="721"/>
      <c r="P7" s="693"/>
      <c r="Q7" s="693"/>
      <c r="R7" s="722" t="s">
        <v>1743</v>
      </c>
      <c r="S7" s="701"/>
      <c r="T7" s="701"/>
      <c r="U7" s="722" t="s">
        <v>1744</v>
      </c>
      <c r="V7" s="701"/>
      <c r="W7" s="701"/>
      <c r="X7" s="701"/>
      <c r="Y7" s="701"/>
      <c r="Z7" s="701"/>
      <c r="AA7" s="701"/>
      <c r="AB7" s="701"/>
    </row>
    <row r="8" spans="1:28" s="702" customFormat="1" ht="21" customHeight="1">
      <c r="A8" s="693"/>
      <c r="B8" s="2388" t="s">
        <v>885</v>
      </c>
      <c r="C8" s="2389"/>
      <c r="D8" s="2459" t="str">
        <f>メイン!H11</f>
        <v>新ビル</v>
      </c>
      <c r="E8" s="2391"/>
      <c r="F8" s="2391"/>
      <c r="G8" s="2392"/>
      <c r="H8" s="744" t="s">
        <v>891</v>
      </c>
      <c r="I8" s="2393"/>
      <c r="J8" s="2394" t="str">
        <f>メイン!H26</f>
        <v>○○</v>
      </c>
      <c r="K8" s="2395"/>
      <c r="L8" s="725"/>
      <c r="M8" s="726"/>
      <c r="N8" s="726"/>
      <c r="O8" s="727"/>
      <c r="P8" s="693"/>
      <c r="Q8" s="693"/>
      <c r="R8" s="728" t="s">
        <v>1745</v>
      </c>
      <c r="S8" s="728">
        <f>スコア表示!AO8</f>
        <v>3.0000000000000004</v>
      </c>
      <c r="T8" s="701"/>
      <c r="U8" s="729"/>
      <c r="V8" s="729" t="s">
        <v>887</v>
      </c>
      <c r="W8" s="730" t="s">
        <v>1746</v>
      </c>
      <c r="X8" s="730">
        <v>4</v>
      </c>
      <c r="Y8" s="730">
        <v>2</v>
      </c>
      <c r="Z8" s="731" t="s">
        <v>1747</v>
      </c>
      <c r="AA8" s="732" t="s">
        <v>1748</v>
      </c>
      <c r="AB8" s="701"/>
    </row>
    <row r="9" spans="1:28" s="702" customFormat="1" ht="21" customHeight="1">
      <c r="A9" s="693"/>
      <c r="B9" s="2396" t="s">
        <v>888</v>
      </c>
      <c r="C9" s="2397"/>
      <c r="D9" s="2390" t="str">
        <f>メイン!H12</f>
        <v>大阪市○○区○○</v>
      </c>
      <c r="E9" s="2391"/>
      <c r="F9" s="2391"/>
      <c r="G9" s="2392"/>
      <c r="H9" s="2398" t="s">
        <v>894</v>
      </c>
      <c r="I9" s="2393"/>
      <c r="J9" s="2718" t="str">
        <f>メイン!H37</f>
        <v>2015年9月1日～2015年12月10日</v>
      </c>
      <c r="K9" s="2719"/>
      <c r="L9" s="733"/>
      <c r="O9" s="734"/>
      <c r="P9" s="693"/>
      <c r="Q9" s="693"/>
      <c r="R9" s="728" t="s">
        <v>1749</v>
      </c>
      <c r="S9" s="728" t="e">
        <f>スコア表示!AO116</f>
        <v>#VALUE!</v>
      </c>
      <c r="U9" s="735" t="s">
        <v>1750</v>
      </c>
      <c r="V9" s="729" t="s">
        <v>1751</v>
      </c>
      <c r="W9" s="730">
        <v>5</v>
      </c>
      <c r="X9" s="730">
        <v>4</v>
      </c>
      <c r="Y9" s="730">
        <v>2</v>
      </c>
      <c r="Z9" s="736">
        <f>V45</f>
        <v>3</v>
      </c>
      <c r="AA9" s="732">
        <v>3</v>
      </c>
    </row>
    <row r="10" spans="1:28" s="702" customFormat="1" ht="21" customHeight="1">
      <c r="A10" s="693"/>
      <c r="B10" s="2396" t="s">
        <v>890</v>
      </c>
      <c r="C10" s="2399"/>
      <c r="D10" s="2390" t="str">
        <f>メイン!H20</f>
        <v>○○</v>
      </c>
      <c r="E10" s="2391"/>
      <c r="F10" s="2391"/>
      <c r="G10" s="2392"/>
      <c r="H10" s="2400" t="s">
        <v>900</v>
      </c>
      <c r="I10" s="2401"/>
      <c r="J10" s="2720" t="str">
        <f>IF(メイン!H27=0,"",メイン!H27)</f>
        <v>○○○</v>
      </c>
      <c r="K10" s="2721"/>
      <c r="L10" s="733"/>
      <c r="O10" s="734"/>
      <c r="P10" s="693"/>
      <c r="Q10" s="693"/>
      <c r="R10" s="731" t="s">
        <v>1752</v>
      </c>
      <c r="S10" s="740">
        <f>25*(S8-1)</f>
        <v>50.000000000000014</v>
      </c>
      <c r="U10" s="735" t="s">
        <v>1753</v>
      </c>
      <c r="V10" s="741" t="s">
        <v>1754</v>
      </c>
      <c r="W10" s="730">
        <v>5</v>
      </c>
      <c r="X10" s="730">
        <v>4</v>
      </c>
      <c r="Y10" s="730">
        <v>2</v>
      </c>
      <c r="Z10" s="736">
        <f>Y45</f>
        <v>3</v>
      </c>
      <c r="AA10" s="732">
        <v>3</v>
      </c>
    </row>
    <row r="11" spans="1:28" s="702" customFormat="1" ht="21" customHeight="1">
      <c r="A11" s="693"/>
      <c r="B11" s="2396" t="s">
        <v>1755</v>
      </c>
      <c r="C11" s="2402"/>
      <c r="D11" s="2390" t="str">
        <f>メイン!C45</f>
        <v>○○○㈱</v>
      </c>
      <c r="E11" s="2391"/>
      <c r="F11" s="2391"/>
      <c r="G11" s="2392"/>
      <c r="H11" s="723"/>
      <c r="I11" s="2393"/>
      <c r="J11" s="2722"/>
      <c r="K11" s="2723"/>
      <c r="L11" s="733"/>
      <c r="M11" s="2403"/>
      <c r="O11" s="734"/>
      <c r="P11" s="693"/>
      <c r="Q11" s="693"/>
      <c r="R11" s="731" t="s">
        <v>1756</v>
      </c>
      <c r="S11" s="740" t="e">
        <f>25*(5-S9)</f>
        <v>#VALUE!</v>
      </c>
      <c r="U11" s="735" t="s">
        <v>1757</v>
      </c>
      <c r="V11" s="743" t="s">
        <v>509</v>
      </c>
      <c r="W11" s="730">
        <v>5</v>
      </c>
      <c r="X11" s="730">
        <v>4</v>
      </c>
      <c r="Y11" s="730">
        <v>2</v>
      </c>
      <c r="Z11" s="736" t="e">
        <f>Y56</f>
        <v>#VALUE!</v>
      </c>
      <c r="AA11" s="732">
        <v>3</v>
      </c>
    </row>
    <row r="12" spans="1:28" s="702" customFormat="1" ht="21" customHeight="1">
      <c r="A12" s="693"/>
      <c r="B12" s="2396" t="s">
        <v>1758</v>
      </c>
      <c r="C12" s="2402"/>
      <c r="D12" s="2390" t="str">
        <f>メイン!C47</f>
        <v>㈱○○○設計</v>
      </c>
      <c r="E12" s="2391"/>
      <c r="F12" s="2391"/>
      <c r="G12" s="2392"/>
      <c r="H12" s="2404"/>
      <c r="I12" s="2405"/>
      <c r="J12" s="2724"/>
      <c r="K12" s="2725"/>
      <c r="L12" s="733"/>
      <c r="M12" s="2406"/>
      <c r="O12" s="734"/>
      <c r="P12" s="693"/>
      <c r="Q12" s="693"/>
      <c r="R12" s="731" t="s">
        <v>1759</v>
      </c>
      <c r="S12" s="731" t="e">
        <f>S10/S11</f>
        <v>#VALUE!</v>
      </c>
      <c r="U12" s="735" t="s">
        <v>1760</v>
      </c>
      <c r="V12" s="743" t="s">
        <v>893</v>
      </c>
      <c r="W12" s="730">
        <v>5</v>
      </c>
      <c r="X12" s="730">
        <v>4</v>
      </c>
      <c r="Y12" s="730">
        <v>2</v>
      </c>
      <c r="Z12" s="736">
        <f>V56</f>
        <v>3</v>
      </c>
      <c r="AA12" s="732">
        <v>3</v>
      </c>
    </row>
    <row r="13" spans="1:28" s="702" customFormat="1" ht="21" customHeight="1">
      <c r="A13" s="693"/>
      <c r="B13" s="2407" t="s">
        <v>895</v>
      </c>
      <c r="C13" s="2397"/>
      <c r="D13" s="2408"/>
      <c r="E13" s="2409">
        <f>メイン!H17</f>
        <v>2000</v>
      </c>
      <c r="F13" s="2410" t="s">
        <v>1761</v>
      </c>
      <c r="G13" s="2411"/>
      <c r="H13" s="2400" t="s">
        <v>901</v>
      </c>
      <c r="I13" s="2412"/>
      <c r="J13" s="2726" t="str">
        <f>IF(メイン!C27=0,"",メイン!C27)</f>
        <v>○○○</v>
      </c>
      <c r="K13" s="2727"/>
      <c r="L13" s="733"/>
      <c r="M13" s="2406"/>
      <c r="O13" s="734"/>
      <c r="P13" s="693"/>
      <c r="Q13" s="693"/>
      <c r="R13" s="735" t="s">
        <v>1762</v>
      </c>
      <c r="S13" s="746" t="e">
        <f>ROUNDDOWN(S12,1)</f>
        <v>#VALUE!</v>
      </c>
      <c r="U13" s="735" t="s">
        <v>1763</v>
      </c>
      <c r="V13" s="743" t="s">
        <v>1764</v>
      </c>
      <c r="W13" s="730">
        <v>5</v>
      </c>
      <c r="X13" s="730">
        <v>4</v>
      </c>
      <c r="Y13" s="730">
        <v>2</v>
      </c>
      <c r="Z13" s="736">
        <f>S56</f>
        <v>1.5</v>
      </c>
      <c r="AA13" s="732">
        <v>3</v>
      </c>
    </row>
    <row r="14" spans="1:28" s="702" customFormat="1" ht="21" customHeight="1">
      <c r="A14" s="693"/>
      <c r="B14" s="2407" t="s">
        <v>896</v>
      </c>
      <c r="C14" s="2397"/>
      <c r="D14" s="2408"/>
      <c r="E14" s="2409">
        <f>メイン!H18</f>
        <v>1400</v>
      </c>
      <c r="F14" s="2410" t="s">
        <v>1761</v>
      </c>
      <c r="G14" s="2411"/>
      <c r="H14" s="723"/>
      <c r="I14" s="2413"/>
      <c r="J14" s="2728"/>
      <c r="K14" s="2729"/>
      <c r="L14" s="733"/>
      <c r="O14" s="734"/>
      <c r="P14" s="693"/>
      <c r="Q14" s="693"/>
      <c r="S14" s="749"/>
      <c r="U14" s="735" t="s">
        <v>1765</v>
      </c>
      <c r="V14" s="741" t="s">
        <v>1766</v>
      </c>
      <c r="W14" s="730">
        <v>5</v>
      </c>
      <c r="X14" s="730">
        <v>4</v>
      </c>
      <c r="Y14" s="730">
        <v>2</v>
      </c>
      <c r="Z14" s="736">
        <f>IF(S45=0,1,S45)</f>
        <v>3</v>
      </c>
      <c r="AA14" s="732">
        <v>3</v>
      </c>
    </row>
    <row r="15" spans="1:28" s="702" customFormat="1" ht="21" customHeight="1" thickBot="1">
      <c r="A15" s="693"/>
      <c r="B15" s="2407" t="s">
        <v>897</v>
      </c>
      <c r="C15" s="2414"/>
      <c r="D15" s="2408"/>
      <c r="E15" s="2409">
        <f>メイン!H19</f>
        <v>15320</v>
      </c>
      <c r="F15" s="2415" t="s">
        <v>1761</v>
      </c>
      <c r="G15" s="2411"/>
      <c r="H15" s="2416"/>
      <c r="I15" s="2405"/>
      <c r="J15" s="2730"/>
      <c r="K15" s="2731"/>
      <c r="L15" s="733"/>
      <c r="O15" s="734"/>
      <c r="P15" s="693"/>
      <c r="Q15" s="693"/>
      <c r="R15" s="731" t="s">
        <v>1767</v>
      </c>
      <c r="S15" s="754" t="e">
        <f>IF(AND($S$10&gt;=50,$S$12&gt;=3),1,IF(S13&lt;0.5,1,IF(S13&lt;1,2,IF(S13&lt;1.5,3,IF(S13&lt;3,4,4))))/5)</f>
        <v>#VALUE!</v>
      </c>
      <c r="V15" s="755"/>
      <c r="Z15" s="755"/>
    </row>
    <row r="16" spans="1:28" s="702" customFormat="1" ht="21" customHeight="1">
      <c r="A16" s="693"/>
      <c r="B16" s="2396" t="s">
        <v>1768</v>
      </c>
      <c r="C16" s="2402"/>
      <c r="D16" s="2390" t="str">
        <f>メイン!H23&amp;メイン!I23</f>
        <v>S造一部○○</v>
      </c>
      <c r="E16" s="2391"/>
      <c r="F16" s="2391"/>
      <c r="G16" s="2392"/>
      <c r="H16" s="757" t="s">
        <v>898</v>
      </c>
      <c r="I16" s="2417" t="s">
        <v>899</v>
      </c>
      <c r="J16" s="2418" t="str">
        <f>IF(メイン!H33=0,"",メイン!H33)</f>
        <v>○○○</v>
      </c>
      <c r="K16" s="813"/>
      <c r="L16" s="2419"/>
      <c r="M16" s="771"/>
      <c r="N16" s="771"/>
      <c r="O16" s="1152"/>
      <c r="P16" s="693"/>
      <c r="Q16" s="693"/>
      <c r="R16" s="731" t="s">
        <v>1769</v>
      </c>
      <c r="S16" s="754" t="e">
        <f>1-S15</f>
        <v>#VALUE!</v>
      </c>
      <c r="T16" s="755"/>
      <c r="U16" s="756"/>
      <c r="V16" s="755"/>
      <c r="W16" s="755"/>
      <c r="X16" s="755"/>
      <c r="Y16" s="755"/>
      <c r="Z16" s="755"/>
      <c r="AA16" s="755"/>
      <c r="AB16" s="755"/>
    </row>
    <row r="17" spans="1:28" s="702" customFormat="1" ht="21" customHeight="1">
      <c r="A17" s="693"/>
      <c r="B17" s="2396" t="s">
        <v>1770</v>
      </c>
      <c r="C17" s="2420"/>
      <c r="D17" s="2713" t="str">
        <f>メイン!H22</f>
        <v>地上12F</v>
      </c>
      <c r="E17" s="2714"/>
      <c r="F17" s="2410"/>
      <c r="G17" s="2411"/>
      <c r="H17" s="511"/>
      <c r="I17" s="2417" t="s">
        <v>902</v>
      </c>
      <c r="J17" s="2421" t="str">
        <f>IF(メイン!H34=0,"",メイン!H34)</f>
        <v>○○○</v>
      </c>
      <c r="K17" s="2422"/>
      <c r="L17" s="757"/>
      <c r="M17" s="2417"/>
      <c r="O17" s="758"/>
      <c r="P17" s="693"/>
      <c r="Q17" s="693"/>
      <c r="R17" s="755"/>
      <c r="S17" s="755"/>
      <c r="T17" s="755"/>
      <c r="U17" s="755"/>
      <c r="V17" s="755"/>
      <c r="W17" s="755"/>
      <c r="X17" s="755"/>
      <c r="Y17" s="755"/>
      <c r="Z17" s="755"/>
      <c r="AA17" s="755"/>
      <c r="AB17" s="755"/>
    </row>
    <row r="18" spans="1:28" s="702" customFormat="1" ht="21" customHeight="1">
      <c r="A18" s="693"/>
      <c r="B18" s="2396" t="s">
        <v>2018</v>
      </c>
      <c r="C18" s="2420"/>
      <c r="D18" s="2713">
        <f>メイン!H15</f>
        <v>42339</v>
      </c>
      <c r="E18" s="2714"/>
      <c r="F18" s="2410"/>
      <c r="G18" s="2411"/>
      <c r="H18" s="511"/>
      <c r="I18" s="2417" t="s">
        <v>903</v>
      </c>
      <c r="J18" s="2421" t="str">
        <f>IF(メイン!H35=0,"",メイン!H35)</f>
        <v>○○○</v>
      </c>
      <c r="K18" s="2423"/>
      <c r="L18" s="760"/>
      <c r="M18" s="2417"/>
      <c r="O18" s="761"/>
      <c r="P18" s="693"/>
      <c r="Q18" s="693"/>
      <c r="R18" s="762"/>
      <c r="S18" s="763"/>
      <c r="T18" s="755"/>
      <c r="U18" s="755"/>
      <c r="V18" s="763"/>
      <c r="W18" s="764"/>
      <c r="X18" s="755"/>
      <c r="Y18" s="755"/>
      <c r="Z18" s="755"/>
      <c r="AA18" s="755"/>
      <c r="AB18" s="755"/>
    </row>
    <row r="19" spans="1:28" s="702" customFormat="1" ht="21" customHeight="1" thickBot="1">
      <c r="A19" s="693"/>
      <c r="B19" s="2424" t="s">
        <v>1771</v>
      </c>
      <c r="C19" s="2425"/>
      <c r="D19" s="2739" t="str">
        <f>メイン!C26</f>
        <v>○○</v>
      </c>
      <c r="E19" s="2740"/>
      <c r="F19" s="1039"/>
      <c r="G19" s="2426"/>
      <c r="H19" s="2427"/>
      <c r="I19" s="2428" t="s">
        <v>904</v>
      </c>
      <c r="J19" s="2429" t="str">
        <f>IF(メイン!H36=0,"",メイン!H36)</f>
        <v>○○○</v>
      </c>
      <c r="K19" s="2430"/>
      <c r="L19" s="767"/>
      <c r="M19" s="2428"/>
      <c r="N19" s="766"/>
      <c r="O19" s="768"/>
      <c r="P19" s="693"/>
      <c r="Q19" s="693"/>
      <c r="R19" s="762"/>
      <c r="S19" s="763"/>
      <c r="T19" s="755"/>
      <c r="U19" s="755"/>
      <c r="V19" s="763"/>
      <c r="W19" s="764"/>
      <c r="X19" s="755"/>
      <c r="Y19" s="755"/>
      <c r="Z19" s="755"/>
      <c r="AA19" s="755"/>
      <c r="AB19" s="755"/>
    </row>
    <row r="20" spans="1:28" s="702" customFormat="1" ht="5.25" customHeight="1">
      <c r="A20" s="693"/>
      <c r="B20" s="771"/>
      <c r="C20" s="2431"/>
      <c r="D20" s="2432"/>
      <c r="E20" s="2432"/>
      <c r="F20" s="2432"/>
      <c r="G20" s="2432"/>
      <c r="H20" s="771"/>
      <c r="I20" s="771"/>
      <c r="J20" s="771"/>
      <c r="K20" s="2433"/>
      <c r="L20" s="2434"/>
      <c r="M20" s="2435"/>
      <c r="N20" s="771"/>
      <c r="O20" s="2436"/>
      <c r="P20" s="693"/>
      <c r="Q20" s="693"/>
      <c r="R20" s="762"/>
      <c r="S20" s="763"/>
      <c r="T20" s="755"/>
      <c r="U20" s="755"/>
      <c r="V20" s="763"/>
      <c r="W20" s="764"/>
      <c r="X20" s="755"/>
      <c r="Y20" s="755"/>
      <c r="Z20" s="755"/>
      <c r="AA20" s="755"/>
      <c r="AB20" s="755"/>
    </row>
    <row r="21" spans="1:28" s="702" customFormat="1" ht="2.25" customHeight="1" thickBot="1">
      <c r="A21" s="693"/>
      <c r="B21" s="1048"/>
      <c r="C21" s="2437"/>
      <c r="D21" s="1048"/>
      <c r="I21" s="2438"/>
      <c r="J21" s="877"/>
      <c r="K21" s="2439"/>
      <c r="P21" s="693"/>
      <c r="Q21" s="693"/>
      <c r="R21" s="762"/>
      <c r="S21" s="763"/>
      <c r="T21" s="755"/>
      <c r="U21" s="755"/>
      <c r="V21" s="763"/>
      <c r="W21" s="764"/>
      <c r="X21" s="755"/>
      <c r="Y21" s="755"/>
      <c r="Z21" s="755"/>
      <c r="AA21" s="755"/>
      <c r="AB21" s="755"/>
    </row>
    <row r="22" spans="1:28" s="702" customFormat="1" ht="19.5" thickBot="1">
      <c r="A22" s="693"/>
      <c r="B22" s="775" t="s">
        <v>905</v>
      </c>
      <c r="C22" s="776"/>
      <c r="D22" s="777"/>
      <c r="E22" s="778"/>
      <c r="F22" s="778"/>
      <c r="G22" s="778"/>
      <c r="H22" s="720" t="s">
        <v>292</v>
      </c>
      <c r="I22" s="780"/>
      <c r="J22" s="781"/>
      <c r="K22" s="781"/>
      <c r="L22" s="779" t="s">
        <v>293</v>
      </c>
      <c r="M22" s="780"/>
      <c r="N22" s="781"/>
      <c r="O22" s="782"/>
      <c r="P22" s="693"/>
      <c r="Q22" s="693"/>
      <c r="R22" s="731" t="s">
        <v>1772</v>
      </c>
      <c r="S22" s="729" t="s">
        <v>906</v>
      </c>
      <c r="T22" s="729" t="s">
        <v>907</v>
      </c>
      <c r="U22" s="729" t="s">
        <v>908</v>
      </c>
      <c r="AB22" s="755"/>
    </row>
    <row r="23" spans="1:28" s="702" customFormat="1" ht="15" customHeight="1">
      <c r="A23" s="693"/>
      <c r="B23" s="733"/>
      <c r="G23" s="2440" t="e">
        <f>IF(S13&lt;0.5,"C",IF(S13&lt;1,"B-",IF(S13&lt;1.5,"B+",IF(S13&lt;3,"A","S"))))</f>
        <v>#VALUE!</v>
      </c>
      <c r="H23" s="783"/>
      <c r="I23" s="784"/>
      <c r="J23" s="784"/>
      <c r="K23" s="784"/>
      <c r="L23" s="785"/>
      <c r="M23" s="786"/>
      <c r="O23" s="787"/>
      <c r="R23" s="731" t="s">
        <v>1773</v>
      </c>
      <c r="S23" s="788"/>
      <c r="T23" s="788" t="e">
        <f>S11</f>
        <v>#VALUE!</v>
      </c>
      <c r="U23" s="788">
        <v>0</v>
      </c>
      <c r="V23" s="755"/>
      <c r="W23" s="729" t="s">
        <v>909</v>
      </c>
      <c r="X23" s="729"/>
      <c r="Y23" s="755"/>
      <c r="Z23" s="729" t="s">
        <v>910</v>
      </c>
      <c r="AA23" s="729"/>
      <c r="AB23" s="755"/>
    </row>
    <row r="24" spans="1:28" s="702" customFormat="1" ht="15" customHeight="1">
      <c r="A24" s="693"/>
      <c r="B24" s="733"/>
      <c r="C24" s="749"/>
      <c r="H24" s="789"/>
      <c r="I24" s="784"/>
      <c r="J24" s="784"/>
      <c r="K24" s="784"/>
      <c r="L24" s="785"/>
      <c r="M24" s="786"/>
      <c r="N24" s="790"/>
      <c r="O24" s="791"/>
      <c r="R24" s="731" t="s">
        <v>1774</v>
      </c>
      <c r="S24" s="788"/>
      <c r="T24" s="788">
        <f>S10</f>
        <v>50.000000000000014</v>
      </c>
      <c r="U24" s="788">
        <v>0</v>
      </c>
      <c r="V24" s="755"/>
      <c r="W24" s="736">
        <v>50</v>
      </c>
      <c r="X24" s="736">
        <v>50</v>
      </c>
      <c r="Y24" s="755"/>
      <c r="Z24" s="736">
        <v>0</v>
      </c>
      <c r="AA24" s="736">
        <v>100</v>
      </c>
      <c r="AB24" s="755"/>
    </row>
    <row r="25" spans="1:28" s="702" customFormat="1" ht="15" customHeight="1">
      <c r="A25" s="693"/>
      <c r="B25" s="733"/>
      <c r="G25" s="749" t="e">
        <f>S13</f>
        <v>#VALUE!</v>
      </c>
      <c r="H25" s="789"/>
      <c r="I25" s="784"/>
      <c r="J25" s="784"/>
      <c r="K25" s="784"/>
      <c r="L25" s="785"/>
      <c r="N25" s="790"/>
      <c r="O25" s="791"/>
      <c r="R25" s="736">
        <v>0</v>
      </c>
      <c r="S25" s="792" t="e">
        <f>T23</f>
        <v>#VALUE!</v>
      </c>
      <c r="T25" s="792" t="e">
        <f>T23</f>
        <v>#VALUE!</v>
      </c>
      <c r="U25" s="792">
        <v>0.1</v>
      </c>
      <c r="V25" s="755"/>
      <c r="W25" s="736">
        <v>0</v>
      </c>
      <c r="X25" s="736">
        <v>100</v>
      </c>
      <c r="Y25" s="755"/>
      <c r="Z25" s="736">
        <v>50</v>
      </c>
      <c r="AA25" s="736">
        <v>50</v>
      </c>
      <c r="AB25" s="755"/>
    </row>
    <row r="26" spans="1:28" s="702" customFormat="1" ht="17.25" customHeight="1">
      <c r="A26" s="693"/>
      <c r="B26" s="793"/>
      <c r="C26" s="794"/>
      <c r="D26" s="794"/>
      <c r="E26" s="794"/>
      <c r="F26" s="794"/>
      <c r="G26" s="795"/>
      <c r="H26" s="796"/>
      <c r="I26" s="784"/>
      <c r="J26" s="726"/>
      <c r="K26" s="784"/>
      <c r="L26" s="785"/>
      <c r="M26" s="786"/>
      <c r="N26" s="790"/>
      <c r="O26" s="791"/>
      <c r="R26" s="736">
        <v>0</v>
      </c>
      <c r="S26" s="792">
        <v>0</v>
      </c>
      <c r="T26" s="792">
        <f>T24</f>
        <v>50.000000000000014</v>
      </c>
      <c r="U26" s="792">
        <f>T24</f>
        <v>50.000000000000014</v>
      </c>
      <c r="V26" s="755"/>
      <c r="W26" s="755"/>
      <c r="X26" s="755"/>
      <c r="Y26" s="755"/>
      <c r="Z26" s="755"/>
      <c r="AA26" s="755"/>
      <c r="AB26" s="755"/>
    </row>
    <row r="27" spans="1:28" s="702" customFormat="1" ht="15" customHeight="1">
      <c r="A27" s="693"/>
      <c r="B27" s="733"/>
      <c r="H27" s="2003" t="str">
        <f>U35</f>
        <v>標準計算</v>
      </c>
      <c r="I27" s="1716"/>
      <c r="J27" s="1716"/>
      <c r="K27" s="1723"/>
      <c r="L27" s="785"/>
      <c r="N27" s="790"/>
      <c r="O27" s="791"/>
      <c r="V27" s="755"/>
      <c r="W27" s="755"/>
      <c r="X27" s="755"/>
      <c r="Y27" s="755"/>
      <c r="Z27" s="755"/>
      <c r="AA27" s="755"/>
      <c r="AB27" s="755"/>
    </row>
    <row r="28" spans="1:28" s="702" customFormat="1" ht="15" customHeight="1">
      <c r="A28" s="693"/>
      <c r="B28" s="733"/>
      <c r="H28" s="2005"/>
      <c r="I28" s="798"/>
      <c r="J28" s="799"/>
      <c r="K28" s="1717"/>
      <c r="L28" s="785"/>
      <c r="N28" s="790"/>
      <c r="O28" s="791"/>
      <c r="R28" s="801" t="s">
        <v>1759</v>
      </c>
      <c r="S28" s="729" t="s">
        <v>1775</v>
      </c>
      <c r="T28" s="802">
        <v>0</v>
      </c>
      <c r="U28" s="802">
        <f>100/6</f>
        <v>16.666666666666668</v>
      </c>
      <c r="V28" s="803">
        <f>U28*2</f>
        <v>33.333333333333336</v>
      </c>
      <c r="W28" s="802">
        <f>U28*3</f>
        <v>50</v>
      </c>
      <c r="X28" s="802">
        <f>U28*4</f>
        <v>66.666666666666671</v>
      </c>
      <c r="Y28" s="802">
        <f>U28*5</f>
        <v>83.333333333333343</v>
      </c>
      <c r="Z28" s="802">
        <v>100</v>
      </c>
      <c r="AA28" s="755"/>
      <c r="AB28" s="755"/>
    </row>
    <row r="29" spans="1:28" s="702" customFormat="1" ht="15" customHeight="1">
      <c r="A29" s="693"/>
      <c r="B29" s="733"/>
      <c r="H29" s="2005"/>
      <c r="I29" s="798"/>
      <c r="J29" s="799"/>
      <c r="K29" s="800"/>
      <c r="L29" s="785"/>
      <c r="N29" s="790"/>
      <c r="O29" s="791"/>
      <c r="R29" s="801"/>
      <c r="S29" s="729" t="s">
        <v>1776</v>
      </c>
      <c r="T29" s="802">
        <v>100</v>
      </c>
      <c r="U29" s="802">
        <v>100</v>
      </c>
      <c r="V29" s="802">
        <v>100</v>
      </c>
      <c r="W29" s="802">
        <v>100</v>
      </c>
      <c r="X29" s="802">
        <v>100</v>
      </c>
      <c r="Y29" s="802">
        <v>100</v>
      </c>
      <c r="Z29" s="802">
        <v>100</v>
      </c>
      <c r="AA29" s="755"/>
      <c r="AB29" s="755"/>
    </row>
    <row r="30" spans="1:28" s="702" customFormat="1" ht="15" customHeight="1">
      <c r="A30" s="693"/>
      <c r="B30" s="733"/>
      <c r="H30" s="2005"/>
      <c r="I30" s="798"/>
      <c r="J30" s="799"/>
      <c r="K30" s="1714"/>
      <c r="L30" s="804"/>
      <c r="M30" s="805"/>
      <c r="N30" s="806"/>
      <c r="O30" s="807"/>
      <c r="R30" s="801">
        <v>3</v>
      </c>
      <c r="S30" s="729" t="s">
        <v>1777</v>
      </c>
      <c r="T30" s="802">
        <v>50</v>
      </c>
      <c r="U30" s="802">
        <f t="shared" ref="U30:X33" si="0">U$28*$R30</f>
        <v>50</v>
      </c>
      <c r="V30" s="802">
        <f t="shared" si="0"/>
        <v>100</v>
      </c>
      <c r="W30" s="802">
        <v>100</v>
      </c>
      <c r="X30" s="802">
        <v>100</v>
      </c>
      <c r="Y30" s="802">
        <v>100</v>
      </c>
      <c r="Z30" s="802">
        <v>100</v>
      </c>
      <c r="AA30" s="755"/>
      <c r="AB30" s="755"/>
    </row>
    <row r="31" spans="1:28" s="702" customFormat="1" ht="15" customHeight="1">
      <c r="A31" s="693"/>
      <c r="B31" s="733"/>
      <c r="H31" s="2005"/>
      <c r="I31" s="798"/>
      <c r="J31" s="799"/>
      <c r="K31" s="1714"/>
      <c r="L31" s="797"/>
      <c r="M31" s="798"/>
      <c r="N31" s="799"/>
      <c r="O31" s="1715"/>
      <c r="R31" s="801">
        <v>1.5</v>
      </c>
      <c r="S31" s="729" t="s">
        <v>1778</v>
      </c>
      <c r="T31" s="802">
        <v>0</v>
      </c>
      <c r="U31" s="802">
        <f t="shared" si="0"/>
        <v>25</v>
      </c>
      <c r="V31" s="802">
        <f t="shared" si="0"/>
        <v>50</v>
      </c>
      <c r="W31" s="802">
        <f t="shared" si="0"/>
        <v>75</v>
      </c>
      <c r="X31" s="802">
        <f t="shared" si="0"/>
        <v>100</v>
      </c>
      <c r="Y31" s="802">
        <v>100</v>
      </c>
      <c r="Z31" s="802">
        <v>100</v>
      </c>
      <c r="AA31" s="755"/>
      <c r="AB31" s="755"/>
    </row>
    <row r="32" spans="1:28" s="702" customFormat="1" ht="15" customHeight="1">
      <c r="A32" s="693"/>
      <c r="B32" s="733"/>
      <c r="H32" s="2005"/>
      <c r="I32" s="798"/>
      <c r="J32" s="799"/>
      <c r="K32" s="800"/>
      <c r="L32" s="785"/>
      <c r="N32" s="790"/>
      <c r="O32" s="791"/>
      <c r="R32" s="801">
        <v>1</v>
      </c>
      <c r="S32" s="729" t="s">
        <v>1779</v>
      </c>
      <c r="T32" s="802">
        <v>0</v>
      </c>
      <c r="U32" s="802">
        <f t="shared" si="0"/>
        <v>16.666666666666668</v>
      </c>
      <c r="V32" s="802">
        <f t="shared" si="0"/>
        <v>33.333333333333336</v>
      </c>
      <c r="W32" s="802">
        <f t="shared" si="0"/>
        <v>50</v>
      </c>
      <c r="X32" s="802">
        <f t="shared" si="0"/>
        <v>66.666666666666671</v>
      </c>
      <c r="Y32" s="802">
        <f>Y$28*$R32</f>
        <v>83.333333333333343</v>
      </c>
      <c r="Z32" s="802">
        <f>Z$28*$R32</f>
        <v>100</v>
      </c>
      <c r="AA32" s="755"/>
      <c r="AB32" s="755"/>
    </row>
    <row r="33" spans="1:30" s="702" customFormat="1" ht="15" customHeight="1">
      <c r="A33" s="693"/>
      <c r="B33" s="733"/>
      <c r="H33" s="2005"/>
      <c r="I33" s="798"/>
      <c r="J33" s="799"/>
      <c r="K33" s="800"/>
      <c r="L33" s="785"/>
      <c r="N33" s="790"/>
      <c r="O33" s="791"/>
      <c r="R33" s="801">
        <v>0.5</v>
      </c>
      <c r="S33" s="729" t="s">
        <v>1780</v>
      </c>
      <c r="T33" s="802">
        <v>0</v>
      </c>
      <c r="U33" s="802">
        <f t="shared" si="0"/>
        <v>8.3333333333333339</v>
      </c>
      <c r="V33" s="802">
        <f t="shared" si="0"/>
        <v>16.666666666666668</v>
      </c>
      <c r="W33" s="802">
        <f t="shared" si="0"/>
        <v>25</v>
      </c>
      <c r="X33" s="802">
        <f t="shared" si="0"/>
        <v>33.333333333333336</v>
      </c>
      <c r="Y33" s="802">
        <f>Y$28*$R33</f>
        <v>41.666666666666671</v>
      </c>
      <c r="Z33" s="802">
        <f>Z$28*$R33</f>
        <v>50</v>
      </c>
      <c r="AA33" s="755"/>
      <c r="AB33" s="755"/>
    </row>
    <row r="34" spans="1:30" s="702" customFormat="1" ht="15" customHeight="1" thickBot="1">
      <c r="A34" s="693"/>
      <c r="B34" s="733"/>
      <c r="H34" s="2006"/>
      <c r="I34" s="784"/>
      <c r="J34" s="784"/>
      <c r="K34" s="784"/>
      <c r="L34" s="785"/>
      <c r="M34" s="786"/>
      <c r="N34" s="790"/>
      <c r="O34" s="791"/>
      <c r="AA34" s="755"/>
      <c r="AB34" s="755"/>
    </row>
    <row r="35" spans="1:30" s="702" customFormat="1" ht="15" customHeight="1" thickBot="1">
      <c r="A35" s="760"/>
      <c r="B35" s="733"/>
      <c r="H35" s="2006"/>
      <c r="I35" s="784"/>
      <c r="J35" s="784"/>
      <c r="K35" s="784"/>
      <c r="L35" s="2441"/>
      <c r="M35" s="534"/>
      <c r="N35" s="534"/>
      <c r="O35" s="2442"/>
      <c r="R35" s="731" t="s">
        <v>1781</v>
      </c>
      <c r="S35" s="754" t="e">
        <f>IF(T35&lt;=0.3,1,IF(X40&lt;=0.6,0.8,IF(X40&lt;=0.8,0.6,IF(X40&lt;=1,0.4,0.2))))</f>
        <v>#VALUE!</v>
      </c>
      <c r="T35" s="1718" t="e">
        <f>IF(U35=W35,X41,X42)</f>
        <v>#VALUE!</v>
      </c>
      <c r="U35" s="810" t="str">
        <f>メイン!C44</f>
        <v>標準計算</v>
      </c>
      <c r="V35" s="1722" t="s">
        <v>1782</v>
      </c>
      <c r="W35" s="813" t="s">
        <v>446</v>
      </c>
      <c r="X35" s="813" t="s">
        <v>919</v>
      </c>
      <c r="AA35" s="755"/>
      <c r="AB35" s="755"/>
    </row>
    <row r="36" spans="1:30" s="702" customFormat="1" ht="15" customHeight="1">
      <c r="A36" s="760"/>
      <c r="B36" s="733"/>
      <c r="H36" s="2741" t="str">
        <f>IF(U35=W35,X35,X36)</f>
        <v>このグラフは、LR3中の「地球温暖化への配慮」の内容を、一般的な建物（参照値）と比べたライフサイクルCO2 排出量の目安で示したものです</v>
      </c>
      <c r="I36" s="2742"/>
      <c r="J36" s="2742"/>
      <c r="K36" s="2743"/>
      <c r="L36" s="2441"/>
      <c r="M36" s="534"/>
      <c r="N36" s="534"/>
      <c r="O36" s="2442"/>
      <c r="R36" s="731" t="s">
        <v>1783</v>
      </c>
      <c r="S36" s="1719" t="e">
        <f>1-S35</f>
        <v>#VALUE!</v>
      </c>
      <c r="T36" s="1718"/>
      <c r="U36" s="813" t="s">
        <v>1784</v>
      </c>
      <c r="V36" s="1718" t="str">
        <f>IF(U35=W36,V35,"")</f>
        <v/>
      </c>
      <c r="W36" s="813" t="s">
        <v>448</v>
      </c>
      <c r="X36" s="813" t="s">
        <v>921</v>
      </c>
      <c r="AA36" s="755"/>
      <c r="AB36" s="755"/>
    </row>
    <row r="37" spans="1:30" s="702" customFormat="1" ht="22.5" customHeight="1" thickBot="1">
      <c r="A37" s="760"/>
      <c r="B37" s="733"/>
      <c r="C37" s="814"/>
      <c r="H37" s="2741"/>
      <c r="I37" s="2742"/>
      <c r="J37" s="2742"/>
      <c r="K37" s="2743"/>
      <c r="L37" s="2441"/>
      <c r="M37" s="534"/>
      <c r="N37" s="534"/>
      <c r="O37" s="2442"/>
      <c r="AA37" s="755"/>
      <c r="AB37" s="755"/>
    </row>
    <row r="38" spans="1:30" s="702" customFormat="1" ht="20.100000000000001" customHeight="1" thickBot="1">
      <c r="A38" s="760"/>
      <c r="B38" s="765"/>
      <c r="C38" s="766"/>
      <c r="D38" s="766"/>
      <c r="E38" s="766"/>
      <c r="F38" s="766"/>
      <c r="G38" s="766"/>
      <c r="H38" s="2744"/>
      <c r="I38" s="2745"/>
      <c r="J38" s="2745"/>
      <c r="K38" s="2746"/>
      <c r="L38" s="2443" t="s">
        <v>1785</v>
      </c>
      <c r="M38" s="820"/>
      <c r="N38" s="2444" t="str">
        <f>IF(メイン!I41="","無",メイン!I41)</f>
        <v>無</v>
      </c>
      <c r="O38" s="2445"/>
      <c r="R38" s="808" t="s">
        <v>1786</v>
      </c>
      <c r="S38" s="809" t="s">
        <v>916</v>
      </c>
      <c r="T38" s="809" t="s">
        <v>917</v>
      </c>
      <c r="U38" s="809" t="s">
        <v>918</v>
      </c>
      <c r="V38" s="809" t="s">
        <v>1787</v>
      </c>
      <c r="W38" s="809" t="s">
        <v>1788</v>
      </c>
      <c r="X38" s="809" t="s">
        <v>1789</v>
      </c>
      <c r="Y38" s="728" t="s">
        <v>1790</v>
      </c>
      <c r="AC38" s="755"/>
      <c r="AD38" s="755"/>
    </row>
    <row r="39" spans="1:30" s="702" customFormat="1" ht="18" customHeight="1" thickBot="1">
      <c r="A39" s="693"/>
      <c r="B39" s="815" t="s">
        <v>1791</v>
      </c>
      <c r="C39" s="816"/>
      <c r="D39" s="817"/>
      <c r="E39" s="816"/>
      <c r="F39" s="816"/>
      <c r="G39" s="816"/>
      <c r="H39" s="818"/>
      <c r="I39" s="819"/>
      <c r="J39" s="816"/>
      <c r="K39" s="816"/>
      <c r="L39" s="816"/>
      <c r="M39" s="820"/>
      <c r="N39" s="820"/>
      <c r="O39" s="821"/>
      <c r="P39" s="693"/>
      <c r="Q39" s="693"/>
      <c r="R39" s="728" t="s">
        <v>1792</v>
      </c>
      <c r="S39" s="811">
        <f>IF($U$35=$W$35,'条件(標準)_後'!D9,'条件(個別)_後'!D9)</f>
        <v>15.490086161879896</v>
      </c>
      <c r="T39" s="811">
        <f>IF($U$35=$W$35,'条件(標準)_後'!D34,'条件(個別)_後'!D34)</f>
        <v>13.907772845953003</v>
      </c>
      <c r="U39" s="811" t="e">
        <f>IF($U$35=$W$35,'条件(標準)_後'!D46,'条件(個別)_後'!D46)</f>
        <v>#VALUE!</v>
      </c>
      <c r="V39" s="811"/>
      <c r="W39" s="811"/>
      <c r="X39" s="812">
        <v>1</v>
      </c>
      <c r="Y39" s="728" t="e">
        <f>IF(COUNTIF(S39:W39,Z40)&gt;0,Z40,SUM(S39:W39))</f>
        <v>#VALUE!</v>
      </c>
      <c r="AC39" s="755"/>
      <c r="AD39" s="755"/>
    </row>
    <row r="40" spans="1:30" s="702" customFormat="1" ht="18.75">
      <c r="A40" s="693"/>
      <c r="B40" s="822" t="s">
        <v>924</v>
      </c>
      <c r="C40" s="823"/>
      <c r="D40" s="823"/>
      <c r="E40" s="824"/>
      <c r="F40" s="823"/>
      <c r="G40" s="823"/>
      <c r="H40" s="823"/>
      <c r="I40" s="823"/>
      <c r="J40" s="823"/>
      <c r="K40" s="825"/>
      <c r="L40" s="826"/>
      <c r="M40" s="827" t="s">
        <v>1793</v>
      </c>
      <c r="N40" s="828">
        <f>スコア表示!U8</f>
        <v>3</v>
      </c>
      <c r="O40" s="829"/>
      <c r="P40" s="693"/>
      <c r="Q40" s="693"/>
      <c r="R40" s="728" t="s">
        <v>1794</v>
      </c>
      <c r="S40" s="811">
        <f>IF($U$35=$W$35,'条件(標準)_後'!E9,'条件(個別)_後'!E9)</f>
        <v>13.071952219321147</v>
      </c>
      <c r="T40" s="811">
        <f>IF($U$35=$W$35,'条件(標準)_後'!E34,'条件(個別)_後'!E34)</f>
        <v>13.907772845953003</v>
      </c>
      <c r="U40" s="811" t="e">
        <f>IF($U$35=$W$35,'条件(標準)_後'!E46,'条件(個別)_後'!E46)</f>
        <v>#VALUE!</v>
      </c>
      <c r="V40" s="811"/>
      <c r="W40" s="811"/>
      <c r="X40" s="812" t="e">
        <f>IF(Y39=Z40,Z40,Y40/Y39)</f>
        <v>#VALUE!</v>
      </c>
      <c r="Y40" s="728" t="e">
        <f>IF(COUNTIF(S40:W40,Z41)&gt;0,Z41,SUM(S40:W40))</f>
        <v>#VALUE!</v>
      </c>
      <c r="Z40" s="702" t="s">
        <v>1795</v>
      </c>
      <c r="AC40" s="755"/>
      <c r="AD40" s="755"/>
    </row>
    <row r="41" spans="1:30" s="702" customFormat="1" ht="15">
      <c r="A41" s="693"/>
      <c r="B41" s="733"/>
      <c r="C41" s="830" t="str">
        <f>スコア表示!B9&amp;" "&amp;スコア表示!D9</f>
        <v>Q1 室内環境</v>
      </c>
      <c r="D41" s="831"/>
      <c r="E41" s="831"/>
      <c r="F41" s="831"/>
      <c r="G41" s="831"/>
      <c r="H41" s="831" t="str">
        <f>"     "&amp;スコア表示!B61&amp;" "&amp;スコア表示!D61</f>
        <v xml:space="preserve">     Q2 サービス性能</v>
      </c>
      <c r="I41" s="831"/>
      <c r="J41" s="760"/>
      <c r="K41" s="760"/>
      <c r="L41" s="832" t="str">
        <f>スコア表示!B109&amp;" "&amp;スコア表示!D109</f>
        <v>Q3 室外環境（敷地内）</v>
      </c>
      <c r="M41" s="832"/>
      <c r="N41" s="760"/>
      <c r="O41" s="833"/>
      <c r="P41" s="693"/>
      <c r="R41" s="728" t="s">
        <v>1796</v>
      </c>
      <c r="S41" s="1713"/>
      <c r="T41" s="1713"/>
      <c r="U41" s="1713"/>
      <c r="V41" s="811" t="e">
        <f>IF($U$35=$W$35,'条件(標準)_後'!E9+'条件(標準)_後'!E34+'条件(標準)_後'!E47,'条件(個別)_後'!E9+'条件(個別)_後'!E34+'条件(個別)_後'!E47)</f>
        <v>#VALUE!</v>
      </c>
      <c r="W41" s="811"/>
      <c r="X41" s="812" t="e">
        <f>IF(Y39=Z41,Z41,Y41/Y39)</f>
        <v>#VALUE!</v>
      </c>
      <c r="Y41" s="728" t="e">
        <f>IF(COUNTIF(S41:W41,Z42)&gt;0,Z42,SUM(S41:W41))</f>
        <v>#VALUE!</v>
      </c>
      <c r="Z41" s="702" t="s">
        <v>1795</v>
      </c>
    </row>
    <row r="42" spans="1:30" s="702" customFormat="1" ht="15" customHeight="1">
      <c r="A42" s="693"/>
      <c r="B42" s="733"/>
      <c r="C42" s="834"/>
      <c r="D42" s="835"/>
      <c r="E42" s="836"/>
      <c r="G42" s="831">
        <f>S45</f>
        <v>3</v>
      </c>
      <c r="I42" s="836"/>
      <c r="K42" s="831">
        <f>V45</f>
        <v>3</v>
      </c>
      <c r="M42" s="837"/>
      <c r="N42" s="836"/>
      <c r="O42" s="838">
        <f>Y45</f>
        <v>3</v>
      </c>
      <c r="P42" s="693"/>
      <c r="Q42" s="693"/>
      <c r="R42" s="728" t="s">
        <v>1797</v>
      </c>
      <c r="S42" s="1713"/>
      <c r="T42" s="1713"/>
      <c r="U42" s="1713"/>
      <c r="V42" s="1712"/>
      <c r="W42" s="811" t="e">
        <f>IF($U$35=$W$35,'条件(標準)_後'!E9+'条件(標準)_後'!E34+'条件(標準)_後'!E52,'条件(個別)_後'!E9+'条件(個別)_後'!E34+'条件(個別)_後'!E52)</f>
        <v>#VALUE!</v>
      </c>
      <c r="X42" s="812" t="e">
        <f>IF(Y39=Z42,Z42,Y42/Y39)</f>
        <v>#VALUE!</v>
      </c>
      <c r="Y42" s="728" t="e">
        <f>IF(COUNTIF(S42:W42,Z42)&gt;0,Z42,SUM(S42:W42))</f>
        <v>#VALUE!</v>
      </c>
      <c r="Z42" s="702" t="s">
        <v>1795</v>
      </c>
    </row>
    <row r="43" spans="1:30" s="702" customFormat="1" ht="15" customHeight="1">
      <c r="A43" s="693"/>
      <c r="B43" s="733"/>
      <c r="G43" s="711"/>
      <c r="H43" s="711"/>
      <c r="I43" s="712"/>
      <c r="J43" s="712"/>
      <c r="K43" s="711"/>
      <c r="L43" s="760"/>
      <c r="M43" s="760"/>
      <c r="N43" s="760"/>
      <c r="O43" s="833"/>
      <c r="P43" s="693"/>
      <c r="Q43" s="693"/>
      <c r="AA43" s="755"/>
      <c r="AB43" s="755"/>
    </row>
    <row r="44" spans="1:30" s="702" customFormat="1" ht="15" customHeight="1">
      <c r="A44" s="693"/>
      <c r="B44" s="733"/>
      <c r="G44" s="711"/>
      <c r="H44" s="711"/>
      <c r="I44" s="712"/>
      <c r="J44" s="712"/>
      <c r="K44" s="711"/>
      <c r="L44" s="760"/>
      <c r="M44" s="760"/>
      <c r="N44" s="760"/>
      <c r="O44" s="833"/>
      <c r="P44" s="693"/>
      <c r="Q44" s="693"/>
      <c r="R44" s="731"/>
      <c r="S44" s="731" t="s">
        <v>1798</v>
      </c>
      <c r="T44" s="731" t="s">
        <v>1799</v>
      </c>
      <c r="U44" s="731"/>
      <c r="V44" s="731" t="s">
        <v>1800</v>
      </c>
      <c r="W44" s="731" t="s">
        <v>1799</v>
      </c>
      <c r="X44" s="731"/>
      <c r="Y44" s="731" t="s">
        <v>1800</v>
      </c>
      <c r="Z44" s="731" t="s">
        <v>1799</v>
      </c>
      <c r="AA44" s="755"/>
      <c r="AB44" s="755"/>
    </row>
    <row r="45" spans="1:30" s="702" customFormat="1" ht="15" customHeight="1">
      <c r="A45" s="693"/>
      <c r="B45" s="733"/>
      <c r="G45" s="711"/>
      <c r="H45" s="711"/>
      <c r="I45" s="712"/>
      <c r="J45" s="712"/>
      <c r="K45" s="711"/>
      <c r="L45" s="760"/>
      <c r="M45" s="760"/>
      <c r="N45" s="760"/>
      <c r="O45" s="833"/>
      <c r="P45" s="693"/>
      <c r="Q45" s="693"/>
      <c r="R45" s="839" t="s">
        <v>1801</v>
      </c>
      <c r="S45" s="840">
        <f>スコア表示!U9</f>
        <v>3</v>
      </c>
      <c r="T45" s="840">
        <f>スコア表示!AO9</f>
        <v>3</v>
      </c>
      <c r="U45" s="729" t="s">
        <v>1802</v>
      </c>
      <c r="V45" s="840">
        <f>スコア表示!U61</f>
        <v>3</v>
      </c>
      <c r="W45" s="840">
        <f>スコア表示!AO61</f>
        <v>3.0000000000000009</v>
      </c>
      <c r="X45" s="839" t="s">
        <v>1803</v>
      </c>
      <c r="Y45" s="840">
        <f>スコア表示!U109</f>
        <v>3</v>
      </c>
      <c r="Z45" s="840">
        <f>スコア表示!AO109</f>
        <v>3</v>
      </c>
      <c r="AA45" s="755"/>
      <c r="AB45" s="755"/>
    </row>
    <row r="46" spans="1:30" s="702" customFormat="1" ht="15" customHeight="1">
      <c r="A46" s="693"/>
      <c r="B46" s="733"/>
      <c r="G46" s="711"/>
      <c r="H46" s="711"/>
      <c r="I46" s="712"/>
      <c r="J46" s="712"/>
      <c r="K46" s="711"/>
      <c r="L46" s="760"/>
      <c r="M46" s="760"/>
      <c r="N46" s="760"/>
      <c r="O46" s="833"/>
      <c r="P46" s="693"/>
      <c r="Q46" s="693"/>
      <c r="AA46" s="755"/>
      <c r="AB46" s="755"/>
    </row>
    <row r="47" spans="1:30" s="702" customFormat="1" ht="15" customHeight="1">
      <c r="A47" s="693"/>
      <c r="B47" s="733"/>
      <c r="G47" s="711"/>
      <c r="H47" s="711"/>
      <c r="I47" s="712"/>
      <c r="J47" s="712"/>
      <c r="K47" s="711"/>
      <c r="L47" s="760"/>
      <c r="M47" s="760"/>
      <c r="N47" s="760"/>
      <c r="O47" s="833"/>
      <c r="P47" s="693"/>
      <c r="Q47" s="693"/>
      <c r="R47" s="731"/>
      <c r="S47" s="731" t="s">
        <v>1804</v>
      </c>
      <c r="T47" s="731" t="s">
        <v>1805</v>
      </c>
      <c r="U47" s="731"/>
      <c r="V47" s="731" t="s">
        <v>1804</v>
      </c>
      <c r="W47" s="731" t="s">
        <v>1805</v>
      </c>
      <c r="X47" s="731"/>
      <c r="Y47" s="841" t="s">
        <v>1804</v>
      </c>
      <c r="Z47" s="731" t="s">
        <v>1805</v>
      </c>
      <c r="AA47" s="755"/>
      <c r="AB47" s="755"/>
    </row>
    <row r="48" spans="1:30" s="702" customFormat="1" ht="15" customHeight="1">
      <c r="A48" s="693"/>
      <c r="B48" s="733"/>
      <c r="G48" s="843"/>
      <c r="H48" s="843"/>
      <c r="I48" s="712"/>
      <c r="J48" s="712"/>
      <c r="K48" s="711"/>
      <c r="L48" s="760"/>
      <c r="M48" s="760"/>
      <c r="N48" s="760"/>
      <c r="O48" s="833"/>
      <c r="P48" s="693"/>
      <c r="Q48" s="693"/>
      <c r="R48" s="842" t="s">
        <v>925</v>
      </c>
      <c r="S48" s="840">
        <f>スコア表示!U10</f>
        <v>3</v>
      </c>
      <c r="T48" s="731" t="str">
        <f>IF(S48=0,"N.A.","")</f>
        <v/>
      </c>
      <c r="U48" s="729" t="s">
        <v>926</v>
      </c>
      <c r="V48" s="840">
        <f>スコア表示!U62</f>
        <v>3</v>
      </c>
      <c r="W48" s="731" t="str">
        <f>IF(V48=0,"N.A.","")</f>
        <v/>
      </c>
      <c r="X48" s="842" t="s">
        <v>927</v>
      </c>
      <c r="Y48" s="840">
        <f>スコア表示!U110</f>
        <v>3</v>
      </c>
      <c r="Z48" s="731" t="str">
        <f>IF(Y48=0,"N.A.","")</f>
        <v/>
      </c>
      <c r="AA48" s="755"/>
      <c r="AB48" s="755"/>
    </row>
    <row r="49" spans="1:28" s="702" customFormat="1" ht="15" customHeight="1">
      <c r="A49" s="760"/>
      <c r="B49" s="733"/>
      <c r="G49" s="843"/>
      <c r="H49" s="843"/>
      <c r="I49" s="712"/>
      <c r="J49" s="712"/>
      <c r="K49" s="711"/>
      <c r="L49" s="760"/>
      <c r="M49" s="760"/>
      <c r="N49" s="760"/>
      <c r="O49" s="833"/>
      <c r="P49" s="760"/>
      <c r="Q49" s="693"/>
      <c r="R49" s="842" t="s">
        <v>928</v>
      </c>
      <c r="S49" s="840">
        <f>スコア表示!U20</f>
        <v>3</v>
      </c>
      <c r="T49" s="731" t="str">
        <f>IF(S49=0,"N.A.","")</f>
        <v/>
      </c>
      <c r="U49" s="729" t="s">
        <v>1046</v>
      </c>
      <c r="V49" s="840">
        <f>スコア表示!U75</f>
        <v>3</v>
      </c>
      <c r="W49" s="731" t="str">
        <f>IF(V49=0,"N.A.","")</f>
        <v/>
      </c>
      <c r="X49" s="842" t="s">
        <v>1806</v>
      </c>
      <c r="Y49" s="840">
        <f>スコア表示!U111</f>
        <v>3</v>
      </c>
      <c r="Z49" s="731" t="str">
        <f>IF(Y49=0,"N.A.","")</f>
        <v/>
      </c>
      <c r="AA49" s="755"/>
      <c r="AB49" s="755"/>
    </row>
    <row r="50" spans="1:28" s="702" customFormat="1" ht="15" customHeight="1">
      <c r="A50" s="760"/>
      <c r="B50" s="733"/>
      <c r="G50" s="844"/>
      <c r="H50" s="845"/>
      <c r="I50" s="846"/>
      <c r="J50" s="846"/>
      <c r="K50" s="847"/>
      <c r="L50" s="848"/>
      <c r="M50" s="848"/>
      <c r="N50" s="848"/>
      <c r="O50" s="849"/>
      <c r="P50" s="760"/>
      <c r="Q50" s="693"/>
      <c r="R50" s="842" t="s">
        <v>1047</v>
      </c>
      <c r="S50" s="840">
        <f>スコア表示!U34</f>
        <v>3</v>
      </c>
      <c r="T50" s="731" t="str">
        <f>IF(S50=0,"N.A.","")</f>
        <v/>
      </c>
      <c r="U50" s="729" t="s">
        <v>1048</v>
      </c>
      <c r="V50" s="840">
        <f>スコア表示!U97</f>
        <v>3</v>
      </c>
      <c r="W50" s="731" t="str">
        <f>IF(V50=0,"N.A.","")</f>
        <v/>
      </c>
      <c r="X50" s="842" t="s">
        <v>1049</v>
      </c>
      <c r="Y50" s="840">
        <f>スコア表示!U112</f>
        <v>3</v>
      </c>
      <c r="Z50" s="731" t="str">
        <f>IF(Y50=0,"N.A.","")</f>
        <v/>
      </c>
      <c r="AA50" s="755"/>
      <c r="AB50" s="755"/>
    </row>
    <row r="51" spans="1:28" s="702" customFormat="1" ht="18" customHeight="1">
      <c r="A51" s="850"/>
      <c r="B51" s="851" t="s">
        <v>1807</v>
      </c>
      <c r="C51" s="852"/>
      <c r="D51" s="853"/>
      <c r="E51" s="852"/>
      <c r="F51" s="852"/>
      <c r="G51" s="852"/>
      <c r="H51" s="823"/>
      <c r="I51" s="823"/>
      <c r="J51" s="823"/>
      <c r="K51" s="825"/>
      <c r="L51" s="826"/>
      <c r="M51" s="827" t="s">
        <v>1808</v>
      </c>
      <c r="N51" s="854" t="e">
        <f>スコア表示!U116</f>
        <v>#VALUE!</v>
      </c>
      <c r="O51" s="829"/>
      <c r="P51" s="693"/>
      <c r="Q51" s="693"/>
      <c r="R51" s="842" t="s">
        <v>1050</v>
      </c>
      <c r="S51" s="840">
        <f>スコア表示!U47</f>
        <v>3</v>
      </c>
      <c r="T51" s="731" t="str">
        <f>IF(S51=0,"N.A.","")</f>
        <v/>
      </c>
      <c r="U51" s="755"/>
      <c r="V51" s="755"/>
      <c r="W51" s="755"/>
      <c r="X51" s="755"/>
      <c r="Y51" s="755"/>
      <c r="Z51" s="755"/>
      <c r="AA51" s="755"/>
      <c r="AB51" s="755"/>
    </row>
    <row r="52" spans="1:28" s="702" customFormat="1" ht="15">
      <c r="A52" s="693"/>
      <c r="B52" s="855"/>
      <c r="C52" s="832" t="str">
        <f>スコア表示!B117&amp;" "&amp;スコア表示!D117</f>
        <v>LR1 エネルギー</v>
      </c>
      <c r="D52" s="832"/>
      <c r="E52" s="856"/>
      <c r="F52" s="832"/>
      <c r="G52" s="832"/>
      <c r="H52" s="832" t="str">
        <f>"     "&amp;スコア表示!B140&amp;" "&amp;スコア表示!D140</f>
        <v xml:space="preserve">     LR2 資源・マテリアル</v>
      </c>
      <c r="I52" s="832"/>
      <c r="J52" s="832"/>
      <c r="K52" s="832"/>
      <c r="L52" s="830" t="str">
        <f>スコア表示!B159&amp;" "&amp;スコア表示!D159</f>
        <v>LR3 敷地外環境</v>
      </c>
      <c r="M52" s="832"/>
      <c r="N52" s="832"/>
      <c r="O52" s="857"/>
      <c r="P52" s="693"/>
      <c r="Q52" s="693"/>
      <c r="R52" s="755"/>
      <c r="S52" s="755"/>
      <c r="T52" s="731"/>
      <c r="U52" s="755"/>
      <c r="V52" s="755"/>
      <c r="W52" s="755"/>
      <c r="X52" s="755"/>
      <c r="Y52" s="755"/>
      <c r="Z52" s="755"/>
      <c r="AA52" s="755"/>
      <c r="AB52" s="755"/>
    </row>
    <row r="53" spans="1:28" s="702" customFormat="1" ht="15">
      <c r="A53" s="760"/>
      <c r="B53" s="725"/>
      <c r="C53" s="834"/>
      <c r="D53" s="835"/>
      <c r="E53" s="836"/>
      <c r="G53" s="831">
        <f>S56</f>
        <v>1.5</v>
      </c>
      <c r="I53" s="836"/>
      <c r="K53" s="831">
        <f>V56</f>
        <v>3</v>
      </c>
      <c r="L53" s="836"/>
      <c r="N53" s="858"/>
      <c r="O53" s="838" t="e">
        <f>Y56</f>
        <v>#VALUE!</v>
      </c>
      <c r="P53" s="760"/>
      <c r="Q53" s="693"/>
      <c r="R53" s="755"/>
      <c r="S53" s="755"/>
      <c r="T53" s="755"/>
      <c r="U53" s="755"/>
      <c r="V53" s="755"/>
      <c r="W53" s="755"/>
      <c r="X53" s="755"/>
      <c r="Y53" s="755"/>
      <c r="Z53" s="755"/>
      <c r="AA53" s="755"/>
      <c r="AB53" s="755"/>
    </row>
    <row r="54" spans="1:28" s="702" customFormat="1" ht="14.25">
      <c r="A54" s="760"/>
      <c r="B54" s="725"/>
      <c r="C54" s="859"/>
      <c r="D54" s="859"/>
      <c r="E54" s="860"/>
      <c r="F54" s="844"/>
      <c r="G54" s="844"/>
      <c r="H54" s="844"/>
      <c r="I54" s="712"/>
      <c r="J54" s="712"/>
      <c r="K54" s="711"/>
      <c r="L54" s="711"/>
      <c r="M54" s="726"/>
      <c r="N54" s="726"/>
      <c r="O54" s="727"/>
      <c r="P54" s="760"/>
      <c r="Q54" s="693"/>
      <c r="AA54" s="755"/>
      <c r="AB54" s="755"/>
    </row>
    <row r="55" spans="1:28" s="702" customFormat="1" ht="15.75" customHeight="1">
      <c r="A55" s="693"/>
      <c r="B55" s="725"/>
      <c r="C55" s="726"/>
      <c r="D55" s="862"/>
      <c r="E55" s="710"/>
      <c r="F55" s="711"/>
      <c r="G55" s="711"/>
      <c r="H55" s="711"/>
      <c r="I55" s="863"/>
      <c r="J55" s="712"/>
      <c r="K55" s="711"/>
      <c r="L55" s="711"/>
      <c r="M55" s="726"/>
      <c r="N55" s="726"/>
      <c r="O55" s="727"/>
      <c r="P55" s="693"/>
      <c r="Q55" s="693"/>
      <c r="R55" s="731"/>
      <c r="S55" s="731" t="s">
        <v>1804</v>
      </c>
      <c r="T55" s="731" t="s">
        <v>1809</v>
      </c>
      <c r="U55" s="731"/>
      <c r="V55" s="731" t="s">
        <v>1804</v>
      </c>
      <c r="W55" s="731" t="s">
        <v>1809</v>
      </c>
      <c r="X55" s="731"/>
      <c r="Y55" s="731" t="s">
        <v>1804</v>
      </c>
      <c r="Z55" s="731" t="s">
        <v>1809</v>
      </c>
      <c r="AA55" s="755"/>
      <c r="AB55" s="755"/>
    </row>
    <row r="56" spans="1:28" s="702" customFormat="1" ht="15.75" customHeight="1">
      <c r="A56" s="693"/>
      <c r="B56" s="725"/>
      <c r="C56" s="708"/>
      <c r="D56" s="709"/>
      <c r="E56" s="710"/>
      <c r="F56" s="711"/>
      <c r="G56" s="711"/>
      <c r="H56" s="711"/>
      <c r="I56" s="863"/>
      <c r="J56" s="712"/>
      <c r="K56" s="711"/>
      <c r="L56" s="711"/>
      <c r="M56" s="726"/>
      <c r="N56" s="726"/>
      <c r="O56" s="727"/>
      <c r="P56" s="693"/>
      <c r="Q56" s="693"/>
      <c r="R56" s="729" t="s">
        <v>1810</v>
      </c>
      <c r="S56" s="840">
        <f>スコア表示!U117</f>
        <v>1.5</v>
      </c>
      <c r="T56" s="840">
        <f>スコア表示!AO117</f>
        <v>1.5012941284421262</v>
      </c>
      <c r="U56" s="729" t="s">
        <v>1052</v>
      </c>
      <c r="V56" s="840">
        <f>スコア表示!U140</f>
        <v>3</v>
      </c>
      <c r="W56" s="840">
        <f>スコア表示!AO140</f>
        <v>3.0000000000000004</v>
      </c>
      <c r="X56" s="729" t="s">
        <v>1053</v>
      </c>
      <c r="Y56" s="840" t="e">
        <f>スコア表示!U159</f>
        <v>#VALUE!</v>
      </c>
      <c r="Z56" s="840" t="e">
        <f>スコア表示!AO159</f>
        <v>#VALUE!</v>
      </c>
      <c r="AA56" s="755"/>
      <c r="AB56" s="755"/>
    </row>
    <row r="57" spans="1:28" s="702" customFormat="1" ht="15.75" customHeight="1">
      <c r="A57" s="693"/>
      <c r="B57" s="865"/>
      <c r="C57" s="708"/>
      <c r="D57" s="709"/>
      <c r="E57" s="710"/>
      <c r="F57" s="711"/>
      <c r="G57" s="711"/>
      <c r="H57" s="711"/>
      <c r="I57" s="863"/>
      <c r="J57" s="712"/>
      <c r="K57" s="711"/>
      <c r="L57" s="711"/>
      <c r="M57" s="726"/>
      <c r="N57" s="726"/>
      <c r="O57" s="727"/>
      <c r="P57" s="693"/>
      <c r="Q57" s="693"/>
      <c r="Y57" s="861"/>
      <c r="AA57" s="755"/>
      <c r="AB57" s="755"/>
    </row>
    <row r="58" spans="1:28" s="702" customFormat="1" ht="15.75" customHeight="1">
      <c r="A58" s="693"/>
      <c r="B58" s="865"/>
      <c r="C58" s="708"/>
      <c r="D58" s="709"/>
      <c r="E58" s="710"/>
      <c r="F58" s="711"/>
      <c r="G58" s="711"/>
      <c r="H58" s="711"/>
      <c r="I58" s="863"/>
      <c r="J58" s="712"/>
      <c r="K58" s="711"/>
      <c r="L58" s="711"/>
      <c r="M58" s="726"/>
      <c r="N58" s="726"/>
      <c r="O58" s="727"/>
      <c r="P58" s="693"/>
      <c r="Q58" s="693"/>
      <c r="R58" s="731"/>
      <c r="S58" s="731" t="s">
        <v>1804</v>
      </c>
      <c r="T58" s="731" t="s">
        <v>1805</v>
      </c>
      <c r="U58" s="731"/>
      <c r="V58" s="731" t="s">
        <v>1804</v>
      </c>
      <c r="W58" s="731" t="s">
        <v>1805</v>
      </c>
      <c r="X58" s="731"/>
      <c r="Y58" s="841" t="s">
        <v>1804</v>
      </c>
      <c r="Z58" s="731" t="s">
        <v>1805</v>
      </c>
      <c r="AA58" s="755"/>
      <c r="AB58" s="755"/>
    </row>
    <row r="59" spans="1:28" s="702" customFormat="1" ht="15.75" customHeight="1">
      <c r="A59" s="693"/>
      <c r="B59" s="865"/>
      <c r="C59" s="708"/>
      <c r="D59" s="709"/>
      <c r="E59" s="710"/>
      <c r="F59" s="711"/>
      <c r="G59" s="711"/>
      <c r="H59" s="711"/>
      <c r="I59" s="863"/>
      <c r="J59" s="712"/>
      <c r="K59" s="711"/>
      <c r="L59" s="711"/>
      <c r="M59" s="726"/>
      <c r="N59" s="726"/>
      <c r="O59" s="727"/>
      <c r="P59" s="693"/>
      <c r="Q59" s="693"/>
      <c r="R59" s="729" t="s">
        <v>1054</v>
      </c>
      <c r="S59" s="840">
        <f>スコア表示!U118</f>
        <v>0.1</v>
      </c>
      <c r="T59" s="731" t="str">
        <f>IF(S59=0,"N.A.","")</f>
        <v/>
      </c>
      <c r="U59" s="864" t="s">
        <v>1055</v>
      </c>
      <c r="V59" s="840">
        <f>スコア表示!U141</f>
        <v>3</v>
      </c>
      <c r="W59" s="731" t="str">
        <f>IF(V59=0,"N.A.","")</f>
        <v/>
      </c>
      <c r="X59" s="729" t="s">
        <v>1056</v>
      </c>
      <c r="Y59" s="840" t="e">
        <f>スコア表示!U160</f>
        <v>#VALUE!</v>
      </c>
      <c r="Z59" s="731" t="e">
        <f>IF(Y59=0,"N.A.","")</f>
        <v>#VALUE!</v>
      </c>
      <c r="AA59" s="755"/>
      <c r="AB59" s="755"/>
    </row>
    <row r="60" spans="1:28" s="702" customFormat="1" ht="15.75" customHeight="1">
      <c r="A60" s="693"/>
      <c r="B60" s="865"/>
      <c r="C60" s="708"/>
      <c r="D60" s="709"/>
      <c r="E60" s="710"/>
      <c r="F60" s="711"/>
      <c r="G60" s="711"/>
      <c r="H60" s="711"/>
      <c r="I60" s="863"/>
      <c r="J60" s="712"/>
      <c r="K60" s="711"/>
      <c r="L60" s="711"/>
      <c r="M60" s="726"/>
      <c r="N60" s="726"/>
      <c r="O60" s="727"/>
      <c r="P60" s="693"/>
      <c r="Q60" s="693"/>
      <c r="R60" s="729" t="s">
        <v>1057</v>
      </c>
      <c r="S60" s="840">
        <f>スコア表示!U119</f>
        <v>3</v>
      </c>
      <c r="T60" s="731" t="str">
        <f>IF(S60=0,"N.A.","")</f>
        <v/>
      </c>
      <c r="U60" s="864" t="s">
        <v>0</v>
      </c>
      <c r="V60" s="840">
        <f>スコア表示!U146</f>
        <v>3</v>
      </c>
      <c r="W60" s="731" t="str">
        <f>IF(V60=0,"N.A.","")</f>
        <v/>
      </c>
      <c r="X60" s="729" t="s">
        <v>1</v>
      </c>
      <c r="Y60" s="840">
        <f>スコア表示!U161</f>
        <v>3</v>
      </c>
      <c r="Z60" s="731" t="str">
        <f>IF(Y60=0,"N.A.","")</f>
        <v/>
      </c>
      <c r="AA60" s="755"/>
      <c r="AB60" s="755"/>
    </row>
    <row r="61" spans="1:28" s="702" customFormat="1" ht="15.75" customHeight="1" thickBot="1">
      <c r="A61" s="693"/>
      <c r="B61" s="869"/>
      <c r="C61" s="870"/>
      <c r="D61" s="871"/>
      <c r="E61" s="870"/>
      <c r="F61" s="872"/>
      <c r="G61" s="872"/>
      <c r="H61" s="872"/>
      <c r="I61" s="873"/>
      <c r="J61" s="767"/>
      <c r="K61" s="767"/>
      <c r="L61" s="767"/>
      <c r="M61" s="874"/>
      <c r="N61" s="874"/>
      <c r="O61" s="875"/>
      <c r="P61" s="693"/>
      <c r="Q61" s="693"/>
      <c r="R61" s="729" t="s">
        <v>2</v>
      </c>
      <c r="S61" s="840">
        <f>スコア表示!U124</f>
        <v>0.9</v>
      </c>
      <c r="T61" s="731" t="str">
        <f>IF(S61=0,"N.A.","")</f>
        <v/>
      </c>
      <c r="U61" s="866" t="s">
        <v>3</v>
      </c>
      <c r="V61" s="867">
        <f>スコア表示!U153</f>
        <v>3</v>
      </c>
      <c r="W61" s="731" t="str">
        <f>IF(V61=0,"N.A.","")</f>
        <v/>
      </c>
      <c r="X61" s="729" t="s">
        <v>4</v>
      </c>
      <c r="Y61" s="840">
        <f>スコア表示!U169</f>
        <v>3</v>
      </c>
      <c r="Z61" s="731" t="str">
        <f>IF(Y61=0,"N.A.","")</f>
        <v/>
      </c>
      <c r="AA61" s="755"/>
      <c r="AB61" s="755"/>
    </row>
    <row r="62" spans="1:28" s="702" customFormat="1" ht="6" customHeight="1" thickBot="1">
      <c r="A62" s="693"/>
      <c r="B62" s="877"/>
      <c r="C62" s="863"/>
      <c r="D62" s="878"/>
      <c r="E62" s="710"/>
      <c r="F62" s="711"/>
      <c r="G62" s="711"/>
      <c r="H62" s="711"/>
      <c r="I62" s="712"/>
      <c r="J62" s="712"/>
      <c r="K62" s="711"/>
      <c r="L62" s="711"/>
      <c r="M62" s="726"/>
      <c r="N62" s="726"/>
      <c r="O62" s="726"/>
      <c r="P62" s="693"/>
      <c r="Q62" s="760"/>
      <c r="R62" s="729" t="s">
        <v>5</v>
      </c>
      <c r="S62" s="840">
        <f>スコア表示!U133</f>
        <v>3</v>
      </c>
      <c r="T62" s="731" t="str">
        <f>IF(S62=0,"N.A.","")</f>
        <v/>
      </c>
      <c r="U62" s="755"/>
      <c r="V62" s="868"/>
      <c r="W62" s="868"/>
      <c r="X62" s="868"/>
      <c r="Y62" s="868"/>
      <c r="Z62" s="868"/>
      <c r="AA62" s="755"/>
      <c r="AB62" s="755"/>
    </row>
    <row r="63" spans="1:28" s="702" customFormat="1" ht="15.75">
      <c r="A63" s="693"/>
      <c r="B63" s="775" t="s">
        <v>6</v>
      </c>
      <c r="C63" s="879"/>
      <c r="D63" s="880"/>
      <c r="E63" s="879"/>
      <c r="F63" s="879"/>
      <c r="G63" s="879"/>
      <c r="H63" s="881"/>
      <c r="I63" s="882"/>
      <c r="J63" s="879"/>
      <c r="K63" s="879"/>
      <c r="L63" s="879"/>
      <c r="M63" s="883"/>
      <c r="N63" s="883"/>
      <c r="O63" s="884"/>
      <c r="P63" s="693"/>
      <c r="Q63" s="760"/>
      <c r="R63" s="755"/>
      <c r="S63" s="755"/>
      <c r="T63" s="755"/>
      <c r="U63" s="755"/>
      <c r="V63" s="868"/>
      <c r="W63" s="868"/>
      <c r="X63" s="868"/>
      <c r="Y63" s="868"/>
      <c r="Z63" s="868"/>
      <c r="AA63" s="755"/>
      <c r="AB63" s="755"/>
    </row>
    <row r="64" spans="1:28" s="702" customFormat="1" ht="14.25">
      <c r="A64" s="693"/>
      <c r="B64" s="885" t="s">
        <v>7</v>
      </c>
      <c r="C64" s="886"/>
      <c r="D64" s="887"/>
      <c r="E64" s="886"/>
      <c r="F64" s="886"/>
      <c r="G64" s="886"/>
      <c r="H64" s="886"/>
      <c r="I64" s="886"/>
      <c r="J64" s="886"/>
      <c r="K64" s="888"/>
      <c r="L64" s="889" t="s">
        <v>8</v>
      </c>
      <c r="M64" s="890"/>
      <c r="N64" s="890"/>
      <c r="O64" s="891"/>
      <c r="P64" s="693"/>
      <c r="Q64" s="760"/>
      <c r="R64" s="876"/>
      <c r="S64" s="755"/>
      <c r="T64" s="755"/>
      <c r="U64" s="755"/>
      <c r="V64" s="868"/>
      <c r="W64" s="868"/>
      <c r="X64" s="868"/>
      <c r="Y64" s="868"/>
      <c r="Z64" s="868"/>
      <c r="AA64" s="755"/>
      <c r="AB64" s="755"/>
    </row>
    <row r="65" spans="1:28" s="702" customFormat="1" ht="52.5" customHeight="1">
      <c r="A65" s="693"/>
      <c r="B65" s="2747" t="str">
        <f>IF(配慮事項!C7=0,"",配慮事項!C7)</f>
        <v>注）　改修における総合的なコンセプトを簡潔に記載してください。
　（省エネ改修、室内環境改善、外装の更新、高耐久化、情報化対応、コンバージョンなど）</v>
      </c>
      <c r="C65" s="2748"/>
      <c r="D65" s="2748"/>
      <c r="E65" s="2748"/>
      <c r="F65" s="2748"/>
      <c r="G65" s="2748"/>
      <c r="H65" s="2748"/>
      <c r="I65" s="2748"/>
      <c r="J65" s="2748"/>
      <c r="K65" s="2749"/>
      <c r="L65" s="2750" t="str">
        <f>IF(配慮事項!C14=0,"",配慮事項!C14)</f>
        <v>注）　上記の６つのカテゴリー以外に、改修工事における廃棄物削減・リサイクル、改修による歴史的建造物の延命など、建物自体の環境性能としてＣＡＳＢＥＥで評価し難い環境配慮の取組みがあれば、ここに記載してください。</v>
      </c>
      <c r="M65" s="2751"/>
      <c r="N65" s="2751"/>
      <c r="O65" s="2752"/>
      <c r="P65" s="693"/>
      <c r="Q65" s="760"/>
      <c r="R65" s="755"/>
      <c r="S65" s="755"/>
      <c r="T65" s="755"/>
      <c r="U65" s="755"/>
      <c r="V65" s="868"/>
      <c r="W65" s="868"/>
      <c r="X65" s="868"/>
      <c r="Y65" s="868"/>
      <c r="Z65" s="868"/>
      <c r="AA65" s="755"/>
      <c r="AB65" s="755"/>
    </row>
    <row r="66" spans="1:28" s="702" customFormat="1" ht="15">
      <c r="A66" s="693"/>
      <c r="B66" s="892" t="str">
        <f>配慮事項!B8</f>
        <v>Q1 
室内環境</v>
      </c>
      <c r="C66" s="890"/>
      <c r="D66" s="890"/>
      <c r="E66" s="890"/>
      <c r="F66" s="890"/>
      <c r="G66" s="893"/>
      <c r="H66" s="894" t="str">
        <f>配慮事項!B9</f>
        <v>Q2 
サービス性能</v>
      </c>
      <c r="I66" s="895"/>
      <c r="J66" s="895"/>
      <c r="K66" s="896"/>
      <c r="L66" s="897" t="str">
        <f>配慮事項!B10</f>
        <v>Q3 
室外環境（敷地内）</v>
      </c>
      <c r="M66" s="898"/>
      <c r="N66" s="899"/>
      <c r="O66" s="900"/>
      <c r="P66" s="693"/>
      <c r="Q66" s="760"/>
      <c r="R66" s="755"/>
      <c r="S66" s="755"/>
      <c r="T66" s="755"/>
      <c r="U66" s="755"/>
      <c r="V66" s="755"/>
      <c r="W66" s="755"/>
      <c r="X66" s="755"/>
      <c r="Y66" s="755"/>
      <c r="Z66" s="755"/>
      <c r="AA66" s="755"/>
      <c r="AB66" s="755"/>
    </row>
    <row r="67" spans="1:28" s="702" customFormat="1" ht="50.25" customHeight="1">
      <c r="A67" s="693"/>
      <c r="B67" s="2753" t="str">
        <f>IF(配慮事項!C8=0,"",配慮事項!C8)</f>
        <v>注）　改修における「Q1　室内環境」に対する配慮事項を簡潔に記載してください。</v>
      </c>
      <c r="C67" s="2754"/>
      <c r="D67" s="2754"/>
      <c r="E67" s="2754"/>
      <c r="F67" s="2754"/>
      <c r="G67" s="2755"/>
      <c r="H67" s="2756" t="str">
        <f>IF(配慮事項!C9=0,"",配慮事項!C9)</f>
        <v>注）　改修における「Q2　サービス性能」に対する配慮事項を簡潔に記載してください。</v>
      </c>
      <c r="I67" s="2751"/>
      <c r="J67" s="2751"/>
      <c r="K67" s="2757"/>
      <c r="L67" s="2756" t="str">
        <f>IF(配慮事項!C10=0,"",配慮事項!C10)</f>
        <v>注）　改修における「Q3　室外環境（敷地内）」に対する配慮事項を簡潔に記載してください。</v>
      </c>
      <c r="M67" s="2751"/>
      <c r="N67" s="2751"/>
      <c r="O67" s="2752"/>
      <c r="P67" s="693"/>
      <c r="Q67" s="760"/>
      <c r="R67" s="755"/>
      <c r="S67" s="755"/>
      <c r="T67" s="755"/>
      <c r="U67" s="755"/>
      <c r="V67" s="755"/>
      <c r="W67" s="755"/>
      <c r="X67" s="755"/>
      <c r="Y67" s="755"/>
      <c r="Z67" s="755"/>
      <c r="AA67" s="755"/>
      <c r="AB67" s="755"/>
    </row>
    <row r="68" spans="1:28" s="702" customFormat="1" ht="15">
      <c r="A68" s="693"/>
      <c r="B68" s="901" t="str">
        <f>配慮事項!B11</f>
        <v>LR1 
エネルギー</v>
      </c>
      <c r="C68" s="902"/>
      <c r="D68" s="887"/>
      <c r="E68" s="887"/>
      <c r="F68" s="887"/>
      <c r="G68" s="903"/>
      <c r="H68" s="904" t="str">
        <f>配慮事項!B12</f>
        <v>LR2 
資源・マテリアル</v>
      </c>
      <c r="I68" s="890"/>
      <c r="J68" s="890"/>
      <c r="K68" s="893"/>
      <c r="L68" s="905" t="str">
        <f>配慮事項!B13</f>
        <v>LR3 
敷地外環境</v>
      </c>
      <c r="M68" s="902"/>
      <c r="N68" s="887"/>
      <c r="O68" s="906"/>
      <c r="P68" s="693"/>
      <c r="Q68" s="760"/>
      <c r="R68" s="755"/>
      <c r="S68" s="755"/>
      <c r="T68" s="755"/>
      <c r="U68" s="755"/>
      <c r="V68" s="755"/>
      <c r="W68" s="755"/>
      <c r="X68" s="755"/>
      <c r="Y68" s="755"/>
      <c r="Z68" s="755"/>
      <c r="AA68" s="755"/>
      <c r="AB68" s="755"/>
    </row>
    <row r="69" spans="1:28" s="702" customFormat="1" ht="61.5" customHeight="1" thickBot="1">
      <c r="A69" s="693"/>
      <c r="B69" s="2732" t="str">
        <f>IF(配慮事項!C11=0,"",配慮事項!C11)</f>
        <v>注）　改修における「LR1　エネルギー」に対する配慮事項を簡潔に記載してください。</v>
      </c>
      <c r="C69" s="2733"/>
      <c r="D69" s="2733"/>
      <c r="E69" s="2733"/>
      <c r="F69" s="2733"/>
      <c r="G69" s="2734"/>
      <c r="H69" s="2735" t="str">
        <f>IF(配慮事項!C12=0,"",配慮事項!C12)</f>
        <v>注）　改修における「LR2　資源・マテリアル」に対する配慮事項を簡潔に記載してください。</v>
      </c>
      <c r="I69" s="2736"/>
      <c r="J69" s="2736"/>
      <c r="K69" s="2737"/>
      <c r="L69" s="2735" t="str">
        <f>IF(配慮事項!C13=0,"",配慮事項!C13)</f>
        <v>注）　改修における「LR3　敷地外環境」に対する配慮事項を簡潔に記載してください。</v>
      </c>
      <c r="M69" s="2736"/>
      <c r="N69" s="2736"/>
      <c r="O69" s="2738"/>
      <c r="P69" s="693"/>
      <c r="Q69" s="760"/>
      <c r="R69" s="755"/>
      <c r="S69" s="755"/>
      <c r="T69" s="755"/>
      <c r="U69" s="755"/>
      <c r="V69" s="755"/>
      <c r="W69" s="755"/>
      <c r="X69" s="755"/>
      <c r="Y69" s="755"/>
      <c r="Z69" s="755"/>
      <c r="AA69" s="755"/>
      <c r="AB69" s="755"/>
    </row>
    <row r="70" spans="1:28" s="702" customFormat="1" ht="5.25" customHeight="1">
      <c r="A70" s="693"/>
      <c r="B70" s="693"/>
      <c r="C70" s="693"/>
      <c r="D70" s="693"/>
      <c r="E70" s="693"/>
      <c r="F70" s="693"/>
      <c r="G70" s="693"/>
      <c r="H70" s="693"/>
      <c r="I70" s="693"/>
      <c r="J70" s="693"/>
      <c r="K70" s="693"/>
      <c r="L70" s="693"/>
      <c r="M70" s="693"/>
      <c r="N70" s="693"/>
      <c r="O70" s="693"/>
      <c r="P70" s="693"/>
      <c r="Q70" s="693"/>
      <c r="R70" s="755"/>
      <c r="S70" s="755"/>
      <c r="T70" s="755"/>
      <c r="U70" s="755"/>
      <c r="V70" s="755"/>
      <c r="W70" s="755"/>
      <c r="X70" s="755"/>
      <c r="Y70" s="755"/>
      <c r="Z70" s="755"/>
      <c r="AA70" s="755"/>
      <c r="AB70" s="755"/>
    </row>
    <row r="71" spans="1:28" s="702" customFormat="1" ht="16.5" hidden="1" thickBot="1">
      <c r="A71" s="693"/>
      <c r="B71" s="907" t="s">
        <v>9</v>
      </c>
      <c r="C71" s="908"/>
      <c r="D71" s="909"/>
      <c r="E71" s="908"/>
      <c r="F71" s="908"/>
      <c r="G71" s="908"/>
      <c r="H71" s="908"/>
      <c r="I71" s="908"/>
      <c r="J71" s="910"/>
      <c r="K71" s="911"/>
      <c r="L71" s="911"/>
      <c r="M71" s="911"/>
      <c r="N71" s="912"/>
      <c r="O71" s="913" t="s">
        <v>10</v>
      </c>
      <c r="P71" s="693"/>
      <c r="Q71" s="693"/>
      <c r="R71" s="755"/>
      <c r="S71" s="755"/>
      <c r="T71" s="755"/>
      <c r="U71" s="755"/>
      <c r="V71" s="755"/>
      <c r="W71" s="755"/>
      <c r="X71" s="755"/>
      <c r="Y71" s="755"/>
      <c r="Z71" s="755"/>
      <c r="AA71" s="755"/>
      <c r="AB71" s="755"/>
    </row>
    <row r="72" spans="1:28" s="702" customFormat="1" ht="15.75" hidden="1">
      <c r="A72" s="693"/>
      <c r="B72" s="914" t="s">
        <v>11</v>
      </c>
      <c r="C72" s="915"/>
      <c r="D72" s="916"/>
      <c r="E72" s="915"/>
      <c r="F72" s="915"/>
      <c r="G72" s="915"/>
      <c r="H72" s="915"/>
      <c r="I72" s="915"/>
      <c r="J72" s="917"/>
      <c r="K72" s="918"/>
      <c r="L72" s="919"/>
      <c r="M72" s="919"/>
      <c r="N72" s="917"/>
      <c r="O72" s="920" t="s">
        <v>1811</v>
      </c>
      <c r="P72" s="693"/>
      <c r="Q72" s="693"/>
      <c r="R72" s="755"/>
      <c r="S72" s="755"/>
      <c r="T72" s="755"/>
      <c r="U72" s="755"/>
      <c r="V72" s="755"/>
      <c r="W72" s="755"/>
      <c r="X72" s="755"/>
      <c r="Y72" s="755"/>
      <c r="Z72" s="755"/>
      <c r="AA72" s="755"/>
      <c r="AB72" s="755"/>
    </row>
    <row r="73" spans="1:28" s="702" customFormat="1" ht="14.25" hidden="1">
      <c r="A73" s="693"/>
      <c r="B73" s="921"/>
      <c r="C73" s="922"/>
      <c r="D73" s="923"/>
      <c r="E73" s="924" t="s">
        <v>12</v>
      </c>
      <c r="F73" s="925"/>
      <c r="G73" s="925"/>
      <c r="H73" s="924" t="s">
        <v>13</v>
      </c>
      <c r="I73" s="925"/>
      <c r="J73" s="924" t="s">
        <v>14</v>
      </c>
      <c r="K73" s="926"/>
      <c r="L73" s="924" t="s">
        <v>15</v>
      </c>
      <c r="M73" s="925"/>
      <c r="N73" s="925"/>
      <c r="O73" s="927" t="s">
        <v>1812</v>
      </c>
      <c r="P73" s="693"/>
      <c r="Q73" s="693"/>
      <c r="R73" s="755"/>
      <c r="S73" s="755"/>
      <c r="T73" s="755"/>
      <c r="U73" s="755"/>
      <c r="V73" s="755"/>
      <c r="W73" s="755"/>
      <c r="X73" s="755"/>
      <c r="Y73" s="755"/>
      <c r="Z73" s="755"/>
      <c r="AA73" s="755"/>
      <c r="AB73" s="755"/>
    </row>
    <row r="74" spans="1:28" s="702" customFormat="1" ht="14.25" hidden="1">
      <c r="A74" s="693"/>
      <c r="B74" s="928"/>
      <c r="C74" s="929" t="s">
        <v>16</v>
      </c>
      <c r="D74" s="930"/>
      <c r="E74" s="931"/>
      <c r="F74" s="932" t="s">
        <v>17</v>
      </c>
      <c r="G74" s="933"/>
      <c r="H74" s="931"/>
      <c r="I74" s="932" t="s">
        <v>18</v>
      </c>
      <c r="J74" s="934"/>
      <c r="K74" s="932" t="s">
        <v>17</v>
      </c>
      <c r="L74" s="935"/>
      <c r="M74" s="936"/>
      <c r="N74" s="937"/>
      <c r="O74" s="938"/>
      <c r="P74" s="693"/>
      <c r="Q74" s="693"/>
      <c r="R74" s="755"/>
      <c r="S74" s="755"/>
      <c r="T74" s="755"/>
      <c r="U74" s="755"/>
      <c r="V74" s="755"/>
      <c r="W74" s="755"/>
      <c r="X74" s="755"/>
      <c r="Y74" s="755"/>
      <c r="Z74" s="755"/>
      <c r="AA74" s="755"/>
      <c r="AB74" s="755"/>
    </row>
    <row r="75" spans="1:28" s="702" customFormat="1" ht="15.75" hidden="1">
      <c r="A75" s="693"/>
      <c r="B75" s="928"/>
      <c r="C75" s="939" t="s">
        <v>19</v>
      </c>
      <c r="D75" s="940"/>
      <c r="E75" s="941"/>
      <c r="F75" s="844" t="s">
        <v>20</v>
      </c>
      <c r="G75" s="844"/>
      <c r="H75" s="941"/>
      <c r="I75" s="844" t="s">
        <v>21</v>
      </c>
      <c r="J75" s="942"/>
      <c r="K75" s="844" t="s">
        <v>20</v>
      </c>
      <c r="L75" s="943"/>
      <c r="N75" s="944"/>
      <c r="O75" s="945"/>
      <c r="P75" s="693"/>
      <c r="Q75" s="693"/>
      <c r="W75" s="755"/>
      <c r="X75" s="755"/>
      <c r="Y75" s="755"/>
      <c r="Z75" s="755"/>
      <c r="AA75" s="755"/>
      <c r="AB75" s="755"/>
    </row>
    <row r="76" spans="1:28" s="702" customFormat="1" ht="14.25" hidden="1">
      <c r="A76" s="946"/>
      <c r="B76" s="947"/>
      <c r="C76" s="948" t="s">
        <v>22</v>
      </c>
      <c r="D76" s="940"/>
      <c r="E76" s="941"/>
      <c r="F76" s="933" t="s">
        <v>23</v>
      </c>
      <c r="G76" s="933"/>
      <c r="H76" s="941"/>
      <c r="I76" s="933" t="s">
        <v>24</v>
      </c>
      <c r="J76" s="942"/>
      <c r="K76" s="933" t="s">
        <v>23</v>
      </c>
      <c r="L76" s="943"/>
      <c r="N76" s="949"/>
      <c r="O76" s="945"/>
      <c r="P76" s="946"/>
      <c r="Q76" s="693"/>
      <c r="W76" s="755"/>
      <c r="X76" s="755"/>
      <c r="Y76" s="755"/>
      <c r="Z76" s="755"/>
      <c r="AA76" s="755"/>
      <c r="AB76" s="755"/>
    </row>
    <row r="77" spans="1:28" s="702" customFormat="1" ht="15.75" hidden="1">
      <c r="A77" s="693"/>
      <c r="B77" s="928"/>
      <c r="C77" s="950" t="s">
        <v>25</v>
      </c>
      <c r="D77" s="940"/>
      <c r="E77" s="941"/>
      <c r="F77" s="844" t="s">
        <v>20</v>
      </c>
      <c r="G77" s="844"/>
      <c r="H77" s="941"/>
      <c r="I77" s="844" t="s">
        <v>21</v>
      </c>
      <c r="J77" s="942"/>
      <c r="K77" s="844" t="s">
        <v>20</v>
      </c>
      <c r="L77" s="943"/>
      <c r="N77" s="944"/>
      <c r="O77" s="951"/>
      <c r="P77" s="693"/>
      <c r="Q77" s="693"/>
      <c r="W77" s="755"/>
      <c r="X77" s="755"/>
      <c r="Y77" s="755"/>
      <c r="Z77" s="755"/>
      <c r="AA77" s="755"/>
      <c r="AB77" s="755"/>
    </row>
    <row r="78" spans="1:28" s="702" customFormat="1" ht="14.25" hidden="1">
      <c r="A78" s="693"/>
      <c r="B78" s="928"/>
      <c r="C78" s="950" t="s">
        <v>26</v>
      </c>
      <c r="D78" s="940"/>
      <c r="E78" s="941"/>
      <c r="F78" s="521" t="s">
        <v>27</v>
      </c>
      <c r="G78" s="844"/>
      <c r="H78" s="941"/>
      <c r="I78" s="521" t="s">
        <v>28</v>
      </c>
      <c r="J78" s="942"/>
      <c r="K78" s="521" t="s">
        <v>27</v>
      </c>
      <c r="L78" s="943"/>
      <c r="N78" s="944"/>
      <c r="O78" s="727"/>
      <c r="P78" s="693"/>
      <c r="Q78" s="693"/>
      <c r="W78" s="755"/>
      <c r="X78" s="755"/>
      <c r="Y78" s="755"/>
      <c r="Z78" s="755"/>
      <c r="AA78" s="755"/>
      <c r="AB78" s="755"/>
    </row>
    <row r="79" spans="1:28" s="702" customFormat="1" ht="14.25" hidden="1">
      <c r="A79" s="693"/>
      <c r="B79" s="928"/>
      <c r="C79" s="950" t="s">
        <v>29</v>
      </c>
      <c r="D79" s="940"/>
      <c r="E79" s="941"/>
      <c r="F79" s="521" t="s">
        <v>27</v>
      </c>
      <c r="G79" s="844"/>
      <c r="H79" s="941"/>
      <c r="I79" s="521" t="s">
        <v>28</v>
      </c>
      <c r="J79" s="942"/>
      <c r="K79" s="521" t="s">
        <v>27</v>
      </c>
      <c r="L79" s="943"/>
      <c r="N79" s="944"/>
      <c r="O79" s="945"/>
      <c r="P79" s="693"/>
      <c r="Q79" s="693"/>
      <c r="W79" s="755"/>
      <c r="X79" s="755"/>
      <c r="Y79" s="755"/>
      <c r="Z79" s="755"/>
      <c r="AA79" s="755"/>
      <c r="AB79" s="755"/>
    </row>
    <row r="80" spans="1:28" s="702" customFormat="1" ht="15" hidden="1" thickBot="1">
      <c r="A80" s="693"/>
      <c r="B80" s="952"/>
      <c r="C80" s="953"/>
      <c r="D80" s="954"/>
      <c r="E80" s="955"/>
      <c r="F80" s="956"/>
      <c r="G80" s="870"/>
      <c r="H80" s="955"/>
      <c r="I80" s="956"/>
      <c r="J80" s="957"/>
      <c r="K80" s="956"/>
      <c r="L80" s="943"/>
      <c r="N80" s="958"/>
      <c r="O80" s="959"/>
      <c r="P80" s="693"/>
      <c r="Q80" s="693"/>
      <c r="W80" s="755"/>
      <c r="X80" s="755"/>
      <c r="Y80" s="755"/>
      <c r="Z80" s="755"/>
      <c r="AA80" s="755"/>
      <c r="AB80" s="755"/>
    </row>
    <row r="81" spans="1:37" s="702" customFormat="1" ht="16.5" hidden="1" thickBot="1">
      <c r="A81" s="693"/>
      <c r="B81" s="218" t="s">
        <v>30</v>
      </c>
      <c r="C81" s="960"/>
      <c r="D81" s="961"/>
      <c r="E81" s="962"/>
      <c r="F81" s="963"/>
      <c r="G81" s="963"/>
      <c r="H81" s="963"/>
      <c r="I81" s="963"/>
      <c r="J81" s="963"/>
      <c r="K81" s="963"/>
      <c r="L81" s="963"/>
      <c r="M81" s="963"/>
      <c r="N81" s="963"/>
      <c r="O81" s="964"/>
      <c r="P81" s="693"/>
      <c r="Q81" s="693"/>
      <c r="W81" s="755"/>
      <c r="X81" s="755"/>
      <c r="Y81" s="755"/>
      <c r="Z81" s="755"/>
      <c r="AA81" s="755"/>
      <c r="AB81" s="755"/>
    </row>
    <row r="82" spans="1:37" s="702" customFormat="1" ht="15.75" hidden="1">
      <c r="A82" s="693"/>
      <c r="B82" s="965" t="s">
        <v>31</v>
      </c>
      <c r="C82" s="966"/>
      <c r="D82" s="967"/>
      <c r="E82" s="968"/>
      <c r="F82" s="969"/>
      <c r="G82" s="969"/>
      <c r="H82" s="969"/>
      <c r="I82" s="967"/>
      <c r="J82" s="970" t="s">
        <v>32</v>
      </c>
      <c r="K82" s="971"/>
      <c r="L82" s="972"/>
      <c r="M82" s="966"/>
      <c r="N82" s="966"/>
      <c r="O82" s="973"/>
      <c r="P82" s="693"/>
      <c r="Q82" s="693"/>
      <c r="W82" s="755"/>
      <c r="X82" s="755"/>
      <c r="Y82" s="755"/>
      <c r="Z82" s="755"/>
      <c r="AA82" s="755"/>
      <c r="AB82" s="755"/>
    </row>
    <row r="83" spans="1:37" s="702" customFormat="1" ht="15" hidden="1">
      <c r="A83" s="693"/>
      <c r="B83" s="974"/>
      <c r="C83" s="975" t="s">
        <v>33</v>
      </c>
      <c r="D83" s="976"/>
      <c r="E83" s="976"/>
      <c r="F83" s="976"/>
      <c r="G83" s="976"/>
      <c r="H83" s="976"/>
      <c r="I83" s="976"/>
      <c r="J83" s="977" t="s">
        <v>34</v>
      </c>
      <c r="L83" s="978"/>
      <c r="M83" s="784"/>
      <c r="N83" s="784"/>
      <c r="O83" s="979"/>
      <c r="P83" s="693"/>
      <c r="Q83" s="693"/>
      <c r="W83" s="755"/>
      <c r="X83" s="755"/>
      <c r="Y83" s="755"/>
      <c r="Z83" s="755"/>
      <c r="AA83" s="755"/>
      <c r="AB83" s="755"/>
    </row>
    <row r="84" spans="1:37" s="702" customFormat="1" ht="15" hidden="1">
      <c r="A84" s="693"/>
      <c r="B84" s="974"/>
      <c r="C84" s="975"/>
      <c r="D84" s="976"/>
      <c r="E84" s="976"/>
      <c r="F84" s="976"/>
      <c r="G84" s="976"/>
      <c r="H84" s="976"/>
      <c r="I84" s="976"/>
      <c r="J84" s="977"/>
      <c r="L84" s="978"/>
      <c r="M84" s="784"/>
      <c r="N84" s="784"/>
      <c r="O84" s="979"/>
      <c r="P84" s="693"/>
      <c r="Q84" s="693"/>
      <c r="W84" s="755"/>
      <c r="X84" s="755"/>
      <c r="Y84" s="755"/>
      <c r="Z84" s="755"/>
      <c r="AA84" s="755"/>
      <c r="AB84" s="755"/>
    </row>
    <row r="85" spans="1:37" s="702" customFormat="1" ht="15" hidden="1" thickBot="1">
      <c r="A85" s="693"/>
      <c r="B85" s="980"/>
      <c r="C85" s="981"/>
      <c r="D85" s="982"/>
      <c r="E85" s="982"/>
      <c r="F85" s="982"/>
      <c r="G85" s="982"/>
      <c r="H85" s="982"/>
      <c r="I85" s="982"/>
      <c r="J85" s="983"/>
      <c r="K85" s="766"/>
      <c r="L85" s="984"/>
      <c r="M85" s="984"/>
      <c r="N85" s="984"/>
      <c r="O85" s="985"/>
      <c r="P85" s="693"/>
      <c r="Q85" s="693"/>
      <c r="W85" s="701"/>
      <c r="X85" s="701"/>
      <c r="Y85" s="701"/>
      <c r="Z85" s="701"/>
      <c r="AA85" s="701"/>
      <c r="AB85" s="701"/>
    </row>
    <row r="86" spans="1:37" ht="14.25" hidden="1">
      <c r="B86" s="844"/>
      <c r="C86" s="844"/>
      <c r="D86" s="859"/>
      <c r="E86" s="844"/>
      <c r="F86" s="711"/>
      <c r="G86" s="711"/>
      <c r="H86" s="711"/>
      <c r="I86" s="712"/>
      <c r="J86" s="712"/>
      <c r="K86" s="711"/>
      <c r="L86" s="711"/>
      <c r="M86" s="726"/>
      <c r="N86" s="726"/>
      <c r="O86" s="726"/>
      <c r="S86" s="702"/>
      <c r="W86" s="701"/>
      <c r="X86" s="701"/>
      <c r="Y86" s="701"/>
      <c r="Z86" s="701"/>
      <c r="AA86" s="701"/>
      <c r="AB86" s="701"/>
      <c r="AC86" s="702"/>
      <c r="AD86" s="702"/>
      <c r="AE86" s="702"/>
      <c r="AF86" s="702"/>
      <c r="AG86" s="702"/>
      <c r="AH86" s="702"/>
      <c r="AI86" s="702"/>
      <c r="AJ86" s="702"/>
      <c r="AK86" s="702"/>
    </row>
    <row r="87" spans="1:37" ht="14.25" hidden="1">
      <c r="B87" s="988"/>
      <c r="C87" s="989"/>
      <c r="D87" s="990"/>
      <c r="E87" s="991"/>
      <c r="F87" s="991"/>
      <c r="G87" s="991"/>
      <c r="H87" s="991"/>
      <c r="I87" s="759"/>
      <c r="J87" s="992"/>
      <c r="K87" s="759"/>
      <c r="L87" s="993"/>
      <c r="M87" s="759"/>
      <c r="N87" s="994"/>
      <c r="O87" s="995"/>
      <c r="R87" s="701"/>
      <c r="S87" s="701"/>
      <c r="T87" s="701"/>
      <c r="U87" s="701"/>
      <c r="V87" s="701"/>
      <c r="W87" s="701"/>
      <c r="X87" s="701"/>
      <c r="Y87" s="701"/>
      <c r="Z87" s="701"/>
      <c r="AA87" s="701"/>
      <c r="AB87" s="701"/>
      <c r="AC87" s="702"/>
      <c r="AD87" s="702"/>
      <c r="AE87" s="702"/>
      <c r="AF87" s="702"/>
      <c r="AG87" s="702"/>
    </row>
    <row r="88" spans="1:37" ht="14.25" hidden="1">
      <c r="B88" s="996"/>
      <c r="C88" s="997" t="s">
        <v>35</v>
      </c>
      <c r="D88" s="998" t="s">
        <v>1813</v>
      </c>
      <c r="E88" s="999" t="s">
        <v>1814</v>
      </c>
      <c r="G88" s="702"/>
      <c r="H88" s="999" t="s">
        <v>1815</v>
      </c>
      <c r="J88" s="1002" t="s">
        <v>1816</v>
      </c>
      <c r="L88" s="1002" t="s">
        <v>1817</v>
      </c>
      <c r="N88" s="1004" t="s">
        <v>1818</v>
      </c>
      <c r="O88" s="1005"/>
      <c r="R88" s="701"/>
      <c r="S88" s="701"/>
      <c r="T88" s="701"/>
      <c r="U88" s="701"/>
      <c r="V88" s="701"/>
      <c r="W88" s="701"/>
      <c r="X88" s="701"/>
      <c r="Y88" s="701"/>
      <c r="Z88" s="701"/>
      <c r="AA88" s="701"/>
      <c r="AB88" s="701"/>
      <c r="AC88" s="702"/>
      <c r="AD88" s="702"/>
      <c r="AE88" s="702"/>
      <c r="AF88" s="702"/>
      <c r="AG88" s="702"/>
    </row>
    <row r="89" spans="1:37" ht="14.25" hidden="1">
      <c r="A89" s="760"/>
      <c r="B89" s="996"/>
      <c r="C89" s="997" t="s">
        <v>36</v>
      </c>
      <c r="D89" s="1006" t="s">
        <v>37</v>
      </c>
      <c r="E89" s="1007"/>
      <c r="F89" s="1008"/>
      <c r="G89" s="1008"/>
      <c r="H89" s="1008"/>
      <c r="I89" s="1009"/>
      <c r="J89" s="1009"/>
      <c r="K89" s="1010"/>
      <c r="L89" s="1010"/>
      <c r="M89" s="726"/>
      <c r="N89" s="726"/>
      <c r="O89" s="1011"/>
      <c r="P89" s="760"/>
      <c r="Q89" s="760"/>
    </row>
    <row r="90" spans="1:37" ht="14.25" hidden="1">
      <c r="B90" s="1012"/>
      <c r="C90" s="997" t="s">
        <v>38</v>
      </c>
      <c r="D90" s="1013" t="s">
        <v>39</v>
      </c>
      <c r="E90" s="1014"/>
      <c r="G90" s="1015"/>
      <c r="O90" s="1011"/>
    </row>
    <row r="91" spans="1:37" ht="14.25" hidden="1">
      <c r="B91" s="1012"/>
      <c r="C91" s="997"/>
      <c r="D91" s="1013" t="s">
        <v>40</v>
      </c>
      <c r="E91" s="1014"/>
      <c r="G91" s="1015"/>
      <c r="O91" s="1011"/>
    </row>
    <row r="92" spans="1:37" ht="14.25" hidden="1">
      <c r="B92" s="1016"/>
      <c r="C92" s="1017" t="s">
        <v>41</v>
      </c>
      <c r="D92" s="1018" t="s">
        <v>1819</v>
      </c>
      <c r="E92" s="1019"/>
      <c r="F92" s="1020"/>
      <c r="G92" s="1021"/>
      <c r="H92" s="1020"/>
      <c r="I92" s="1022"/>
      <c r="J92" s="1022"/>
      <c r="K92" s="1020"/>
      <c r="L92" s="1020"/>
      <c r="M92" s="1023"/>
      <c r="N92" s="1023"/>
      <c r="O92" s="1024"/>
    </row>
    <row r="93" spans="1:37" ht="14.25" hidden="1">
      <c r="G93" s="1015"/>
      <c r="O93" s="726"/>
    </row>
    <row r="94" spans="1:37" ht="14.25" hidden="1">
      <c r="G94" s="1015"/>
      <c r="L94" s="1015"/>
      <c r="M94" s="726"/>
      <c r="O94" s="726"/>
    </row>
    <row r="95" spans="1:37" ht="14.25" hidden="1">
      <c r="E95" s="1003"/>
      <c r="F95" s="1026"/>
      <c r="G95" s="1015"/>
      <c r="H95" s="1015"/>
      <c r="I95" s="1010"/>
      <c r="L95" s="1015"/>
      <c r="M95" s="726"/>
      <c r="O95" s="726"/>
    </row>
    <row r="96" spans="1:37" ht="14.25" hidden="1">
      <c r="C96" s="1027"/>
      <c r="D96" s="862"/>
      <c r="E96" s="1003"/>
      <c r="F96" s="1026"/>
      <c r="G96" s="1015"/>
      <c r="H96" s="1015"/>
      <c r="I96" s="1010"/>
      <c r="J96" s="1010"/>
      <c r="K96" s="1015"/>
      <c r="L96" s="1015"/>
      <c r="M96" s="726"/>
      <c r="O96" s="726"/>
    </row>
    <row r="97" spans="2:15" ht="14.25" hidden="1">
      <c r="B97" s="1028"/>
      <c r="C97" s="1029"/>
      <c r="D97" s="1030"/>
      <c r="E97" s="1003"/>
      <c r="F97" s="1026"/>
      <c r="G97" s="1008"/>
      <c r="H97" s="1008"/>
      <c r="I97" s="1009"/>
      <c r="J97" s="1009"/>
      <c r="K97" s="1010"/>
      <c r="L97" s="1010"/>
      <c r="M97" s="726"/>
      <c r="O97" s="726"/>
    </row>
    <row r="98" spans="2:15" ht="14.25" hidden="1">
      <c r="B98" s="1028"/>
      <c r="C98" s="1028"/>
      <c r="D98" s="1031"/>
      <c r="G98" s="1008"/>
      <c r="H98" s="1008"/>
      <c r="I98" s="1009"/>
      <c r="J98" s="1009"/>
      <c r="K98" s="1010"/>
      <c r="L98" s="1010"/>
      <c r="M98" s="726"/>
      <c r="N98" s="726"/>
      <c r="O98" s="726"/>
    </row>
    <row r="99" spans="2:15" ht="14.25" hidden="1">
      <c r="E99" s="710"/>
      <c r="F99" s="711"/>
      <c r="G99" s="711"/>
      <c r="H99" s="711"/>
      <c r="I99" s="712"/>
      <c r="J99" s="712"/>
      <c r="K99" s="711"/>
      <c r="L99" s="711"/>
      <c r="M99" s="726"/>
      <c r="N99" s="726"/>
      <c r="O99" s="726"/>
    </row>
    <row r="100" spans="2:15" ht="14.25" hidden="1">
      <c r="E100" s="710"/>
      <c r="F100" s="711"/>
      <c r="G100" s="711"/>
      <c r="H100" s="711"/>
      <c r="I100" s="712"/>
      <c r="J100" s="712"/>
      <c r="K100" s="711"/>
      <c r="L100" s="711"/>
      <c r="M100" s="726"/>
      <c r="N100" s="726"/>
      <c r="O100" s="726"/>
    </row>
    <row r="101" spans="2:15" ht="14.25" hidden="1">
      <c r="E101" s="710"/>
      <c r="F101" s="711"/>
      <c r="G101" s="711"/>
      <c r="H101" s="711"/>
      <c r="I101" s="712"/>
      <c r="J101" s="712"/>
      <c r="K101" s="711"/>
      <c r="L101" s="711"/>
      <c r="M101" s="726"/>
      <c r="N101" s="726"/>
      <c r="O101" s="726"/>
    </row>
    <row r="102" spans="2:15" ht="14.25" hidden="1">
      <c r="E102" s="710"/>
      <c r="F102" s="711"/>
      <c r="G102" s="711"/>
      <c r="H102" s="711"/>
      <c r="I102" s="712"/>
      <c r="J102" s="712"/>
      <c r="K102" s="711"/>
      <c r="L102" s="711"/>
      <c r="M102" s="726"/>
      <c r="N102" s="726"/>
      <c r="O102" s="726"/>
    </row>
    <row r="103" spans="2:15" ht="14.25" hidden="1">
      <c r="E103" s="710"/>
      <c r="F103" s="711"/>
      <c r="G103" s="711"/>
      <c r="H103" s="711"/>
      <c r="I103" s="712"/>
      <c r="J103" s="712"/>
      <c r="K103" s="711"/>
      <c r="L103" s="711"/>
      <c r="M103" s="726"/>
      <c r="N103" s="726"/>
      <c r="O103" s="726"/>
    </row>
    <row r="104" spans="2:15" ht="14.25" hidden="1">
      <c r="E104" s="710"/>
      <c r="F104" s="711"/>
      <c r="G104" s="711"/>
      <c r="H104" s="711"/>
      <c r="I104" s="712"/>
      <c r="J104" s="712"/>
      <c r="K104" s="711"/>
      <c r="L104" s="711"/>
      <c r="M104" s="726"/>
      <c r="N104" s="726"/>
      <c r="O104" s="726"/>
    </row>
    <row r="105" spans="2:15" ht="14.25" hidden="1">
      <c r="E105" s="710"/>
      <c r="F105" s="711"/>
      <c r="G105" s="711"/>
      <c r="H105" s="711"/>
      <c r="I105" s="712"/>
      <c r="J105" s="712"/>
      <c r="K105" s="711"/>
      <c r="L105" s="711"/>
      <c r="M105" s="726"/>
      <c r="N105" s="726"/>
      <c r="O105" s="726"/>
    </row>
    <row r="106" spans="2:15" ht="14.25" hidden="1">
      <c r="E106" s="710"/>
      <c r="F106" s="711"/>
      <c r="G106" s="711"/>
      <c r="H106" s="711"/>
      <c r="I106" s="712"/>
      <c r="J106" s="712"/>
      <c r="K106" s="711"/>
      <c r="L106" s="711"/>
      <c r="M106" s="726"/>
      <c r="N106" s="726"/>
      <c r="O106" s="726"/>
    </row>
    <row r="107" spans="2:15" ht="14.25" hidden="1">
      <c r="E107" s="710"/>
      <c r="F107" s="711"/>
      <c r="G107" s="711"/>
      <c r="H107" s="711"/>
      <c r="I107" s="712"/>
      <c r="J107" s="712"/>
      <c r="K107" s="711"/>
      <c r="L107" s="711"/>
      <c r="M107" s="726"/>
      <c r="N107" s="726"/>
      <c r="O107" s="726"/>
    </row>
    <row r="108" spans="2:15" ht="14.25" hidden="1">
      <c r="E108" s="710"/>
      <c r="F108" s="711"/>
      <c r="G108" s="711"/>
      <c r="H108" s="711"/>
      <c r="I108" s="712"/>
      <c r="J108" s="712"/>
      <c r="K108" s="711"/>
      <c r="L108" s="711"/>
      <c r="M108" s="726"/>
      <c r="N108" s="726"/>
      <c r="O108" s="726"/>
    </row>
    <row r="109" spans="2:15" ht="14.25" hidden="1">
      <c r="E109" s="710"/>
      <c r="F109" s="711"/>
      <c r="G109" s="711"/>
      <c r="H109" s="711"/>
      <c r="I109" s="712"/>
      <c r="J109" s="712"/>
      <c r="K109" s="711"/>
      <c r="L109" s="711"/>
      <c r="M109" s="726"/>
      <c r="N109" s="726"/>
      <c r="O109" s="726"/>
    </row>
    <row r="110" spans="2:15" ht="14.25" hidden="1">
      <c r="E110" s="710"/>
      <c r="F110" s="711"/>
      <c r="G110" s="711"/>
      <c r="H110" s="711"/>
      <c r="I110" s="712"/>
      <c r="J110" s="712"/>
      <c r="K110" s="711"/>
      <c r="L110" s="711"/>
      <c r="M110" s="726"/>
      <c r="N110" s="726"/>
      <c r="O110" s="726"/>
    </row>
    <row r="111" spans="2:15" ht="14.25" hidden="1">
      <c r="E111" s="710"/>
      <c r="F111" s="711"/>
      <c r="G111" s="711"/>
      <c r="H111" s="711"/>
      <c r="I111" s="712"/>
      <c r="J111" s="712"/>
      <c r="K111" s="711"/>
      <c r="L111" s="711"/>
      <c r="M111" s="726"/>
      <c r="N111" s="726"/>
      <c r="O111" s="726"/>
    </row>
    <row r="112" spans="2:15" ht="14.25" hidden="1">
      <c r="E112" s="710"/>
      <c r="F112" s="711"/>
      <c r="G112" s="711"/>
      <c r="H112" s="711"/>
      <c r="I112" s="712"/>
      <c r="J112" s="712"/>
      <c r="K112" s="711"/>
      <c r="L112" s="711"/>
      <c r="M112" s="726"/>
      <c r="N112" s="726"/>
      <c r="O112" s="726"/>
    </row>
    <row r="113" spans="5:15" ht="14.25" hidden="1">
      <c r="E113" s="710"/>
      <c r="F113" s="711"/>
      <c r="G113" s="711"/>
      <c r="H113" s="711"/>
      <c r="I113" s="712"/>
      <c r="J113" s="712"/>
      <c r="K113" s="711"/>
      <c r="L113" s="711"/>
      <c r="M113" s="726"/>
      <c r="N113" s="726"/>
      <c r="O113" s="726"/>
    </row>
    <row r="114" spans="5:15" ht="14.25" hidden="1">
      <c r="E114" s="710"/>
      <c r="F114" s="711"/>
      <c r="G114" s="711"/>
      <c r="H114" s="711"/>
      <c r="I114" s="712"/>
      <c r="J114" s="712"/>
      <c r="K114" s="711"/>
      <c r="L114" s="711"/>
      <c r="M114" s="726"/>
      <c r="N114" s="726"/>
      <c r="O114" s="726"/>
    </row>
    <row r="115" spans="5:15" ht="14.25" hidden="1">
      <c r="E115" s="710"/>
      <c r="F115" s="711"/>
      <c r="G115" s="711"/>
      <c r="H115" s="711"/>
      <c r="I115" s="712"/>
      <c r="J115" s="712"/>
      <c r="K115" s="711"/>
      <c r="L115" s="711"/>
      <c r="M115" s="726"/>
      <c r="N115" s="726"/>
      <c r="O115" s="726"/>
    </row>
    <row r="116" spans="5:15" ht="14.25" hidden="1">
      <c r="E116" s="710"/>
      <c r="F116" s="711"/>
      <c r="G116" s="711"/>
      <c r="H116" s="711"/>
      <c r="I116" s="712"/>
      <c r="J116" s="712"/>
      <c r="K116" s="711"/>
      <c r="L116" s="711"/>
      <c r="M116" s="726"/>
      <c r="N116" s="726"/>
      <c r="O116" s="726"/>
    </row>
    <row r="117" spans="5:15" ht="14.25" hidden="1">
      <c r="E117" s="710"/>
      <c r="F117" s="711"/>
      <c r="G117" s="711"/>
      <c r="H117" s="711"/>
      <c r="I117" s="712"/>
      <c r="J117" s="712"/>
      <c r="K117" s="711"/>
      <c r="L117" s="711"/>
      <c r="M117" s="726"/>
      <c r="N117" s="726"/>
      <c r="O117" s="726"/>
    </row>
    <row r="118" spans="5:15" ht="14.25" hidden="1">
      <c r="E118" s="710"/>
      <c r="F118" s="711"/>
      <c r="G118" s="711"/>
      <c r="H118" s="711"/>
      <c r="I118" s="712"/>
      <c r="J118" s="712"/>
      <c r="K118" s="711"/>
      <c r="L118" s="711"/>
      <c r="M118" s="726"/>
      <c r="N118" s="726"/>
      <c r="O118" s="726"/>
    </row>
    <row r="119" spans="5:15" ht="14.25" hidden="1">
      <c r="E119" s="710"/>
      <c r="F119" s="711"/>
      <c r="G119" s="711"/>
      <c r="H119" s="711"/>
      <c r="I119" s="712"/>
      <c r="J119" s="712"/>
      <c r="K119" s="711"/>
      <c r="L119" s="711"/>
      <c r="M119" s="726"/>
      <c r="N119" s="726"/>
      <c r="O119" s="726"/>
    </row>
    <row r="120" spans="5:15" ht="14.25" hidden="1">
      <c r="E120" s="710"/>
      <c r="F120" s="711"/>
      <c r="G120" s="711"/>
      <c r="H120" s="711"/>
      <c r="I120" s="712"/>
      <c r="J120" s="712"/>
      <c r="K120" s="711"/>
      <c r="L120" s="711"/>
      <c r="M120" s="726"/>
      <c r="N120" s="726"/>
      <c r="O120" s="726"/>
    </row>
    <row r="121" spans="5:15" ht="14.25" hidden="1">
      <c r="E121" s="710"/>
      <c r="F121" s="711"/>
      <c r="G121" s="711"/>
      <c r="H121" s="711"/>
      <c r="I121" s="712"/>
      <c r="J121" s="712"/>
      <c r="K121" s="711"/>
      <c r="L121" s="711"/>
      <c r="M121" s="726"/>
      <c r="N121" s="726"/>
      <c r="O121" s="726"/>
    </row>
    <row r="122" spans="5:15" ht="14.25" hidden="1">
      <c r="E122" s="710"/>
      <c r="F122" s="711"/>
      <c r="G122" s="711"/>
      <c r="H122" s="711"/>
      <c r="I122" s="712"/>
      <c r="J122" s="712"/>
      <c r="K122" s="711"/>
      <c r="L122" s="711"/>
      <c r="M122" s="726"/>
      <c r="N122" s="726"/>
      <c r="O122" s="726"/>
    </row>
    <row r="123" spans="5:15" ht="14.25" hidden="1">
      <c r="E123" s="710"/>
      <c r="F123" s="711"/>
      <c r="G123" s="711"/>
      <c r="H123" s="711"/>
      <c r="I123" s="712"/>
      <c r="J123" s="712"/>
      <c r="K123" s="711"/>
      <c r="L123" s="711"/>
      <c r="M123" s="726"/>
      <c r="N123" s="726"/>
      <c r="O123" s="726"/>
    </row>
    <row r="124" spans="5:15" ht="14.25" hidden="1">
      <c r="E124" s="710"/>
      <c r="F124" s="711"/>
      <c r="G124" s="711"/>
      <c r="H124" s="711"/>
      <c r="I124" s="712"/>
      <c r="J124" s="712"/>
      <c r="K124" s="711"/>
      <c r="L124" s="711"/>
      <c r="M124" s="726"/>
      <c r="N124" s="726"/>
      <c r="O124" s="726"/>
    </row>
    <row r="125" spans="5:15" ht="14.25" hidden="1">
      <c r="E125" s="710"/>
      <c r="F125" s="711"/>
      <c r="G125" s="711"/>
      <c r="H125" s="711"/>
      <c r="I125" s="712"/>
      <c r="J125" s="712"/>
      <c r="K125" s="711"/>
      <c r="L125" s="711"/>
      <c r="M125" s="726"/>
      <c r="N125" s="726"/>
      <c r="O125" s="726"/>
    </row>
    <row r="126" spans="5:15" ht="14.25" hidden="1">
      <c r="E126" s="710"/>
      <c r="F126" s="711"/>
      <c r="G126" s="711"/>
      <c r="H126" s="711"/>
      <c r="I126" s="712"/>
      <c r="J126" s="712"/>
      <c r="K126" s="711"/>
      <c r="L126" s="711"/>
      <c r="M126" s="726"/>
      <c r="N126" s="726"/>
      <c r="O126" s="726"/>
    </row>
    <row r="127" spans="5:15" ht="14.25" hidden="1">
      <c r="E127" s="710"/>
      <c r="F127" s="711"/>
      <c r="G127" s="711"/>
      <c r="H127" s="711"/>
      <c r="I127" s="712"/>
      <c r="J127" s="712"/>
      <c r="K127" s="711"/>
      <c r="L127" s="711"/>
      <c r="M127" s="726"/>
      <c r="N127" s="726"/>
      <c r="O127" s="726"/>
    </row>
    <row r="128" spans="5:15" ht="14.25" hidden="1">
      <c r="E128" s="710"/>
      <c r="F128" s="711"/>
      <c r="G128" s="711"/>
      <c r="H128" s="711"/>
      <c r="I128" s="712"/>
      <c r="J128" s="712"/>
      <c r="K128" s="711"/>
      <c r="L128" s="711"/>
      <c r="M128" s="726"/>
      <c r="N128" s="726"/>
      <c r="O128" s="726"/>
    </row>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0" hidden="1" customHeight="1"/>
    <row r="213" ht="0" hidden="1" customHeight="1"/>
    <row r="214" ht="0" hidden="1" customHeight="1"/>
    <row r="215" ht="0" hidden="1" customHeight="1"/>
    <row r="216" ht="0" hidden="1" customHeight="1"/>
    <row r="217" ht="0" hidden="1" customHeight="1"/>
  </sheetData>
  <sheetProtection password="82B4" sheet="1" objects="1" scenarios="1" selectLockedCells="1" selectUnlockedCells="1"/>
  <mergeCells count="16">
    <mergeCell ref="B69:G69"/>
    <mergeCell ref="H69:K69"/>
    <mergeCell ref="L69:O69"/>
    <mergeCell ref="D19:E19"/>
    <mergeCell ref="H36:K38"/>
    <mergeCell ref="B65:K65"/>
    <mergeCell ref="L65:O65"/>
    <mergeCell ref="B67:G67"/>
    <mergeCell ref="H67:K67"/>
    <mergeCell ref="L67:O67"/>
    <mergeCell ref="D18:E18"/>
    <mergeCell ref="Q2:Q5"/>
    <mergeCell ref="J9:K9"/>
    <mergeCell ref="J10:K12"/>
    <mergeCell ref="J13:K15"/>
    <mergeCell ref="D17:E17"/>
  </mergeCells>
  <phoneticPr fontId="20"/>
  <conditionalFormatting sqref="H27:K35">
    <cfRule type="expression" dxfId="98" priority="1" stopIfTrue="1">
      <formula>$U$35=$W$36</formula>
    </cfRule>
  </conditionalFormatting>
  <hyperlinks>
    <hyperlink ref="Q2" location="メイン!A1" display="戻る"/>
    <hyperlink ref="Q2:Q5" location="メイン!A1" tooltip="[メイン]シート" display="←"/>
  </hyperlinks>
  <printOptions horizontalCentered="1"/>
  <pageMargins left="0.59055118110236227" right="0.59055118110236227" top="0.78740157480314965" bottom="0.59055118110236227" header="0.51181102362204722" footer="0.51181102362204722"/>
  <pageSetup paperSize="9" scale="67" orientation="portrait" r:id="rId1"/>
  <headerFooter alignWithMargins="0">
    <oddHeader>&amp;L&amp;F&amp;R&amp;A</oddHeader>
    <oddFooter>&amp;C&amp;P/&amp;N&amp;R「CASBEE 大阪みらい 改修」2012年版</oddFooter>
  </headerFooter>
  <colBreaks count="1" manualBreakCount="1">
    <brk id="16" max="71" man="1"/>
  </colBreaks>
  <drawing r:id="rId2"/>
  <legacyDrawing r:id="rId3"/>
</worksheet>
</file>

<file path=xl/worksheets/sheet4.xml><?xml version="1.0" encoding="utf-8"?>
<worksheet xmlns="http://schemas.openxmlformats.org/spreadsheetml/2006/main" xmlns:r="http://schemas.openxmlformats.org/officeDocument/2006/relationships">
  <sheetPr>
    <pageSetUpPr fitToPage="1"/>
  </sheetPr>
  <dimension ref="A1:WVY214"/>
  <sheetViews>
    <sheetView showGridLines="0" workbookViewId="0">
      <selection activeCell="D10" sqref="D10"/>
    </sheetView>
  </sheetViews>
  <sheetFormatPr defaultColWidth="0" defaultRowHeight="0" customHeight="1" zeroHeight="1"/>
  <cols>
    <col min="1" max="1" width="0.75" style="693" customWidth="1"/>
    <col min="2" max="2" width="2.125" style="708" customWidth="1"/>
    <col min="3" max="3" width="13.375" style="708" customWidth="1"/>
    <col min="4" max="4" width="5.375" style="709" customWidth="1"/>
    <col min="5" max="5" width="9.75" style="1025" customWidth="1"/>
    <col min="6" max="6" width="6.25" style="1000" customWidth="1"/>
    <col min="7" max="7" width="6.5" style="1000" customWidth="1"/>
    <col min="8" max="8" width="12.875" style="1000" customWidth="1"/>
    <col min="9" max="9" width="7.125" style="1001" customWidth="1"/>
    <col min="10" max="10" width="12.125" style="1001" customWidth="1"/>
    <col min="11" max="11" width="11.875" style="1000" customWidth="1"/>
    <col min="12" max="12" width="10.75" style="1000" customWidth="1"/>
    <col min="13" max="13" width="11.875" style="1003" customWidth="1"/>
    <col min="14" max="15" width="11.375" style="1003" customWidth="1"/>
    <col min="16" max="16" width="0.75" style="693" customWidth="1"/>
    <col min="17" max="17" width="3.875" style="693" bestFit="1" customWidth="1"/>
    <col min="18" max="18" width="20.625" style="702" hidden="1" customWidth="1"/>
    <col min="19" max="19" width="18.625" style="986" hidden="1" customWidth="1"/>
    <col min="20" max="20" width="15.25" style="702" hidden="1" customWidth="1"/>
    <col min="21" max="21" width="19.25" style="702" hidden="1" customWidth="1"/>
    <col min="22" max="22" width="18.625" style="702" hidden="1" customWidth="1"/>
    <col min="23" max="23" width="11.125" style="702" hidden="1" customWidth="1"/>
    <col min="24" max="24" width="20.5" style="702" hidden="1" customWidth="1"/>
    <col min="25" max="25" width="18.625" style="702" hidden="1" customWidth="1"/>
    <col min="26" max="26" width="23" style="702" hidden="1" customWidth="1"/>
    <col min="27" max="27" width="4.5" style="702" hidden="1" customWidth="1"/>
    <col min="28" max="28" width="5" style="702" hidden="1" customWidth="1"/>
    <col min="29" max="31" width="5" style="987" hidden="1" customWidth="1"/>
    <col min="32" max="32" width="5.125" style="987" hidden="1" customWidth="1"/>
    <col min="33" max="256" width="9" style="987" hidden="1" customWidth="1"/>
    <col min="257" max="257" width="0.75" style="987" hidden="1" customWidth="1"/>
    <col min="258" max="258" width="2.125" style="987" hidden="1" customWidth="1"/>
    <col min="259" max="259" width="13.375" style="987" hidden="1" customWidth="1"/>
    <col min="260" max="260" width="5.375" style="987" hidden="1" customWidth="1"/>
    <col min="261" max="261" width="9.75" style="987" hidden="1" customWidth="1"/>
    <col min="262" max="262" width="6.25" style="987" hidden="1" customWidth="1"/>
    <col min="263" max="263" width="6.5" style="987" hidden="1" customWidth="1"/>
    <col min="264" max="264" width="12.875" style="987" hidden="1" customWidth="1"/>
    <col min="265" max="265" width="7.125" style="987" hidden="1" customWidth="1"/>
    <col min="266" max="266" width="12.125" style="987" hidden="1" customWidth="1"/>
    <col min="267" max="267" width="11.875" style="987" hidden="1" customWidth="1"/>
    <col min="268" max="268" width="10.75" style="987" hidden="1" customWidth="1"/>
    <col min="269" max="269" width="11.875" style="987" hidden="1" customWidth="1"/>
    <col min="270" max="271" width="11.375" style="987" hidden="1" customWidth="1"/>
    <col min="272" max="272" width="0.75" style="987" hidden="1" customWidth="1"/>
    <col min="273" max="273" width="3.875" style="987" hidden="1" customWidth="1"/>
    <col min="274" max="288" width="9" style="987" hidden="1" customWidth="1"/>
    <col min="289" max="512" width="9" style="987" hidden="1"/>
    <col min="513" max="513" width="0.75" style="987" hidden="1" customWidth="1"/>
    <col min="514" max="514" width="2.125" style="987" hidden="1" customWidth="1"/>
    <col min="515" max="515" width="13.375" style="987" hidden="1" customWidth="1"/>
    <col min="516" max="516" width="5.375" style="987" hidden="1" customWidth="1"/>
    <col min="517" max="517" width="9.75" style="987" hidden="1" customWidth="1"/>
    <col min="518" max="518" width="6.25" style="987" hidden="1" customWidth="1"/>
    <col min="519" max="519" width="6.5" style="987" hidden="1" customWidth="1"/>
    <col min="520" max="520" width="12.875" style="987" hidden="1" customWidth="1"/>
    <col min="521" max="521" width="7.125" style="987" hidden="1" customWidth="1"/>
    <col min="522" max="522" width="12.125" style="987" hidden="1" customWidth="1"/>
    <col min="523" max="523" width="11.875" style="987" hidden="1" customWidth="1"/>
    <col min="524" max="524" width="10.75" style="987" hidden="1" customWidth="1"/>
    <col min="525" max="525" width="11.875" style="987" hidden="1" customWidth="1"/>
    <col min="526" max="527" width="11.375" style="987" hidden="1" customWidth="1"/>
    <col min="528" max="528" width="0.75" style="987" hidden="1" customWidth="1"/>
    <col min="529" max="529" width="3.875" style="987" hidden="1" customWidth="1"/>
    <col min="530" max="544" width="9" style="987" hidden="1" customWidth="1"/>
    <col min="545" max="768" width="9" style="987" hidden="1"/>
    <col min="769" max="769" width="0.75" style="987" hidden="1" customWidth="1"/>
    <col min="770" max="770" width="2.125" style="987" hidden="1" customWidth="1"/>
    <col min="771" max="771" width="13.375" style="987" hidden="1" customWidth="1"/>
    <col min="772" max="772" width="5.375" style="987" hidden="1" customWidth="1"/>
    <col min="773" max="773" width="9.75" style="987" hidden="1" customWidth="1"/>
    <col min="774" max="774" width="6.25" style="987" hidden="1" customWidth="1"/>
    <col min="775" max="775" width="6.5" style="987" hidden="1" customWidth="1"/>
    <col min="776" max="776" width="12.875" style="987" hidden="1" customWidth="1"/>
    <col min="777" max="777" width="7.125" style="987" hidden="1" customWidth="1"/>
    <col min="778" max="778" width="12.125" style="987" hidden="1" customWidth="1"/>
    <col min="779" max="779" width="11.875" style="987" hidden="1" customWidth="1"/>
    <col min="780" max="780" width="10.75" style="987" hidden="1" customWidth="1"/>
    <col min="781" max="781" width="11.875" style="987" hidden="1" customWidth="1"/>
    <col min="782" max="783" width="11.375" style="987" hidden="1" customWidth="1"/>
    <col min="784" max="784" width="0.75" style="987" hidden="1" customWidth="1"/>
    <col min="785" max="785" width="3.875" style="987" hidden="1" customWidth="1"/>
    <col min="786" max="800" width="9" style="987" hidden="1" customWidth="1"/>
    <col min="801" max="1024" width="9" style="987" hidden="1"/>
    <col min="1025" max="1025" width="0.75" style="987" hidden="1" customWidth="1"/>
    <col min="1026" max="1026" width="2.125" style="987" hidden="1" customWidth="1"/>
    <col min="1027" max="1027" width="13.375" style="987" hidden="1" customWidth="1"/>
    <col min="1028" max="1028" width="5.375" style="987" hidden="1" customWidth="1"/>
    <col min="1029" max="1029" width="9.75" style="987" hidden="1" customWidth="1"/>
    <col min="1030" max="1030" width="6.25" style="987" hidden="1" customWidth="1"/>
    <col min="1031" max="1031" width="6.5" style="987" hidden="1" customWidth="1"/>
    <col min="1032" max="1032" width="12.875" style="987" hidden="1" customWidth="1"/>
    <col min="1033" max="1033" width="7.125" style="987" hidden="1" customWidth="1"/>
    <col min="1034" max="1034" width="12.125" style="987" hidden="1" customWidth="1"/>
    <col min="1035" max="1035" width="11.875" style="987" hidden="1" customWidth="1"/>
    <col min="1036" max="1036" width="10.75" style="987" hidden="1" customWidth="1"/>
    <col min="1037" max="1037" width="11.875" style="987" hidden="1" customWidth="1"/>
    <col min="1038" max="1039" width="11.375" style="987" hidden="1" customWidth="1"/>
    <col min="1040" max="1040" width="0.75" style="987" hidden="1" customWidth="1"/>
    <col min="1041" max="1041" width="3.875" style="987" hidden="1" customWidth="1"/>
    <col min="1042" max="1056" width="9" style="987" hidden="1" customWidth="1"/>
    <col min="1057" max="1280" width="9" style="987" hidden="1"/>
    <col min="1281" max="1281" width="0.75" style="987" hidden="1" customWidth="1"/>
    <col min="1282" max="1282" width="2.125" style="987" hidden="1" customWidth="1"/>
    <col min="1283" max="1283" width="13.375" style="987" hidden="1" customWidth="1"/>
    <col min="1284" max="1284" width="5.375" style="987" hidden="1" customWidth="1"/>
    <col min="1285" max="1285" width="9.75" style="987" hidden="1" customWidth="1"/>
    <col min="1286" max="1286" width="6.25" style="987" hidden="1" customWidth="1"/>
    <col min="1287" max="1287" width="6.5" style="987" hidden="1" customWidth="1"/>
    <col min="1288" max="1288" width="12.875" style="987" hidden="1" customWidth="1"/>
    <col min="1289" max="1289" width="7.125" style="987" hidden="1" customWidth="1"/>
    <col min="1290" max="1290" width="12.125" style="987" hidden="1" customWidth="1"/>
    <col min="1291" max="1291" width="11.875" style="987" hidden="1" customWidth="1"/>
    <col min="1292" max="1292" width="10.75" style="987" hidden="1" customWidth="1"/>
    <col min="1293" max="1293" width="11.875" style="987" hidden="1" customWidth="1"/>
    <col min="1294" max="1295" width="11.375" style="987" hidden="1" customWidth="1"/>
    <col min="1296" max="1296" width="0.75" style="987" hidden="1" customWidth="1"/>
    <col min="1297" max="1297" width="3.875" style="987" hidden="1" customWidth="1"/>
    <col min="1298" max="1312" width="9" style="987" hidden="1" customWidth="1"/>
    <col min="1313" max="1536" width="9" style="987" hidden="1"/>
    <col min="1537" max="1537" width="0.75" style="987" hidden="1" customWidth="1"/>
    <col min="1538" max="1538" width="2.125" style="987" hidden="1" customWidth="1"/>
    <col min="1539" max="1539" width="13.375" style="987" hidden="1" customWidth="1"/>
    <col min="1540" max="1540" width="5.375" style="987" hidden="1" customWidth="1"/>
    <col min="1541" max="1541" width="9.75" style="987" hidden="1" customWidth="1"/>
    <col min="1542" max="1542" width="6.25" style="987" hidden="1" customWidth="1"/>
    <col min="1543" max="1543" width="6.5" style="987" hidden="1" customWidth="1"/>
    <col min="1544" max="1544" width="12.875" style="987" hidden="1" customWidth="1"/>
    <col min="1545" max="1545" width="7.125" style="987" hidden="1" customWidth="1"/>
    <col min="1546" max="1546" width="12.125" style="987" hidden="1" customWidth="1"/>
    <col min="1547" max="1547" width="11.875" style="987" hidden="1" customWidth="1"/>
    <col min="1548" max="1548" width="10.75" style="987" hidden="1" customWidth="1"/>
    <col min="1549" max="1549" width="11.875" style="987" hidden="1" customWidth="1"/>
    <col min="1550" max="1551" width="11.375" style="987" hidden="1" customWidth="1"/>
    <col min="1552" max="1552" width="0.75" style="987" hidden="1" customWidth="1"/>
    <col min="1553" max="1553" width="3.875" style="987" hidden="1" customWidth="1"/>
    <col min="1554" max="1568" width="9" style="987" hidden="1" customWidth="1"/>
    <col min="1569" max="1792" width="9" style="987" hidden="1"/>
    <col min="1793" max="1793" width="0.75" style="987" hidden="1" customWidth="1"/>
    <col min="1794" max="1794" width="2.125" style="987" hidden="1" customWidth="1"/>
    <col min="1795" max="1795" width="13.375" style="987" hidden="1" customWidth="1"/>
    <col min="1796" max="1796" width="5.375" style="987" hidden="1" customWidth="1"/>
    <col min="1797" max="1797" width="9.75" style="987" hidden="1" customWidth="1"/>
    <col min="1798" max="1798" width="6.25" style="987" hidden="1" customWidth="1"/>
    <col min="1799" max="1799" width="6.5" style="987" hidden="1" customWidth="1"/>
    <col min="1800" max="1800" width="12.875" style="987" hidden="1" customWidth="1"/>
    <col min="1801" max="1801" width="7.125" style="987" hidden="1" customWidth="1"/>
    <col min="1802" max="1802" width="12.125" style="987" hidden="1" customWidth="1"/>
    <col min="1803" max="1803" width="11.875" style="987" hidden="1" customWidth="1"/>
    <col min="1804" max="1804" width="10.75" style="987" hidden="1" customWidth="1"/>
    <col min="1805" max="1805" width="11.875" style="987" hidden="1" customWidth="1"/>
    <col min="1806" max="1807" width="11.375" style="987" hidden="1" customWidth="1"/>
    <col min="1808" max="1808" width="0.75" style="987" hidden="1" customWidth="1"/>
    <col min="1809" max="1809" width="3.875" style="987" hidden="1" customWidth="1"/>
    <col min="1810" max="1824" width="9" style="987" hidden="1" customWidth="1"/>
    <col min="1825" max="2048" width="9" style="987" hidden="1"/>
    <col min="2049" max="2049" width="0.75" style="987" hidden="1" customWidth="1"/>
    <col min="2050" max="2050" width="2.125" style="987" hidden="1" customWidth="1"/>
    <col min="2051" max="2051" width="13.375" style="987" hidden="1" customWidth="1"/>
    <col min="2052" max="2052" width="5.375" style="987" hidden="1" customWidth="1"/>
    <col min="2053" max="2053" width="9.75" style="987" hidden="1" customWidth="1"/>
    <col min="2054" max="2054" width="6.25" style="987" hidden="1" customWidth="1"/>
    <col min="2055" max="2055" width="6.5" style="987" hidden="1" customWidth="1"/>
    <col min="2056" max="2056" width="12.875" style="987" hidden="1" customWidth="1"/>
    <col min="2057" max="2057" width="7.125" style="987" hidden="1" customWidth="1"/>
    <col min="2058" max="2058" width="12.125" style="987" hidden="1" customWidth="1"/>
    <col min="2059" max="2059" width="11.875" style="987" hidden="1" customWidth="1"/>
    <col min="2060" max="2060" width="10.75" style="987" hidden="1" customWidth="1"/>
    <col min="2061" max="2061" width="11.875" style="987" hidden="1" customWidth="1"/>
    <col min="2062" max="2063" width="11.375" style="987" hidden="1" customWidth="1"/>
    <col min="2064" max="2064" width="0.75" style="987" hidden="1" customWidth="1"/>
    <col min="2065" max="2065" width="3.875" style="987" hidden="1" customWidth="1"/>
    <col min="2066" max="2080" width="9" style="987" hidden="1" customWidth="1"/>
    <col min="2081" max="2304" width="9" style="987" hidden="1"/>
    <col min="2305" max="2305" width="0.75" style="987" hidden="1" customWidth="1"/>
    <col min="2306" max="2306" width="2.125" style="987" hidden="1" customWidth="1"/>
    <col min="2307" max="2307" width="13.375" style="987" hidden="1" customWidth="1"/>
    <col min="2308" max="2308" width="5.375" style="987" hidden="1" customWidth="1"/>
    <col min="2309" max="2309" width="9.75" style="987" hidden="1" customWidth="1"/>
    <col min="2310" max="2310" width="6.25" style="987" hidden="1" customWidth="1"/>
    <col min="2311" max="2311" width="6.5" style="987" hidden="1" customWidth="1"/>
    <col min="2312" max="2312" width="12.875" style="987" hidden="1" customWidth="1"/>
    <col min="2313" max="2313" width="7.125" style="987" hidden="1" customWidth="1"/>
    <col min="2314" max="2314" width="12.125" style="987" hidden="1" customWidth="1"/>
    <col min="2315" max="2315" width="11.875" style="987" hidden="1" customWidth="1"/>
    <col min="2316" max="2316" width="10.75" style="987" hidden="1" customWidth="1"/>
    <col min="2317" max="2317" width="11.875" style="987" hidden="1" customWidth="1"/>
    <col min="2318" max="2319" width="11.375" style="987" hidden="1" customWidth="1"/>
    <col min="2320" max="2320" width="0.75" style="987" hidden="1" customWidth="1"/>
    <col min="2321" max="2321" width="3.875" style="987" hidden="1" customWidth="1"/>
    <col min="2322" max="2336" width="9" style="987" hidden="1" customWidth="1"/>
    <col min="2337" max="2560" width="9" style="987" hidden="1"/>
    <col min="2561" max="2561" width="0.75" style="987" hidden="1" customWidth="1"/>
    <col min="2562" max="2562" width="2.125" style="987" hidden="1" customWidth="1"/>
    <col min="2563" max="2563" width="13.375" style="987" hidden="1" customWidth="1"/>
    <col min="2564" max="2564" width="5.375" style="987" hidden="1" customWidth="1"/>
    <col min="2565" max="2565" width="9.75" style="987" hidden="1" customWidth="1"/>
    <col min="2566" max="2566" width="6.25" style="987" hidden="1" customWidth="1"/>
    <col min="2567" max="2567" width="6.5" style="987" hidden="1" customWidth="1"/>
    <col min="2568" max="2568" width="12.875" style="987" hidden="1" customWidth="1"/>
    <col min="2569" max="2569" width="7.125" style="987" hidden="1" customWidth="1"/>
    <col min="2570" max="2570" width="12.125" style="987" hidden="1" customWidth="1"/>
    <col min="2571" max="2571" width="11.875" style="987" hidden="1" customWidth="1"/>
    <col min="2572" max="2572" width="10.75" style="987" hidden="1" customWidth="1"/>
    <col min="2573" max="2573" width="11.875" style="987" hidden="1" customWidth="1"/>
    <col min="2574" max="2575" width="11.375" style="987" hidden="1" customWidth="1"/>
    <col min="2576" max="2576" width="0.75" style="987" hidden="1" customWidth="1"/>
    <col min="2577" max="2577" width="3.875" style="987" hidden="1" customWidth="1"/>
    <col min="2578" max="2592" width="9" style="987" hidden="1" customWidth="1"/>
    <col min="2593" max="2816" width="9" style="987" hidden="1"/>
    <col min="2817" max="2817" width="0.75" style="987" hidden="1" customWidth="1"/>
    <col min="2818" max="2818" width="2.125" style="987" hidden="1" customWidth="1"/>
    <col min="2819" max="2819" width="13.375" style="987" hidden="1" customWidth="1"/>
    <col min="2820" max="2820" width="5.375" style="987" hidden="1" customWidth="1"/>
    <col min="2821" max="2821" width="9.75" style="987" hidden="1" customWidth="1"/>
    <col min="2822" max="2822" width="6.25" style="987" hidden="1" customWidth="1"/>
    <col min="2823" max="2823" width="6.5" style="987" hidden="1" customWidth="1"/>
    <col min="2824" max="2824" width="12.875" style="987" hidden="1" customWidth="1"/>
    <col min="2825" max="2825" width="7.125" style="987" hidden="1" customWidth="1"/>
    <col min="2826" max="2826" width="12.125" style="987" hidden="1" customWidth="1"/>
    <col min="2827" max="2827" width="11.875" style="987" hidden="1" customWidth="1"/>
    <col min="2828" max="2828" width="10.75" style="987" hidden="1" customWidth="1"/>
    <col min="2829" max="2829" width="11.875" style="987" hidden="1" customWidth="1"/>
    <col min="2830" max="2831" width="11.375" style="987" hidden="1" customWidth="1"/>
    <col min="2832" max="2832" width="0.75" style="987" hidden="1" customWidth="1"/>
    <col min="2833" max="2833" width="3.875" style="987" hidden="1" customWidth="1"/>
    <col min="2834" max="2848" width="9" style="987" hidden="1" customWidth="1"/>
    <col min="2849" max="3072" width="9" style="987" hidden="1"/>
    <col min="3073" max="3073" width="0.75" style="987" hidden="1" customWidth="1"/>
    <col min="3074" max="3074" width="2.125" style="987" hidden="1" customWidth="1"/>
    <col min="3075" max="3075" width="13.375" style="987" hidden="1" customWidth="1"/>
    <col min="3076" max="3076" width="5.375" style="987" hidden="1" customWidth="1"/>
    <col min="3077" max="3077" width="9.75" style="987" hidden="1" customWidth="1"/>
    <col min="3078" max="3078" width="6.25" style="987" hidden="1" customWidth="1"/>
    <col min="3079" max="3079" width="6.5" style="987" hidden="1" customWidth="1"/>
    <col min="3080" max="3080" width="12.875" style="987" hidden="1" customWidth="1"/>
    <col min="3081" max="3081" width="7.125" style="987" hidden="1" customWidth="1"/>
    <col min="3082" max="3082" width="12.125" style="987" hidden="1" customWidth="1"/>
    <col min="3083" max="3083" width="11.875" style="987" hidden="1" customWidth="1"/>
    <col min="3084" max="3084" width="10.75" style="987" hidden="1" customWidth="1"/>
    <col min="3085" max="3085" width="11.875" style="987" hidden="1" customWidth="1"/>
    <col min="3086" max="3087" width="11.375" style="987" hidden="1" customWidth="1"/>
    <col min="3088" max="3088" width="0.75" style="987" hidden="1" customWidth="1"/>
    <col min="3089" max="3089" width="3.875" style="987" hidden="1" customWidth="1"/>
    <col min="3090" max="3104" width="9" style="987" hidden="1" customWidth="1"/>
    <col min="3105" max="3328" width="9" style="987" hidden="1"/>
    <col min="3329" max="3329" width="0.75" style="987" hidden="1" customWidth="1"/>
    <col min="3330" max="3330" width="2.125" style="987" hidden="1" customWidth="1"/>
    <col min="3331" max="3331" width="13.375" style="987" hidden="1" customWidth="1"/>
    <col min="3332" max="3332" width="5.375" style="987" hidden="1" customWidth="1"/>
    <col min="3333" max="3333" width="9.75" style="987" hidden="1" customWidth="1"/>
    <col min="3334" max="3334" width="6.25" style="987" hidden="1" customWidth="1"/>
    <col min="3335" max="3335" width="6.5" style="987" hidden="1" customWidth="1"/>
    <col min="3336" max="3336" width="12.875" style="987" hidden="1" customWidth="1"/>
    <col min="3337" max="3337" width="7.125" style="987" hidden="1" customWidth="1"/>
    <col min="3338" max="3338" width="12.125" style="987" hidden="1" customWidth="1"/>
    <col min="3339" max="3339" width="11.875" style="987" hidden="1" customWidth="1"/>
    <col min="3340" max="3340" width="10.75" style="987" hidden="1" customWidth="1"/>
    <col min="3341" max="3341" width="11.875" style="987" hidden="1" customWidth="1"/>
    <col min="3342" max="3343" width="11.375" style="987" hidden="1" customWidth="1"/>
    <col min="3344" max="3344" width="0.75" style="987" hidden="1" customWidth="1"/>
    <col min="3345" max="3345" width="3.875" style="987" hidden="1" customWidth="1"/>
    <col min="3346" max="3360" width="9" style="987" hidden="1" customWidth="1"/>
    <col min="3361" max="3584" width="9" style="987" hidden="1"/>
    <col min="3585" max="3585" width="0.75" style="987" hidden="1" customWidth="1"/>
    <col min="3586" max="3586" width="2.125" style="987" hidden="1" customWidth="1"/>
    <col min="3587" max="3587" width="13.375" style="987" hidden="1" customWidth="1"/>
    <col min="3588" max="3588" width="5.375" style="987" hidden="1" customWidth="1"/>
    <col min="3589" max="3589" width="9.75" style="987" hidden="1" customWidth="1"/>
    <col min="3590" max="3590" width="6.25" style="987" hidden="1" customWidth="1"/>
    <col min="3591" max="3591" width="6.5" style="987" hidden="1" customWidth="1"/>
    <col min="3592" max="3592" width="12.875" style="987" hidden="1" customWidth="1"/>
    <col min="3593" max="3593" width="7.125" style="987" hidden="1" customWidth="1"/>
    <col min="3594" max="3594" width="12.125" style="987" hidden="1" customWidth="1"/>
    <col min="3595" max="3595" width="11.875" style="987" hidden="1" customWidth="1"/>
    <col min="3596" max="3596" width="10.75" style="987" hidden="1" customWidth="1"/>
    <col min="3597" max="3597" width="11.875" style="987" hidden="1" customWidth="1"/>
    <col min="3598" max="3599" width="11.375" style="987" hidden="1" customWidth="1"/>
    <col min="3600" max="3600" width="0.75" style="987" hidden="1" customWidth="1"/>
    <col min="3601" max="3601" width="3.875" style="987" hidden="1" customWidth="1"/>
    <col min="3602" max="3616" width="9" style="987" hidden="1" customWidth="1"/>
    <col min="3617" max="3840" width="9" style="987" hidden="1"/>
    <col min="3841" max="3841" width="0.75" style="987" hidden="1" customWidth="1"/>
    <col min="3842" max="3842" width="2.125" style="987" hidden="1" customWidth="1"/>
    <col min="3843" max="3843" width="13.375" style="987" hidden="1" customWidth="1"/>
    <col min="3844" max="3844" width="5.375" style="987" hidden="1" customWidth="1"/>
    <col min="3845" max="3845" width="9.75" style="987" hidden="1" customWidth="1"/>
    <col min="3846" max="3846" width="6.25" style="987" hidden="1" customWidth="1"/>
    <col min="3847" max="3847" width="6.5" style="987" hidden="1" customWidth="1"/>
    <col min="3848" max="3848" width="12.875" style="987" hidden="1" customWidth="1"/>
    <col min="3849" max="3849" width="7.125" style="987" hidden="1" customWidth="1"/>
    <col min="3850" max="3850" width="12.125" style="987" hidden="1" customWidth="1"/>
    <col min="3851" max="3851" width="11.875" style="987" hidden="1" customWidth="1"/>
    <col min="3852" max="3852" width="10.75" style="987" hidden="1" customWidth="1"/>
    <col min="3853" max="3853" width="11.875" style="987" hidden="1" customWidth="1"/>
    <col min="3854" max="3855" width="11.375" style="987" hidden="1" customWidth="1"/>
    <col min="3856" max="3856" width="0.75" style="987" hidden="1" customWidth="1"/>
    <col min="3857" max="3857" width="3.875" style="987" hidden="1" customWidth="1"/>
    <col min="3858" max="3872" width="9" style="987" hidden="1" customWidth="1"/>
    <col min="3873" max="4096" width="9" style="987" hidden="1"/>
    <col min="4097" max="4097" width="0.75" style="987" hidden="1" customWidth="1"/>
    <col min="4098" max="4098" width="2.125" style="987" hidden="1" customWidth="1"/>
    <col min="4099" max="4099" width="13.375" style="987" hidden="1" customWidth="1"/>
    <col min="4100" max="4100" width="5.375" style="987" hidden="1" customWidth="1"/>
    <col min="4101" max="4101" width="9.75" style="987" hidden="1" customWidth="1"/>
    <col min="4102" max="4102" width="6.25" style="987" hidden="1" customWidth="1"/>
    <col min="4103" max="4103" width="6.5" style="987" hidden="1" customWidth="1"/>
    <col min="4104" max="4104" width="12.875" style="987" hidden="1" customWidth="1"/>
    <col min="4105" max="4105" width="7.125" style="987" hidden="1" customWidth="1"/>
    <col min="4106" max="4106" width="12.125" style="987" hidden="1" customWidth="1"/>
    <col min="4107" max="4107" width="11.875" style="987" hidden="1" customWidth="1"/>
    <col min="4108" max="4108" width="10.75" style="987" hidden="1" customWidth="1"/>
    <col min="4109" max="4109" width="11.875" style="987" hidden="1" customWidth="1"/>
    <col min="4110" max="4111" width="11.375" style="987" hidden="1" customWidth="1"/>
    <col min="4112" max="4112" width="0.75" style="987" hidden="1" customWidth="1"/>
    <col min="4113" max="4113" width="3.875" style="987" hidden="1" customWidth="1"/>
    <col min="4114" max="4128" width="9" style="987" hidden="1" customWidth="1"/>
    <col min="4129" max="4352" width="9" style="987" hidden="1"/>
    <col min="4353" max="4353" width="0.75" style="987" hidden="1" customWidth="1"/>
    <col min="4354" max="4354" width="2.125" style="987" hidden="1" customWidth="1"/>
    <col min="4355" max="4355" width="13.375" style="987" hidden="1" customWidth="1"/>
    <col min="4356" max="4356" width="5.375" style="987" hidden="1" customWidth="1"/>
    <col min="4357" max="4357" width="9.75" style="987" hidden="1" customWidth="1"/>
    <col min="4358" max="4358" width="6.25" style="987" hidden="1" customWidth="1"/>
    <col min="4359" max="4359" width="6.5" style="987" hidden="1" customWidth="1"/>
    <col min="4360" max="4360" width="12.875" style="987" hidden="1" customWidth="1"/>
    <col min="4361" max="4361" width="7.125" style="987" hidden="1" customWidth="1"/>
    <col min="4362" max="4362" width="12.125" style="987" hidden="1" customWidth="1"/>
    <col min="4363" max="4363" width="11.875" style="987" hidden="1" customWidth="1"/>
    <col min="4364" max="4364" width="10.75" style="987" hidden="1" customWidth="1"/>
    <col min="4365" max="4365" width="11.875" style="987" hidden="1" customWidth="1"/>
    <col min="4366" max="4367" width="11.375" style="987" hidden="1" customWidth="1"/>
    <col min="4368" max="4368" width="0.75" style="987" hidden="1" customWidth="1"/>
    <col min="4369" max="4369" width="3.875" style="987" hidden="1" customWidth="1"/>
    <col min="4370" max="4384" width="9" style="987" hidden="1" customWidth="1"/>
    <col min="4385" max="4608" width="9" style="987" hidden="1"/>
    <col min="4609" max="4609" width="0.75" style="987" hidden="1" customWidth="1"/>
    <col min="4610" max="4610" width="2.125" style="987" hidden="1" customWidth="1"/>
    <col min="4611" max="4611" width="13.375" style="987" hidden="1" customWidth="1"/>
    <col min="4612" max="4612" width="5.375" style="987" hidden="1" customWidth="1"/>
    <col min="4613" max="4613" width="9.75" style="987" hidden="1" customWidth="1"/>
    <col min="4614" max="4614" width="6.25" style="987" hidden="1" customWidth="1"/>
    <col min="4615" max="4615" width="6.5" style="987" hidden="1" customWidth="1"/>
    <col min="4616" max="4616" width="12.875" style="987" hidden="1" customWidth="1"/>
    <col min="4617" max="4617" width="7.125" style="987" hidden="1" customWidth="1"/>
    <col min="4618" max="4618" width="12.125" style="987" hidden="1" customWidth="1"/>
    <col min="4619" max="4619" width="11.875" style="987" hidden="1" customWidth="1"/>
    <col min="4620" max="4620" width="10.75" style="987" hidden="1" customWidth="1"/>
    <col min="4621" max="4621" width="11.875" style="987" hidden="1" customWidth="1"/>
    <col min="4622" max="4623" width="11.375" style="987" hidden="1" customWidth="1"/>
    <col min="4624" max="4624" width="0.75" style="987" hidden="1" customWidth="1"/>
    <col min="4625" max="4625" width="3.875" style="987" hidden="1" customWidth="1"/>
    <col min="4626" max="4640" width="9" style="987" hidden="1" customWidth="1"/>
    <col min="4641" max="4864" width="9" style="987" hidden="1"/>
    <col min="4865" max="4865" width="0.75" style="987" hidden="1" customWidth="1"/>
    <col min="4866" max="4866" width="2.125" style="987" hidden="1" customWidth="1"/>
    <col min="4867" max="4867" width="13.375" style="987" hidden="1" customWidth="1"/>
    <col min="4868" max="4868" width="5.375" style="987" hidden="1" customWidth="1"/>
    <col min="4869" max="4869" width="9.75" style="987" hidden="1" customWidth="1"/>
    <col min="4870" max="4870" width="6.25" style="987" hidden="1" customWidth="1"/>
    <col min="4871" max="4871" width="6.5" style="987" hidden="1" customWidth="1"/>
    <col min="4872" max="4872" width="12.875" style="987" hidden="1" customWidth="1"/>
    <col min="4873" max="4873" width="7.125" style="987" hidden="1" customWidth="1"/>
    <col min="4874" max="4874" width="12.125" style="987" hidden="1" customWidth="1"/>
    <col min="4875" max="4875" width="11.875" style="987" hidden="1" customWidth="1"/>
    <col min="4876" max="4876" width="10.75" style="987" hidden="1" customWidth="1"/>
    <col min="4877" max="4877" width="11.875" style="987" hidden="1" customWidth="1"/>
    <col min="4878" max="4879" width="11.375" style="987" hidden="1" customWidth="1"/>
    <col min="4880" max="4880" width="0.75" style="987" hidden="1" customWidth="1"/>
    <col min="4881" max="4881" width="3.875" style="987" hidden="1" customWidth="1"/>
    <col min="4882" max="4896" width="9" style="987" hidden="1" customWidth="1"/>
    <col min="4897" max="5120" width="9" style="987" hidden="1"/>
    <col min="5121" max="5121" width="0.75" style="987" hidden="1" customWidth="1"/>
    <col min="5122" max="5122" width="2.125" style="987" hidden="1" customWidth="1"/>
    <col min="5123" max="5123" width="13.375" style="987" hidden="1" customWidth="1"/>
    <col min="5124" max="5124" width="5.375" style="987" hidden="1" customWidth="1"/>
    <col min="5125" max="5125" width="9.75" style="987" hidden="1" customWidth="1"/>
    <col min="5126" max="5126" width="6.25" style="987" hidden="1" customWidth="1"/>
    <col min="5127" max="5127" width="6.5" style="987" hidden="1" customWidth="1"/>
    <col min="5128" max="5128" width="12.875" style="987" hidden="1" customWidth="1"/>
    <col min="5129" max="5129" width="7.125" style="987" hidden="1" customWidth="1"/>
    <col min="5130" max="5130" width="12.125" style="987" hidden="1" customWidth="1"/>
    <col min="5131" max="5131" width="11.875" style="987" hidden="1" customWidth="1"/>
    <col min="5132" max="5132" width="10.75" style="987" hidden="1" customWidth="1"/>
    <col min="5133" max="5133" width="11.875" style="987" hidden="1" customWidth="1"/>
    <col min="5134" max="5135" width="11.375" style="987" hidden="1" customWidth="1"/>
    <col min="5136" max="5136" width="0.75" style="987" hidden="1" customWidth="1"/>
    <col min="5137" max="5137" width="3.875" style="987" hidden="1" customWidth="1"/>
    <col min="5138" max="5152" width="9" style="987" hidden="1" customWidth="1"/>
    <col min="5153" max="5376" width="9" style="987" hidden="1"/>
    <col min="5377" max="5377" width="0.75" style="987" hidden="1" customWidth="1"/>
    <col min="5378" max="5378" width="2.125" style="987" hidden="1" customWidth="1"/>
    <col min="5379" max="5379" width="13.375" style="987" hidden="1" customWidth="1"/>
    <col min="5380" max="5380" width="5.375" style="987" hidden="1" customWidth="1"/>
    <col min="5381" max="5381" width="9.75" style="987" hidden="1" customWidth="1"/>
    <col min="5382" max="5382" width="6.25" style="987" hidden="1" customWidth="1"/>
    <col min="5383" max="5383" width="6.5" style="987" hidden="1" customWidth="1"/>
    <col min="5384" max="5384" width="12.875" style="987" hidden="1" customWidth="1"/>
    <col min="5385" max="5385" width="7.125" style="987" hidden="1" customWidth="1"/>
    <col min="5386" max="5386" width="12.125" style="987" hidden="1" customWidth="1"/>
    <col min="5387" max="5387" width="11.875" style="987" hidden="1" customWidth="1"/>
    <col min="5388" max="5388" width="10.75" style="987" hidden="1" customWidth="1"/>
    <col min="5389" max="5389" width="11.875" style="987" hidden="1" customWidth="1"/>
    <col min="5390" max="5391" width="11.375" style="987" hidden="1" customWidth="1"/>
    <col min="5392" max="5392" width="0.75" style="987" hidden="1" customWidth="1"/>
    <col min="5393" max="5393" width="3.875" style="987" hidden="1" customWidth="1"/>
    <col min="5394" max="5408" width="9" style="987" hidden="1" customWidth="1"/>
    <col min="5409" max="5632" width="9" style="987" hidden="1"/>
    <col min="5633" max="5633" width="0.75" style="987" hidden="1" customWidth="1"/>
    <col min="5634" max="5634" width="2.125" style="987" hidden="1" customWidth="1"/>
    <col min="5635" max="5635" width="13.375" style="987" hidden="1" customWidth="1"/>
    <col min="5636" max="5636" width="5.375" style="987" hidden="1" customWidth="1"/>
    <col min="5637" max="5637" width="9.75" style="987" hidden="1" customWidth="1"/>
    <col min="5638" max="5638" width="6.25" style="987" hidden="1" customWidth="1"/>
    <col min="5639" max="5639" width="6.5" style="987" hidden="1" customWidth="1"/>
    <col min="5640" max="5640" width="12.875" style="987" hidden="1" customWidth="1"/>
    <col min="5641" max="5641" width="7.125" style="987" hidden="1" customWidth="1"/>
    <col min="5642" max="5642" width="12.125" style="987" hidden="1" customWidth="1"/>
    <col min="5643" max="5643" width="11.875" style="987" hidden="1" customWidth="1"/>
    <col min="5644" max="5644" width="10.75" style="987" hidden="1" customWidth="1"/>
    <col min="5645" max="5645" width="11.875" style="987" hidden="1" customWidth="1"/>
    <col min="5646" max="5647" width="11.375" style="987" hidden="1" customWidth="1"/>
    <col min="5648" max="5648" width="0.75" style="987" hidden="1" customWidth="1"/>
    <col min="5649" max="5649" width="3.875" style="987" hidden="1" customWidth="1"/>
    <col min="5650" max="5664" width="9" style="987" hidden="1" customWidth="1"/>
    <col min="5665" max="5888" width="9" style="987" hidden="1"/>
    <col min="5889" max="5889" width="0.75" style="987" hidden="1" customWidth="1"/>
    <col min="5890" max="5890" width="2.125" style="987" hidden="1" customWidth="1"/>
    <col min="5891" max="5891" width="13.375" style="987" hidden="1" customWidth="1"/>
    <col min="5892" max="5892" width="5.375" style="987" hidden="1" customWidth="1"/>
    <col min="5893" max="5893" width="9.75" style="987" hidden="1" customWidth="1"/>
    <col min="5894" max="5894" width="6.25" style="987" hidden="1" customWidth="1"/>
    <col min="5895" max="5895" width="6.5" style="987" hidden="1" customWidth="1"/>
    <col min="5896" max="5896" width="12.875" style="987" hidden="1" customWidth="1"/>
    <col min="5897" max="5897" width="7.125" style="987" hidden="1" customWidth="1"/>
    <col min="5898" max="5898" width="12.125" style="987" hidden="1" customWidth="1"/>
    <col min="5899" max="5899" width="11.875" style="987" hidden="1" customWidth="1"/>
    <col min="5900" max="5900" width="10.75" style="987" hidden="1" customWidth="1"/>
    <col min="5901" max="5901" width="11.875" style="987" hidden="1" customWidth="1"/>
    <col min="5902" max="5903" width="11.375" style="987" hidden="1" customWidth="1"/>
    <col min="5904" max="5904" width="0.75" style="987" hidden="1" customWidth="1"/>
    <col min="5905" max="5905" width="3.875" style="987" hidden="1" customWidth="1"/>
    <col min="5906" max="5920" width="9" style="987" hidden="1" customWidth="1"/>
    <col min="5921" max="6144" width="9" style="987" hidden="1"/>
    <col min="6145" max="6145" width="0.75" style="987" hidden="1" customWidth="1"/>
    <col min="6146" max="6146" width="2.125" style="987" hidden="1" customWidth="1"/>
    <col min="6147" max="6147" width="13.375" style="987" hidden="1" customWidth="1"/>
    <col min="6148" max="6148" width="5.375" style="987" hidden="1" customWidth="1"/>
    <col min="6149" max="6149" width="9.75" style="987" hidden="1" customWidth="1"/>
    <col min="6150" max="6150" width="6.25" style="987" hidden="1" customWidth="1"/>
    <col min="6151" max="6151" width="6.5" style="987" hidden="1" customWidth="1"/>
    <col min="6152" max="6152" width="12.875" style="987" hidden="1" customWidth="1"/>
    <col min="6153" max="6153" width="7.125" style="987" hidden="1" customWidth="1"/>
    <col min="6154" max="6154" width="12.125" style="987" hidden="1" customWidth="1"/>
    <col min="6155" max="6155" width="11.875" style="987" hidden="1" customWidth="1"/>
    <col min="6156" max="6156" width="10.75" style="987" hidden="1" customWidth="1"/>
    <col min="6157" max="6157" width="11.875" style="987" hidden="1" customWidth="1"/>
    <col min="6158" max="6159" width="11.375" style="987" hidden="1" customWidth="1"/>
    <col min="6160" max="6160" width="0.75" style="987" hidden="1" customWidth="1"/>
    <col min="6161" max="6161" width="3.875" style="987" hidden="1" customWidth="1"/>
    <col min="6162" max="6176" width="9" style="987" hidden="1" customWidth="1"/>
    <col min="6177" max="6400" width="9" style="987" hidden="1"/>
    <col min="6401" max="6401" width="0.75" style="987" hidden="1" customWidth="1"/>
    <col min="6402" max="6402" width="2.125" style="987" hidden="1" customWidth="1"/>
    <col min="6403" max="6403" width="13.375" style="987" hidden="1" customWidth="1"/>
    <col min="6404" max="6404" width="5.375" style="987" hidden="1" customWidth="1"/>
    <col min="6405" max="6405" width="9.75" style="987" hidden="1" customWidth="1"/>
    <col min="6406" max="6406" width="6.25" style="987" hidden="1" customWidth="1"/>
    <col min="6407" max="6407" width="6.5" style="987" hidden="1" customWidth="1"/>
    <col min="6408" max="6408" width="12.875" style="987" hidden="1" customWidth="1"/>
    <col min="6409" max="6409" width="7.125" style="987" hidden="1" customWidth="1"/>
    <col min="6410" max="6410" width="12.125" style="987" hidden="1" customWidth="1"/>
    <col min="6411" max="6411" width="11.875" style="987" hidden="1" customWidth="1"/>
    <col min="6412" max="6412" width="10.75" style="987" hidden="1" customWidth="1"/>
    <col min="6413" max="6413" width="11.875" style="987" hidden="1" customWidth="1"/>
    <col min="6414" max="6415" width="11.375" style="987" hidden="1" customWidth="1"/>
    <col min="6416" max="6416" width="0.75" style="987" hidden="1" customWidth="1"/>
    <col min="6417" max="6417" width="3.875" style="987" hidden="1" customWidth="1"/>
    <col min="6418" max="6432" width="9" style="987" hidden="1" customWidth="1"/>
    <col min="6433" max="6656" width="9" style="987" hidden="1"/>
    <col min="6657" max="6657" width="0.75" style="987" hidden="1" customWidth="1"/>
    <col min="6658" max="6658" width="2.125" style="987" hidden="1" customWidth="1"/>
    <col min="6659" max="6659" width="13.375" style="987" hidden="1" customWidth="1"/>
    <col min="6660" max="6660" width="5.375" style="987" hidden="1" customWidth="1"/>
    <col min="6661" max="6661" width="9.75" style="987" hidden="1" customWidth="1"/>
    <col min="6662" max="6662" width="6.25" style="987" hidden="1" customWidth="1"/>
    <col min="6663" max="6663" width="6.5" style="987" hidden="1" customWidth="1"/>
    <col min="6664" max="6664" width="12.875" style="987" hidden="1" customWidth="1"/>
    <col min="6665" max="6665" width="7.125" style="987" hidden="1" customWidth="1"/>
    <col min="6666" max="6666" width="12.125" style="987" hidden="1" customWidth="1"/>
    <col min="6667" max="6667" width="11.875" style="987" hidden="1" customWidth="1"/>
    <col min="6668" max="6668" width="10.75" style="987" hidden="1" customWidth="1"/>
    <col min="6669" max="6669" width="11.875" style="987" hidden="1" customWidth="1"/>
    <col min="6670" max="6671" width="11.375" style="987" hidden="1" customWidth="1"/>
    <col min="6672" max="6672" width="0.75" style="987" hidden="1" customWidth="1"/>
    <col min="6673" max="6673" width="3.875" style="987" hidden="1" customWidth="1"/>
    <col min="6674" max="6688" width="9" style="987" hidden="1" customWidth="1"/>
    <col min="6689" max="6912" width="9" style="987" hidden="1"/>
    <col min="6913" max="6913" width="0.75" style="987" hidden="1" customWidth="1"/>
    <col min="6914" max="6914" width="2.125" style="987" hidden="1" customWidth="1"/>
    <col min="6915" max="6915" width="13.375" style="987" hidden="1" customWidth="1"/>
    <col min="6916" max="6916" width="5.375" style="987" hidden="1" customWidth="1"/>
    <col min="6917" max="6917" width="9.75" style="987" hidden="1" customWidth="1"/>
    <col min="6918" max="6918" width="6.25" style="987" hidden="1" customWidth="1"/>
    <col min="6919" max="6919" width="6.5" style="987" hidden="1" customWidth="1"/>
    <col min="6920" max="6920" width="12.875" style="987" hidden="1" customWidth="1"/>
    <col min="6921" max="6921" width="7.125" style="987" hidden="1" customWidth="1"/>
    <col min="6922" max="6922" width="12.125" style="987" hidden="1" customWidth="1"/>
    <col min="6923" max="6923" width="11.875" style="987" hidden="1" customWidth="1"/>
    <col min="6924" max="6924" width="10.75" style="987" hidden="1" customWidth="1"/>
    <col min="6925" max="6925" width="11.875" style="987" hidden="1" customWidth="1"/>
    <col min="6926" max="6927" width="11.375" style="987" hidden="1" customWidth="1"/>
    <col min="6928" max="6928" width="0.75" style="987" hidden="1" customWidth="1"/>
    <col min="6929" max="6929" width="3.875" style="987" hidden="1" customWidth="1"/>
    <col min="6930" max="6944" width="9" style="987" hidden="1" customWidth="1"/>
    <col min="6945" max="7168" width="9" style="987" hidden="1"/>
    <col min="7169" max="7169" width="0.75" style="987" hidden="1" customWidth="1"/>
    <col min="7170" max="7170" width="2.125" style="987" hidden="1" customWidth="1"/>
    <col min="7171" max="7171" width="13.375" style="987" hidden="1" customWidth="1"/>
    <col min="7172" max="7172" width="5.375" style="987" hidden="1" customWidth="1"/>
    <col min="7173" max="7173" width="9.75" style="987" hidden="1" customWidth="1"/>
    <col min="7174" max="7174" width="6.25" style="987" hidden="1" customWidth="1"/>
    <col min="7175" max="7175" width="6.5" style="987" hidden="1" customWidth="1"/>
    <col min="7176" max="7176" width="12.875" style="987" hidden="1" customWidth="1"/>
    <col min="7177" max="7177" width="7.125" style="987" hidden="1" customWidth="1"/>
    <col min="7178" max="7178" width="12.125" style="987" hidden="1" customWidth="1"/>
    <col min="7179" max="7179" width="11.875" style="987" hidden="1" customWidth="1"/>
    <col min="7180" max="7180" width="10.75" style="987" hidden="1" customWidth="1"/>
    <col min="7181" max="7181" width="11.875" style="987" hidden="1" customWidth="1"/>
    <col min="7182" max="7183" width="11.375" style="987" hidden="1" customWidth="1"/>
    <col min="7184" max="7184" width="0.75" style="987" hidden="1" customWidth="1"/>
    <col min="7185" max="7185" width="3.875" style="987" hidden="1" customWidth="1"/>
    <col min="7186" max="7200" width="9" style="987" hidden="1" customWidth="1"/>
    <col min="7201" max="7424" width="9" style="987" hidden="1"/>
    <col min="7425" max="7425" width="0.75" style="987" hidden="1" customWidth="1"/>
    <col min="7426" max="7426" width="2.125" style="987" hidden="1" customWidth="1"/>
    <col min="7427" max="7427" width="13.375" style="987" hidden="1" customWidth="1"/>
    <col min="7428" max="7428" width="5.375" style="987" hidden="1" customWidth="1"/>
    <col min="7429" max="7429" width="9.75" style="987" hidden="1" customWidth="1"/>
    <col min="7430" max="7430" width="6.25" style="987" hidden="1" customWidth="1"/>
    <col min="7431" max="7431" width="6.5" style="987" hidden="1" customWidth="1"/>
    <col min="7432" max="7432" width="12.875" style="987" hidden="1" customWidth="1"/>
    <col min="7433" max="7433" width="7.125" style="987" hidden="1" customWidth="1"/>
    <col min="7434" max="7434" width="12.125" style="987" hidden="1" customWidth="1"/>
    <col min="7435" max="7435" width="11.875" style="987" hidden="1" customWidth="1"/>
    <col min="7436" max="7436" width="10.75" style="987" hidden="1" customWidth="1"/>
    <col min="7437" max="7437" width="11.875" style="987" hidden="1" customWidth="1"/>
    <col min="7438" max="7439" width="11.375" style="987" hidden="1" customWidth="1"/>
    <col min="7440" max="7440" width="0.75" style="987" hidden="1" customWidth="1"/>
    <col min="7441" max="7441" width="3.875" style="987" hidden="1" customWidth="1"/>
    <col min="7442" max="7456" width="9" style="987" hidden="1" customWidth="1"/>
    <col min="7457" max="7680" width="9" style="987" hidden="1"/>
    <col min="7681" max="7681" width="0.75" style="987" hidden="1" customWidth="1"/>
    <col min="7682" max="7682" width="2.125" style="987" hidden="1" customWidth="1"/>
    <col min="7683" max="7683" width="13.375" style="987" hidden="1" customWidth="1"/>
    <col min="7684" max="7684" width="5.375" style="987" hidden="1" customWidth="1"/>
    <col min="7685" max="7685" width="9.75" style="987" hidden="1" customWidth="1"/>
    <col min="7686" max="7686" width="6.25" style="987" hidden="1" customWidth="1"/>
    <col min="7687" max="7687" width="6.5" style="987" hidden="1" customWidth="1"/>
    <col min="7688" max="7688" width="12.875" style="987" hidden="1" customWidth="1"/>
    <col min="7689" max="7689" width="7.125" style="987" hidden="1" customWidth="1"/>
    <col min="7690" max="7690" width="12.125" style="987" hidden="1" customWidth="1"/>
    <col min="7691" max="7691" width="11.875" style="987" hidden="1" customWidth="1"/>
    <col min="7692" max="7692" width="10.75" style="987" hidden="1" customWidth="1"/>
    <col min="7693" max="7693" width="11.875" style="987" hidden="1" customWidth="1"/>
    <col min="7694" max="7695" width="11.375" style="987" hidden="1" customWidth="1"/>
    <col min="7696" max="7696" width="0.75" style="987" hidden="1" customWidth="1"/>
    <col min="7697" max="7697" width="3.875" style="987" hidden="1" customWidth="1"/>
    <col min="7698" max="7712" width="9" style="987" hidden="1" customWidth="1"/>
    <col min="7713" max="7936" width="9" style="987" hidden="1"/>
    <col min="7937" max="7937" width="0.75" style="987" hidden="1" customWidth="1"/>
    <col min="7938" max="7938" width="2.125" style="987" hidden="1" customWidth="1"/>
    <col min="7939" max="7939" width="13.375" style="987" hidden="1" customWidth="1"/>
    <col min="7940" max="7940" width="5.375" style="987" hidden="1" customWidth="1"/>
    <col min="7941" max="7941" width="9.75" style="987" hidden="1" customWidth="1"/>
    <col min="7942" max="7942" width="6.25" style="987" hidden="1" customWidth="1"/>
    <col min="7943" max="7943" width="6.5" style="987" hidden="1" customWidth="1"/>
    <col min="7944" max="7944" width="12.875" style="987" hidden="1" customWidth="1"/>
    <col min="7945" max="7945" width="7.125" style="987" hidden="1" customWidth="1"/>
    <col min="7946" max="7946" width="12.125" style="987" hidden="1" customWidth="1"/>
    <col min="7947" max="7947" width="11.875" style="987" hidden="1" customWidth="1"/>
    <col min="7948" max="7948" width="10.75" style="987" hidden="1" customWidth="1"/>
    <col min="7949" max="7949" width="11.875" style="987" hidden="1" customWidth="1"/>
    <col min="7950" max="7951" width="11.375" style="987" hidden="1" customWidth="1"/>
    <col min="7952" max="7952" width="0.75" style="987" hidden="1" customWidth="1"/>
    <col min="7953" max="7953" width="3.875" style="987" hidden="1" customWidth="1"/>
    <col min="7954" max="7968" width="9" style="987" hidden="1" customWidth="1"/>
    <col min="7969" max="8192" width="9" style="987" hidden="1"/>
    <col min="8193" max="8193" width="0.75" style="987" hidden="1" customWidth="1"/>
    <col min="8194" max="8194" width="2.125" style="987" hidden="1" customWidth="1"/>
    <col min="8195" max="8195" width="13.375" style="987" hidden="1" customWidth="1"/>
    <col min="8196" max="8196" width="5.375" style="987" hidden="1" customWidth="1"/>
    <col min="8197" max="8197" width="9.75" style="987" hidden="1" customWidth="1"/>
    <col min="8198" max="8198" width="6.25" style="987" hidden="1" customWidth="1"/>
    <col min="8199" max="8199" width="6.5" style="987" hidden="1" customWidth="1"/>
    <col min="8200" max="8200" width="12.875" style="987" hidden="1" customWidth="1"/>
    <col min="8201" max="8201" width="7.125" style="987" hidden="1" customWidth="1"/>
    <col min="8202" max="8202" width="12.125" style="987" hidden="1" customWidth="1"/>
    <col min="8203" max="8203" width="11.875" style="987" hidden="1" customWidth="1"/>
    <col min="8204" max="8204" width="10.75" style="987" hidden="1" customWidth="1"/>
    <col min="8205" max="8205" width="11.875" style="987" hidden="1" customWidth="1"/>
    <col min="8206" max="8207" width="11.375" style="987" hidden="1" customWidth="1"/>
    <col min="8208" max="8208" width="0.75" style="987" hidden="1" customWidth="1"/>
    <col min="8209" max="8209" width="3.875" style="987" hidden="1" customWidth="1"/>
    <col min="8210" max="8224" width="9" style="987" hidden="1" customWidth="1"/>
    <col min="8225" max="8448" width="9" style="987" hidden="1"/>
    <col min="8449" max="8449" width="0.75" style="987" hidden="1" customWidth="1"/>
    <col min="8450" max="8450" width="2.125" style="987" hidden="1" customWidth="1"/>
    <col min="8451" max="8451" width="13.375" style="987" hidden="1" customWidth="1"/>
    <col min="8452" max="8452" width="5.375" style="987" hidden="1" customWidth="1"/>
    <col min="8453" max="8453" width="9.75" style="987" hidden="1" customWidth="1"/>
    <col min="8454" max="8454" width="6.25" style="987" hidden="1" customWidth="1"/>
    <col min="8455" max="8455" width="6.5" style="987" hidden="1" customWidth="1"/>
    <col min="8456" max="8456" width="12.875" style="987" hidden="1" customWidth="1"/>
    <col min="8457" max="8457" width="7.125" style="987" hidden="1" customWidth="1"/>
    <col min="8458" max="8458" width="12.125" style="987" hidden="1" customWidth="1"/>
    <col min="8459" max="8459" width="11.875" style="987" hidden="1" customWidth="1"/>
    <col min="8460" max="8460" width="10.75" style="987" hidden="1" customWidth="1"/>
    <col min="8461" max="8461" width="11.875" style="987" hidden="1" customWidth="1"/>
    <col min="8462" max="8463" width="11.375" style="987" hidden="1" customWidth="1"/>
    <col min="8464" max="8464" width="0.75" style="987" hidden="1" customWidth="1"/>
    <col min="8465" max="8465" width="3.875" style="987" hidden="1" customWidth="1"/>
    <col min="8466" max="8480" width="9" style="987" hidden="1" customWidth="1"/>
    <col min="8481" max="8704" width="9" style="987" hidden="1"/>
    <col min="8705" max="8705" width="0.75" style="987" hidden="1" customWidth="1"/>
    <col min="8706" max="8706" width="2.125" style="987" hidden="1" customWidth="1"/>
    <col min="8707" max="8707" width="13.375" style="987" hidden="1" customWidth="1"/>
    <col min="8708" max="8708" width="5.375" style="987" hidden="1" customWidth="1"/>
    <col min="8709" max="8709" width="9.75" style="987" hidden="1" customWidth="1"/>
    <col min="8710" max="8710" width="6.25" style="987" hidden="1" customWidth="1"/>
    <col min="8711" max="8711" width="6.5" style="987" hidden="1" customWidth="1"/>
    <col min="8712" max="8712" width="12.875" style="987" hidden="1" customWidth="1"/>
    <col min="8713" max="8713" width="7.125" style="987" hidden="1" customWidth="1"/>
    <col min="8714" max="8714" width="12.125" style="987" hidden="1" customWidth="1"/>
    <col min="8715" max="8715" width="11.875" style="987" hidden="1" customWidth="1"/>
    <col min="8716" max="8716" width="10.75" style="987" hidden="1" customWidth="1"/>
    <col min="8717" max="8717" width="11.875" style="987" hidden="1" customWidth="1"/>
    <col min="8718" max="8719" width="11.375" style="987" hidden="1" customWidth="1"/>
    <col min="8720" max="8720" width="0.75" style="987" hidden="1" customWidth="1"/>
    <col min="8721" max="8721" width="3.875" style="987" hidden="1" customWidth="1"/>
    <col min="8722" max="8736" width="9" style="987" hidden="1" customWidth="1"/>
    <col min="8737" max="8960" width="9" style="987" hidden="1"/>
    <col min="8961" max="8961" width="0.75" style="987" hidden="1" customWidth="1"/>
    <col min="8962" max="8962" width="2.125" style="987" hidden="1" customWidth="1"/>
    <col min="8963" max="8963" width="13.375" style="987" hidden="1" customWidth="1"/>
    <col min="8964" max="8964" width="5.375" style="987" hidden="1" customWidth="1"/>
    <col min="8965" max="8965" width="9.75" style="987" hidden="1" customWidth="1"/>
    <col min="8966" max="8966" width="6.25" style="987" hidden="1" customWidth="1"/>
    <col min="8967" max="8967" width="6.5" style="987" hidden="1" customWidth="1"/>
    <col min="8968" max="8968" width="12.875" style="987" hidden="1" customWidth="1"/>
    <col min="8969" max="8969" width="7.125" style="987" hidden="1" customWidth="1"/>
    <col min="8970" max="8970" width="12.125" style="987" hidden="1" customWidth="1"/>
    <col min="8971" max="8971" width="11.875" style="987" hidden="1" customWidth="1"/>
    <col min="8972" max="8972" width="10.75" style="987" hidden="1" customWidth="1"/>
    <col min="8973" max="8973" width="11.875" style="987" hidden="1" customWidth="1"/>
    <col min="8974" max="8975" width="11.375" style="987" hidden="1" customWidth="1"/>
    <col min="8976" max="8976" width="0.75" style="987" hidden="1" customWidth="1"/>
    <col min="8977" max="8977" width="3.875" style="987" hidden="1" customWidth="1"/>
    <col min="8978" max="8992" width="9" style="987" hidden="1" customWidth="1"/>
    <col min="8993" max="9216" width="9" style="987" hidden="1"/>
    <col min="9217" max="9217" width="0.75" style="987" hidden="1" customWidth="1"/>
    <col min="9218" max="9218" width="2.125" style="987" hidden="1" customWidth="1"/>
    <col min="9219" max="9219" width="13.375" style="987" hidden="1" customWidth="1"/>
    <col min="9220" max="9220" width="5.375" style="987" hidden="1" customWidth="1"/>
    <col min="9221" max="9221" width="9.75" style="987" hidden="1" customWidth="1"/>
    <col min="9222" max="9222" width="6.25" style="987" hidden="1" customWidth="1"/>
    <col min="9223" max="9223" width="6.5" style="987" hidden="1" customWidth="1"/>
    <col min="9224" max="9224" width="12.875" style="987" hidden="1" customWidth="1"/>
    <col min="9225" max="9225" width="7.125" style="987" hidden="1" customWidth="1"/>
    <col min="9226" max="9226" width="12.125" style="987" hidden="1" customWidth="1"/>
    <col min="9227" max="9227" width="11.875" style="987" hidden="1" customWidth="1"/>
    <col min="9228" max="9228" width="10.75" style="987" hidden="1" customWidth="1"/>
    <col min="9229" max="9229" width="11.875" style="987" hidden="1" customWidth="1"/>
    <col min="9230" max="9231" width="11.375" style="987" hidden="1" customWidth="1"/>
    <col min="9232" max="9232" width="0.75" style="987" hidden="1" customWidth="1"/>
    <col min="9233" max="9233" width="3.875" style="987" hidden="1" customWidth="1"/>
    <col min="9234" max="9248" width="9" style="987" hidden="1" customWidth="1"/>
    <col min="9249" max="9472" width="9" style="987" hidden="1"/>
    <col min="9473" max="9473" width="0.75" style="987" hidden="1" customWidth="1"/>
    <col min="9474" max="9474" width="2.125" style="987" hidden="1" customWidth="1"/>
    <col min="9475" max="9475" width="13.375" style="987" hidden="1" customWidth="1"/>
    <col min="9476" max="9476" width="5.375" style="987" hidden="1" customWidth="1"/>
    <col min="9477" max="9477" width="9.75" style="987" hidden="1" customWidth="1"/>
    <col min="9478" max="9478" width="6.25" style="987" hidden="1" customWidth="1"/>
    <col min="9479" max="9479" width="6.5" style="987" hidden="1" customWidth="1"/>
    <col min="9480" max="9480" width="12.875" style="987" hidden="1" customWidth="1"/>
    <col min="9481" max="9481" width="7.125" style="987" hidden="1" customWidth="1"/>
    <col min="9482" max="9482" width="12.125" style="987" hidden="1" customWidth="1"/>
    <col min="9483" max="9483" width="11.875" style="987" hidden="1" customWidth="1"/>
    <col min="9484" max="9484" width="10.75" style="987" hidden="1" customWidth="1"/>
    <col min="9485" max="9485" width="11.875" style="987" hidden="1" customWidth="1"/>
    <col min="9486" max="9487" width="11.375" style="987" hidden="1" customWidth="1"/>
    <col min="9488" max="9488" width="0.75" style="987" hidden="1" customWidth="1"/>
    <col min="9489" max="9489" width="3.875" style="987" hidden="1" customWidth="1"/>
    <col min="9490" max="9504" width="9" style="987" hidden="1" customWidth="1"/>
    <col min="9505" max="9728" width="9" style="987" hidden="1"/>
    <col min="9729" max="9729" width="0.75" style="987" hidden="1" customWidth="1"/>
    <col min="9730" max="9730" width="2.125" style="987" hidden="1" customWidth="1"/>
    <col min="9731" max="9731" width="13.375" style="987" hidden="1" customWidth="1"/>
    <col min="9732" max="9732" width="5.375" style="987" hidden="1" customWidth="1"/>
    <col min="9733" max="9733" width="9.75" style="987" hidden="1" customWidth="1"/>
    <col min="9734" max="9734" width="6.25" style="987" hidden="1" customWidth="1"/>
    <col min="9735" max="9735" width="6.5" style="987" hidden="1" customWidth="1"/>
    <col min="9736" max="9736" width="12.875" style="987" hidden="1" customWidth="1"/>
    <col min="9737" max="9737" width="7.125" style="987" hidden="1" customWidth="1"/>
    <col min="9738" max="9738" width="12.125" style="987" hidden="1" customWidth="1"/>
    <col min="9739" max="9739" width="11.875" style="987" hidden="1" customWidth="1"/>
    <col min="9740" max="9740" width="10.75" style="987" hidden="1" customWidth="1"/>
    <col min="9741" max="9741" width="11.875" style="987" hidden="1" customWidth="1"/>
    <col min="9742" max="9743" width="11.375" style="987" hidden="1" customWidth="1"/>
    <col min="9744" max="9744" width="0.75" style="987" hidden="1" customWidth="1"/>
    <col min="9745" max="9745" width="3.875" style="987" hidden="1" customWidth="1"/>
    <col min="9746" max="9760" width="9" style="987" hidden="1" customWidth="1"/>
    <col min="9761" max="9984" width="9" style="987" hidden="1"/>
    <col min="9985" max="9985" width="0.75" style="987" hidden="1" customWidth="1"/>
    <col min="9986" max="9986" width="2.125" style="987" hidden="1" customWidth="1"/>
    <col min="9987" max="9987" width="13.375" style="987" hidden="1" customWidth="1"/>
    <col min="9988" max="9988" width="5.375" style="987" hidden="1" customWidth="1"/>
    <col min="9989" max="9989" width="9.75" style="987" hidden="1" customWidth="1"/>
    <col min="9990" max="9990" width="6.25" style="987" hidden="1" customWidth="1"/>
    <col min="9991" max="9991" width="6.5" style="987" hidden="1" customWidth="1"/>
    <col min="9992" max="9992" width="12.875" style="987" hidden="1" customWidth="1"/>
    <col min="9993" max="9993" width="7.125" style="987" hidden="1" customWidth="1"/>
    <col min="9994" max="9994" width="12.125" style="987" hidden="1" customWidth="1"/>
    <col min="9995" max="9995" width="11.875" style="987" hidden="1" customWidth="1"/>
    <col min="9996" max="9996" width="10.75" style="987" hidden="1" customWidth="1"/>
    <col min="9997" max="9997" width="11.875" style="987" hidden="1" customWidth="1"/>
    <col min="9998" max="9999" width="11.375" style="987" hidden="1" customWidth="1"/>
    <col min="10000" max="10000" width="0.75" style="987" hidden="1" customWidth="1"/>
    <col min="10001" max="10001" width="3.875" style="987" hidden="1" customWidth="1"/>
    <col min="10002" max="10016" width="9" style="987" hidden="1" customWidth="1"/>
    <col min="10017" max="10240" width="9" style="987" hidden="1"/>
    <col min="10241" max="10241" width="0.75" style="987" hidden="1" customWidth="1"/>
    <col min="10242" max="10242" width="2.125" style="987" hidden="1" customWidth="1"/>
    <col min="10243" max="10243" width="13.375" style="987" hidden="1" customWidth="1"/>
    <col min="10244" max="10244" width="5.375" style="987" hidden="1" customWidth="1"/>
    <col min="10245" max="10245" width="9.75" style="987" hidden="1" customWidth="1"/>
    <col min="10246" max="10246" width="6.25" style="987" hidden="1" customWidth="1"/>
    <col min="10247" max="10247" width="6.5" style="987" hidden="1" customWidth="1"/>
    <col min="10248" max="10248" width="12.875" style="987" hidden="1" customWidth="1"/>
    <col min="10249" max="10249" width="7.125" style="987" hidden="1" customWidth="1"/>
    <col min="10250" max="10250" width="12.125" style="987" hidden="1" customWidth="1"/>
    <col min="10251" max="10251" width="11.875" style="987" hidden="1" customWidth="1"/>
    <col min="10252" max="10252" width="10.75" style="987" hidden="1" customWidth="1"/>
    <col min="10253" max="10253" width="11.875" style="987" hidden="1" customWidth="1"/>
    <col min="10254" max="10255" width="11.375" style="987" hidden="1" customWidth="1"/>
    <col min="10256" max="10256" width="0.75" style="987" hidden="1" customWidth="1"/>
    <col min="10257" max="10257" width="3.875" style="987" hidden="1" customWidth="1"/>
    <col min="10258" max="10272" width="9" style="987" hidden="1" customWidth="1"/>
    <col min="10273" max="10496" width="9" style="987" hidden="1"/>
    <col min="10497" max="10497" width="0.75" style="987" hidden="1" customWidth="1"/>
    <col min="10498" max="10498" width="2.125" style="987" hidden="1" customWidth="1"/>
    <col min="10499" max="10499" width="13.375" style="987" hidden="1" customWidth="1"/>
    <col min="10500" max="10500" width="5.375" style="987" hidden="1" customWidth="1"/>
    <col min="10501" max="10501" width="9.75" style="987" hidden="1" customWidth="1"/>
    <col min="10502" max="10502" width="6.25" style="987" hidden="1" customWidth="1"/>
    <col min="10503" max="10503" width="6.5" style="987" hidden="1" customWidth="1"/>
    <col min="10504" max="10504" width="12.875" style="987" hidden="1" customWidth="1"/>
    <col min="10505" max="10505" width="7.125" style="987" hidden="1" customWidth="1"/>
    <col min="10506" max="10506" width="12.125" style="987" hidden="1" customWidth="1"/>
    <col min="10507" max="10507" width="11.875" style="987" hidden="1" customWidth="1"/>
    <col min="10508" max="10508" width="10.75" style="987" hidden="1" customWidth="1"/>
    <col min="10509" max="10509" width="11.875" style="987" hidden="1" customWidth="1"/>
    <col min="10510" max="10511" width="11.375" style="987" hidden="1" customWidth="1"/>
    <col min="10512" max="10512" width="0.75" style="987" hidden="1" customWidth="1"/>
    <col min="10513" max="10513" width="3.875" style="987" hidden="1" customWidth="1"/>
    <col min="10514" max="10528" width="9" style="987" hidden="1" customWidth="1"/>
    <col min="10529" max="10752" width="9" style="987" hidden="1"/>
    <col min="10753" max="10753" width="0.75" style="987" hidden="1" customWidth="1"/>
    <col min="10754" max="10754" width="2.125" style="987" hidden="1" customWidth="1"/>
    <col min="10755" max="10755" width="13.375" style="987" hidden="1" customWidth="1"/>
    <col min="10756" max="10756" width="5.375" style="987" hidden="1" customWidth="1"/>
    <col min="10757" max="10757" width="9.75" style="987" hidden="1" customWidth="1"/>
    <col min="10758" max="10758" width="6.25" style="987" hidden="1" customWidth="1"/>
    <col min="10759" max="10759" width="6.5" style="987" hidden="1" customWidth="1"/>
    <col min="10760" max="10760" width="12.875" style="987" hidden="1" customWidth="1"/>
    <col min="10761" max="10761" width="7.125" style="987" hidden="1" customWidth="1"/>
    <col min="10762" max="10762" width="12.125" style="987" hidden="1" customWidth="1"/>
    <col min="10763" max="10763" width="11.875" style="987" hidden="1" customWidth="1"/>
    <col min="10764" max="10764" width="10.75" style="987" hidden="1" customWidth="1"/>
    <col min="10765" max="10765" width="11.875" style="987" hidden="1" customWidth="1"/>
    <col min="10766" max="10767" width="11.375" style="987" hidden="1" customWidth="1"/>
    <col min="10768" max="10768" width="0.75" style="987" hidden="1" customWidth="1"/>
    <col min="10769" max="10769" width="3.875" style="987" hidden="1" customWidth="1"/>
    <col min="10770" max="10784" width="9" style="987" hidden="1" customWidth="1"/>
    <col min="10785" max="11008" width="9" style="987" hidden="1"/>
    <col min="11009" max="11009" width="0.75" style="987" hidden="1" customWidth="1"/>
    <col min="11010" max="11010" width="2.125" style="987" hidden="1" customWidth="1"/>
    <col min="11011" max="11011" width="13.375" style="987" hidden="1" customWidth="1"/>
    <col min="11012" max="11012" width="5.375" style="987" hidden="1" customWidth="1"/>
    <col min="11013" max="11013" width="9.75" style="987" hidden="1" customWidth="1"/>
    <col min="11014" max="11014" width="6.25" style="987" hidden="1" customWidth="1"/>
    <col min="11015" max="11015" width="6.5" style="987" hidden="1" customWidth="1"/>
    <col min="11016" max="11016" width="12.875" style="987" hidden="1" customWidth="1"/>
    <col min="11017" max="11017" width="7.125" style="987" hidden="1" customWidth="1"/>
    <col min="11018" max="11018" width="12.125" style="987" hidden="1" customWidth="1"/>
    <col min="11019" max="11019" width="11.875" style="987" hidden="1" customWidth="1"/>
    <col min="11020" max="11020" width="10.75" style="987" hidden="1" customWidth="1"/>
    <col min="11021" max="11021" width="11.875" style="987" hidden="1" customWidth="1"/>
    <col min="11022" max="11023" width="11.375" style="987" hidden="1" customWidth="1"/>
    <col min="11024" max="11024" width="0.75" style="987" hidden="1" customWidth="1"/>
    <col min="11025" max="11025" width="3.875" style="987" hidden="1" customWidth="1"/>
    <col min="11026" max="11040" width="9" style="987" hidden="1" customWidth="1"/>
    <col min="11041" max="11264" width="9" style="987" hidden="1"/>
    <col min="11265" max="11265" width="0.75" style="987" hidden="1" customWidth="1"/>
    <col min="11266" max="11266" width="2.125" style="987" hidden="1" customWidth="1"/>
    <col min="11267" max="11267" width="13.375" style="987" hidden="1" customWidth="1"/>
    <col min="11268" max="11268" width="5.375" style="987" hidden="1" customWidth="1"/>
    <col min="11269" max="11269" width="9.75" style="987" hidden="1" customWidth="1"/>
    <col min="11270" max="11270" width="6.25" style="987" hidden="1" customWidth="1"/>
    <col min="11271" max="11271" width="6.5" style="987" hidden="1" customWidth="1"/>
    <col min="11272" max="11272" width="12.875" style="987" hidden="1" customWidth="1"/>
    <col min="11273" max="11273" width="7.125" style="987" hidden="1" customWidth="1"/>
    <col min="11274" max="11274" width="12.125" style="987" hidden="1" customWidth="1"/>
    <col min="11275" max="11275" width="11.875" style="987" hidden="1" customWidth="1"/>
    <col min="11276" max="11276" width="10.75" style="987" hidden="1" customWidth="1"/>
    <col min="11277" max="11277" width="11.875" style="987" hidden="1" customWidth="1"/>
    <col min="11278" max="11279" width="11.375" style="987" hidden="1" customWidth="1"/>
    <col min="11280" max="11280" width="0.75" style="987" hidden="1" customWidth="1"/>
    <col min="11281" max="11281" width="3.875" style="987" hidden="1" customWidth="1"/>
    <col min="11282" max="11296" width="9" style="987" hidden="1" customWidth="1"/>
    <col min="11297" max="11520" width="9" style="987" hidden="1"/>
    <col min="11521" max="11521" width="0.75" style="987" hidden="1" customWidth="1"/>
    <col min="11522" max="11522" width="2.125" style="987" hidden="1" customWidth="1"/>
    <col min="11523" max="11523" width="13.375" style="987" hidden="1" customWidth="1"/>
    <col min="11524" max="11524" width="5.375" style="987" hidden="1" customWidth="1"/>
    <col min="11525" max="11525" width="9.75" style="987" hidden="1" customWidth="1"/>
    <col min="11526" max="11526" width="6.25" style="987" hidden="1" customWidth="1"/>
    <col min="11527" max="11527" width="6.5" style="987" hidden="1" customWidth="1"/>
    <col min="11528" max="11528" width="12.875" style="987" hidden="1" customWidth="1"/>
    <col min="11529" max="11529" width="7.125" style="987" hidden="1" customWidth="1"/>
    <col min="11530" max="11530" width="12.125" style="987" hidden="1" customWidth="1"/>
    <col min="11531" max="11531" width="11.875" style="987" hidden="1" customWidth="1"/>
    <col min="11532" max="11532" width="10.75" style="987" hidden="1" customWidth="1"/>
    <col min="11533" max="11533" width="11.875" style="987" hidden="1" customWidth="1"/>
    <col min="11534" max="11535" width="11.375" style="987" hidden="1" customWidth="1"/>
    <col min="11536" max="11536" width="0.75" style="987" hidden="1" customWidth="1"/>
    <col min="11537" max="11537" width="3.875" style="987" hidden="1" customWidth="1"/>
    <col min="11538" max="11552" width="9" style="987" hidden="1" customWidth="1"/>
    <col min="11553" max="11776" width="9" style="987" hidden="1"/>
    <col min="11777" max="11777" width="0.75" style="987" hidden="1" customWidth="1"/>
    <col min="11778" max="11778" width="2.125" style="987" hidden="1" customWidth="1"/>
    <col min="11779" max="11779" width="13.375" style="987" hidden="1" customWidth="1"/>
    <col min="11780" max="11780" width="5.375" style="987" hidden="1" customWidth="1"/>
    <col min="11781" max="11781" width="9.75" style="987" hidden="1" customWidth="1"/>
    <col min="11782" max="11782" width="6.25" style="987" hidden="1" customWidth="1"/>
    <col min="11783" max="11783" width="6.5" style="987" hidden="1" customWidth="1"/>
    <col min="11784" max="11784" width="12.875" style="987" hidden="1" customWidth="1"/>
    <col min="11785" max="11785" width="7.125" style="987" hidden="1" customWidth="1"/>
    <col min="11786" max="11786" width="12.125" style="987" hidden="1" customWidth="1"/>
    <col min="11787" max="11787" width="11.875" style="987" hidden="1" customWidth="1"/>
    <col min="11788" max="11788" width="10.75" style="987" hidden="1" customWidth="1"/>
    <col min="11789" max="11789" width="11.875" style="987" hidden="1" customWidth="1"/>
    <col min="11790" max="11791" width="11.375" style="987" hidden="1" customWidth="1"/>
    <col min="11792" max="11792" width="0.75" style="987" hidden="1" customWidth="1"/>
    <col min="11793" max="11793" width="3.875" style="987" hidden="1" customWidth="1"/>
    <col min="11794" max="11808" width="9" style="987" hidden="1" customWidth="1"/>
    <col min="11809" max="12032" width="9" style="987" hidden="1"/>
    <col min="12033" max="12033" width="0.75" style="987" hidden="1" customWidth="1"/>
    <col min="12034" max="12034" width="2.125" style="987" hidden="1" customWidth="1"/>
    <col min="12035" max="12035" width="13.375" style="987" hidden="1" customWidth="1"/>
    <col min="12036" max="12036" width="5.375" style="987" hidden="1" customWidth="1"/>
    <col min="12037" max="12037" width="9.75" style="987" hidden="1" customWidth="1"/>
    <col min="12038" max="12038" width="6.25" style="987" hidden="1" customWidth="1"/>
    <col min="12039" max="12039" width="6.5" style="987" hidden="1" customWidth="1"/>
    <col min="12040" max="12040" width="12.875" style="987" hidden="1" customWidth="1"/>
    <col min="12041" max="12041" width="7.125" style="987" hidden="1" customWidth="1"/>
    <col min="12042" max="12042" width="12.125" style="987" hidden="1" customWidth="1"/>
    <col min="12043" max="12043" width="11.875" style="987" hidden="1" customWidth="1"/>
    <col min="12044" max="12044" width="10.75" style="987" hidden="1" customWidth="1"/>
    <col min="12045" max="12045" width="11.875" style="987" hidden="1" customWidth="1"/>
    <col min="12046" max="12047" width="11.375" style="987" hidden="1" customWidth="1"/>
    <col min="12048" max="12048" width="0.75" style="987" hidden="1" customWidth="1"/>
    <col min="12049" max="12049" width="3.875" style="987" hidden="1" customWidth="1"/>
    <col min="12050" max="12064" width="9" style="987" hidden="1" customWidth="1"/>
    <col min="12065" max="12288" width="9" style="987" hidden="1"/>
    <col min="12289" max="12289" width="0.75" style="987" hidden="1" customWidth="1"/>
    <col min="12290" max="12290" width="2.125" style="987" hidden="1" customWidth="1"/>
    <col min="12291" max="12291" width="13.375" style="987" hidden="1" customWidth="1"/>
    <col min="12292" max="12292" width="5.375" style="987" hidden="1" customWidth="1"/>
    <col min="12293" max="12293" width="9.75" style="987" hidden="1" customWidth="1"/>
    <col min="12294" max="12294" width="6.25" style="987" hidden="1" customWidth="1"/>
    <col min="12295" max="12295" width="6.5" style="987" hidden="1" customWidth="1"/>
    <col min="12296" max="12296" width="12.875" style="987" hidden="1" customWidth="1"/>
    <col min="12297" max="12297" width="7.125" style="987" hidden="1" customWidth="1"/>
    <col min="12298" max="12298" width="12.125" style="987" hidden="1" customWidth="1"/>
    <col min="12299" max="12299" width="11.875" style="987" hidden="1" customWidth="1"/>
    <col min="12300" max="12300" width="10.75" style="987" hidden="1" customWidth="1"/>
    <col min="12301" max="12301" width="11.875" style="987" hidden="1" customWidth="1"/>
    <col min="12302" max="12303" width="11.375" style="987" hidden="1" customWidth="1"/>
    <col min="12304" max="12304" width="0.75" style="987" hidden="1" customWidth="1"/>
    <col min="12305" max="12305" width="3.875" style="987" hidden="1" customWidth="1"/>
    <col min="12306" max="12320" width="9" style="987" hidden="1" customWidth="1"/>
    <col min="12321" max="12544" width="9" style="987" hidden="1"/>
    <col min="12545" max="12545" width="0.75" style="987" hidden="1" customWidth="1"/>
    <col min="12546" max="12546" width="2.125" style="987" hidden="1" customWidth="1"/>
    <col min="12547" max="12547" width="13.375" style="987" hidden="1" customWidth="1"/>
    <col min="12548" max="12548" width="5.375" style="987" hidden="1" customWidth="1"/>
    <col min="12549" max="12549" width="9.75" style="987" hidden="1" customWidth="1"/>
    <col min="12550" max="12550" width="6.25" style="987" hidden="1" customWidth="1"/>
    <col min="12551" max="12551" width="6.5" style="987" hidden="1" customWidth="1"/>
    <col min="12552" max="12552" width="12.875" style="987" hidden="1" customWidth="1"/>
    <col min="12553" max="12553" width="7.125" style="987" hidden="1" customWidth="1"/>
    <col min="12554" max="12554" width="12.125" style="987" hidden="1" customWidth="1"/>
    <col min="12555" max="12555" width="11.875" style="987" hidden="1" customWidth="1"/>
    <col min="12556" max="12556" width="10.75" style="987" hidden="1" customWidth="1"/>
    <col min="12557" max="12557" width="11.875" style="987" hidden="1" customWidth="1"/>
    <col min="12558" max="12559" width="11.375" style="987" hidden="1" customWidth="1"/>
    <col min="12560" max="12560" width="0.75" style="987" hidden="1" customWidth="1"/>
    <col min="12561" max="12561" width="3.875" style="987" hidden="1" customWidth="1"/>
    <col min="12562" max="12576" width="9" style="987" hidden="1" customWidth="1"/>
    <col min="12577" max="12800" width="9" style="987" hidden="1"/>
    <col min="12801" max="12801" width="0.75" style="987" hidden="1" customWidth="1"/>
    <col min="12802" max="12802" width="2.125" style="987" hidden="1" customWidth="1"/>
    <col min="12803" max="12803" width="13.375" style="987" hidden="1" customWidth="1"/>
    <col min="12804" max="12804" width="5.375" style="987" hidden="1" customWidth="1"/>
    <col min="12805" max="12805" width="9.75" style="987" hidden="1" customWidth="1"/>
    <col min="12806" max="12806" width="6.25" style="987" hidden="1" customWidth="1"/>
    <col min="12807" max="12807" width="6.5" style="987" hidden="1" customWidth="1"/>
    <col min="12808" max="12808" width="12.875" style="987" hidden="1" customWidth="1"/>
    <col min="12809" max="12809" width="7.125" style="987" hidden="1" customWidth="1"/>
    <col min="12810" max="12810" width="12.125" style="987" hidden="1" customWidth="1"/>
    <col min="12811" max="12811" width="11.875" style="987" hidden="1" customWidth="1"/>
    <col min="12812" max="12812" width="10.75" style="987" hidden="1" customWidth="1"/>
    <col min="12813" max="12813" width="11.875" style="987" hidden="1" customWidth="1"/>
    <col min="12814" max="12815" width="11.375" style="987" hidden="1" customWidth="1"/>
    <col min="12816" max="12816" width="0.75" style="987" hidden="1" customWidth="1"/>
    <col min="12817" max="12817" width="3.875" style="987" hidden="1" customWidth="1"/>
    <col min="12818" max="12832" width="9" style="987" hidden="1" customWidth="1"/>
    <col min="12833" max="13056" width="9" style="987" hidden="1"/>
    <col min="13057" max="13057" width="0.75" style="987" hidden="1" customWidth="1"/>
    <col min="13058" max="13058" width="2.125" style="987" hidden="1" customWidth="1"/>
    <col min="13059" max="13059" width="13.375" style="987" hidden="1" customWidth="1"/>
    <col min="13060" max="13060" width="5.375" style="987" hidden="1" customWidth="1"/>
    <col min="13061" max="13061" width="9.75" style="987" hidden="1" customWidth="1"/>
    <col min="13062" max="13062" width="6.25" style="987" hidden="1" customWidth="1"/>
    <col min="13063" max="13063" width="6.5" style="987" hidden="1" customWidth="1"/>
    <col min="13064" max="13064" width="12.875" style="987" hidden="1" customWidth="1"/>
    <col min="13065" max="13065" width="7.125" style="987" hidden="1" customWidth="1"/>
    <col min="13066" max="13066" width="12.125" style="987" hidden="1" customWidth="1"/>
    <col min="13067" max="13067" width="11.875" style="987" hidden="1" customWidth="1"/>
    <col min="13068" max="13068" width="10.75" style="987" hidden="1" customWidth="1"/>
    <col min="13069" max="13069" width="11.875" style="987" hidden="1" customWidth="1"/>
    <col min="13070" max="13071" width="11.375" style="987" hidden="1" customWidth="1"/>
    <col min="13072" max="13072" width="0.75" style="987" hidden="1" customWidth="1"/>
    <col min="13073" max="13073" width="3.875" style="987" hidden="1" customWidth="1"/>
    <col min="13074" max="13088" width="9" style="987" hidden="1" customWidth="1"/>
    <col min="13089" max="13312" width="9" style="987" hidden="1"/>
    <col min="13313" max="13313" width="0.75" style="987" hidden="1" customWidth="1"/>
    <col min="13314" max="13314" width="2.125" style="987" hidden="1" customWidth="1"/>
    <col min="13315" max="13315" width="13.375" style="987" hidden="1" customWidth="1"/>
    <col min="13316" max="13316" width="5.375" style="987" hidden="1" customWidth="1"/>
    <col min="13317" max="13317" width="9.75" style="987" hidden="1" customWidth="1"/>
    <col min="13318" max="13318" width="6.25" style="987" hidden="1" customWidth="1"/>
    <col min="13319" max="13319" width="6.5" style="987" hidden="1" customWidth="1"/>
    <col min="13320" max="13320" width="12.875" style="987" hidden="1" customWidth="1"/>
    <col min="13321" max="13321" width="7.125" style="987" hidden="1" customWidth="1"/>
    <col min="13322" max="13322" width="12.125" style="987" hidden="1" customWidth="1"/>
    <col min="13323" max="13323" width="11.875" style="987" hidden="1" customWidth="1"/>
    <col min="13324" max="13324" width="10.75" style="987" hidden="1" customWidth="1"/>
    <col min="13325" max="13325" width="11.875" style="987" hidden="1" customWidth="1"/>
    <col min="13326" max="13327" width="11.375" style="987" hidden="1" customWidth="1"/>
    <col min="13328" max="13328" width="0.75" style="987" hidden="1" customWidth="1"/>
    <col min="13329" max="13329" width="3.875" style="987" hidden="1" customWidth="1"/>
    <col min="13330" max="13344" width="9" style="987" hidden="1" customWidth="1"/>
    <col min="13345" max="13568" width="9" style="987" hidden="1"/>
    <col min="13569" max="13569" width="0.75" style="987" hidden="1" customWidth="1"/>
    <col min="13570" max="13570" width="2.125" style="987" hidden="1" customWidth="1"/>
    <col min="13571" max="13571" width="13.375" style="987" hidden="1" customWidth="1"/>
    <col min="13572" max="13572" width="5.375" style="987" hidden="1" customWidth="1"/>
    <col min="13573" max="13573" width="9.75" style="987" hidden="1" customWidth="1"/>
    <col min="13574" max="13574" width="6.25" style="987" hidden="1" customWidth="1"/>
    <col min="13575" max="13575" width="6.5" style="987" hidden="1" customWidth="1"/>
    <col min="13576" max="13576" width="12.875" style="987" hidden="1" customWidth="1"/>
    <col min="13577" max="13577" width="7.125" style="987" hidden="1" customWidth="1"/>
    <col min="13578" max="13578" width="12.125" style="987" hidden="1" customWidth="1"/>
    <col min="13579" max="13579" width="11.875" style="987" hidden="1" customWidth="1"/>
    <col min="13580" max="13580" width="10.75" style="987" hidden="1" customWidth="1"/>
    <col min="13581" max="13581" width="11.875" style="987" hidden="1" customWidth="1"/>
    <col min="13582" max="13583" width="11.375" style="987" hidden="1" customWidth="1"/>
    <col min="13584" max="13584" width="0.75" style="987" hidden="1" customWidth="1"/>
    <col min="13585" max="13585" width="3.875" style="987" hidden="1" customWidth="1"/>
    <col min="13586" max="13600" width="9" style="987" hidden="1" customWidth="1"/>
    <col min="13601" max="13824" width="9" style="987" hidden="1"/>
    <col min="13825" max="13825" width="0.75" style="987" hidden="1" customWidth="1"/>
    <col min="13826" max="13826" width="2.125" style="987" hidden="1" customWidth="1"/>
    <col min="13827" max="13827" width="13.375" style="987" hidden="1" customWidth="1"/>
    <col min="13828" max="13828" width="5.375" style="987" hidden="1" customWidth="1"/>
    <col min="13829" max="13829" width="9.75" style="987" hidden="1" customWidth="1"/>
    <col min="13830" max="13830" width="6.25" style="987" hidden="1" customWidth="1"/>
    <col min="13831" max="13831" width="6.5" style="987" hidden="1" customWidth="1"/>
    <col min="13832" max="13832" width="12.875" style="987" hidden="1" customWidth="1"/>
    <col min="13833" max="13833" width="7.125" style="987" hidden="1" customWidth="1"/>
    <col min="13834" max="13834" width="12.125" style="987" hidden="1" customWidth="1"/>
    <col min="13835" max="13835" width="11.875" style="987" hidden="1" customWidth="1"/>
    <col min="13836" max="13836" width="10.75" style="987" hidden="1" customWidth="1"/>
    <col min="13837" max="13837" width="11.875" style="987" hidden="1" customWidth="1"/>
    <col min="13838" max="13839" width="11.375" style="987" hidden="1" customWidth="1"/>
    <col min="13840" max="13840" width="0.75" style="987" hidden="1" customWidth="1"/>
    <col min="13841" max="13841" width="3.875" style="987" hidden="1" customWidth="1"/>
    <col min="13842" max="13856" width="9" style="987" hidden="1" customWidth="1"/>
    <col min="13857" max="14080" width="9" style="987" hidden="1"/>
    <col min="14081" max="14081" width="0.75" style="987" hidden="1" customWidth="1"/>
    <col min="14082" max="14082" width="2.125" style="987" hidden="1" customWidth="1"/>
    <col min="14083" max="14083" width="13.375" style="987" hidden="1" customWidth="1"/>
    <col min="14084" max="14084" width="5.375" style="987" hidden="1" customWidth="1"/>
    <col min="14085" max="14085" width="9.75" style="987" hidden="1" customWidth="1"/>
    <col min="14086" max="14086" width="6.25" style="987" hidden="1" customWidth="1"/>
    <col min="14087" max="14087" width="6.5" style="987" hidden="1" customWidth="1"/>
    <col min="14088" max="14088" width="12.875" style="987" hidden="1" customWidth="1"/>
    <col min="14089" max="14089" width="7.125" style="987" hidden="1" customWidth="1"/>
    <col min="14090" max="14090" width="12.125" style="987" hidden="1" customWidth="1"/>
    <col min="14091" max="14091" width="11.875" style="987" hidden="1" customWidth="1"/>
    <col min="14092" max="14092" width="10.75" style="987" hidden="1" customWidth="1"/>
    <col min="14093" max="14093" width="11.875" style="987" hidden="1" customWidth="1"/>
    <col min="14094" max="14095" width="11.375" style="987" hidden="1" customWidth="1"/>
    <col min="14096" max="14096" width="0.75" style="987" hidden="1" customWidth="1"/>
    <col min="14097" max="14097" width="3.875" style="987" hidden="1" customWidth="1"/>
    <col min="14098" max="14112" width="9" style="987" hidden="1" customWidth="1"/>
    <col min="14113" max="14336" width="9" style="987" hidden="1"/>
    <col min="14337" max="14337" width="0.75" style="987" hidden="1" customWidth="1"/>
    <col min="14338" max="14338" width="2.125" style="987" hidden="1" customWidth="1"/>
    <col min="14339" max="14339" width="13.375" style="987" hidden="1" customWidth="1"/>
    <col min="14340" max="14340" width="5.375" style="987" hidden="1" customWidth="1"/>
    <col min="14341" max="14341" width="9.75" style="987" hidden="1" customWidth="1"/>
    <col min="14342" max="14342" width="6.25" style="987" hidden="1" customWidth="1"/>
    <col min="14343" max="14343" width="6.5" style="987" hidden="1" customWidth="1"/>
    <col min="14344" max="14344" width="12.875" style="987" hidden="1" customWidth="1"/>
    <col min="14345" max="14345" width="7.125" style="987" hidden="1" customWidth="1"/>
    <col min="14346" max="14346" width="12.125" style="987" hidden="1" customWidth="1"/>
    <col min="14347" max="14347" width="11.875" style="987" hidden="1" customWidth="1"/>
    <col min="14348" max="14348" width="10.75" style="987" hidden="1" customWidth="1"/>
    <col min="14349" max="14349" width="11.875" style="987" hidden="1" customWidth="1"/>
    <col min="14350" max="14351" width="11.375" style="987" hidden="1" customWidth="1"/>
    <col min="14352" max="14352" width="0.75" style="987" hidden="1" customWidth="1"/>
    <col min="14353" max="14353" width="3.875" style="987" hidden="1" customWidth="1"/>
    <col min="14354" max="14368" width="9" style="987" hidden="1" customWidth="1"/>
    <col min="14369" max="14592" width="9" style="987" hidden="1"/>
    <col min="14593" max="14593" width="0.75" style="987" hidden="1" customWidth="1"/>
    <col min="14594" max="14594" width="2.125" style="987" hidden="1" customWidth="1"/>
    <col min="14595" max="14595" width="13.375" style="987" hidden="1" customWidth="1"/>
    <col min="14596" max="14596" width="5.375" style="987" hidden="1" customWidth="1"/>
    <col min="14597" max="14597" width="9.75" style="987" hidden="1" customWidth="1"/>
    <col min="14598" max="14598" width="6.25" style="987" hidden="1" customWidth="1"/>
    <col min="14599" max="14599" width="6.5" style="987" hidden="1" customWidth="1"/>
    <col min="14600" max="14600" width="12.875" style="987" hidden="1" customWidth="1"/>
    <col min="14601" max="14601" width="7.125" style="987" hidden="1" customWidth="1"/>
    <col min="14602" max="14602" width="12.125" style="987" hidden="1" customWidth="1"/>
    <col min="14603" max="14603" width="11.875" style="987" hidden="1" customWidth="1"/>
    <col min="14604" max="14604" width="10.75" style="987" hidden="1" customWidth="1"/>
    <col min="14605" max="14605" width="11.875" style="987" hidden="1" customWidth="1"/>
    <col min="14606" max="14607" width="11.375" style="987" hidden="1" customWidth="1"/>
    <col min="14608" max="14608" width="0.75" style="987" hidden="1" customWidth="1"/>
    <col min="14609" max="14609" width="3.875" style="987" hidden="1" customWidth="1"/>
    <col min="14610" max="14624" width="9" style="987" hidden="1" customWidth="1"/>
    <col min="14625" max="14848" width="9" style="987" hidden="1"/>
    <col min="14849" max="14849" width="0.75" style="987" hidden="1" customWidth="1"/>
    <col min="14850" max="14850" width="2.125" style="987" hidden="1" customWidth="1"/>
    <col min="14851" max="14851" width="13.375" style="987" hidden="1" customWidth="1"/>
    <col min="14852" max="14852" width="5.375" style="987" hidden="1" customWidth="1"/>
    <col min="14853" max="14853" width="9.75" style="987" hidden="1" customWidth="1"/>
    <col min="14854" max="14854" width="6.25" style="987" hidden="1" customWidth="1"/>
    <col min="14855" max="14855" width="6.5" style="987" hidden="1" customWidth="1"/>
    <col min="14856" max="14856" width="12.875" style="987" hidden="1" customWidth="1"/>
    <col min="14857" max="14857" width="7.125" style="987" hidden="1" customWidth="1"/>
    <col min="14858" max="14858" width="12.125" style="987" hidden="1" customWidth="1"/>
    <col min="14859" max="14859" width="11.875" style="987" hidden="1" customWidth="1"/>
    <col min="14860" max="14860" width="10.75" style="987" hidden="1" customWidth="1"/>
    <col min="14861" max="14861" width="11.875" style="987" hidden="1" customWidth="1"/>
    <col min="14862" max="14863" width="11.375" style="987" hidden="1" customWidth="1"/>
    <col min="14864" max="14864" width="0.75" style="987" hidden="1" customWidth="1"/>
    <col min="14865" max="14865" width="3.875" style="987" hidden="1" customWidth="1"/>
    <col min="14866" max="14880" width="9" style="987" hidden="1" customWidth="1"/>
    <col min="14881" max="15104" width="9" style="987" hidden="1"/>
    <col min="15105" max="15105" width="0.75" style="987" hidden="1" customWidth="1"/>
    <col min="15106" max="15106" width="2.125" style="987" hidden="1" customWidth="1"/>
    <col min="15107" max="15107" width="13.375" style="987" hidden="1" customWidth="1"/>
    <col min="15108" max="15108" width="5.375" style="987" hidden="1" customWidth="1"/>
    <col min="15109" max="15109" width="9.75" style="987" hidden="1" customWidth="1"/>
    <col min="15110" max="15110" width="6.25" style="987" hidden="1" customWidth="1"/>
    <col min="15111" max="15111" width="6.5" style="987" hidden="1" customWidth="1"/>
    <col min="15112" max="15112" width="12.875" style="987" hidden="1" customWidth="1"/>
    <col min="15113" max="15113" width="7.125" style="987" hidden="1" customWidth="1"/>
    <col min="15114" max="15114" width="12.125" style="987" hidden="1" customWidth="1"/>
    <col min="15115" max="15115" width="11.875" style="987" hidden="1" customWidth="1"/>
    <col min="15116" max="15116" width="10.75" style="987" hidden="1" customWidth="1"/>
    <col min="15117" max="15117" width="11.875" style="987" hidden="1" customWidth="1"/>
    <col min="15118" max="15119" width="11.375" style="987" hidden="1" customWidth="1"/>
    <col min="15120" max="15120" width="0.75" style="987" hidden="1" customWidth="1"/>
    <col min="15121" max="15121" width="3.875" style="987" hidden="1" customWidth="1"/>
    <col min="15122" max="15136" width="9" style="987" hidden="1" customWidth="1"/>
    <col min="15137" max="15360" width="9" style="987" hidden="1"/>
    <col min="15361" max="15361" width="0.75" style="987" hidden="1" customWidth="1"/>
    <col min="15362" max="15362" width="2.125" style="987" hidden="1" customWidth="1"/>
    <col min="15363" max="15363" width="13.375" style="987" hidden="1" customWidth="1"/>
    <col min="15364" max="15364" width="5.375" style="987" hidden="1" customWidth="1"/>
    <col min="15365" max="15365" width="9.75" style="987" hidden="1" customWidth="1"/>
    <col min="15366" max="15366" width="6.25" style="987" hidden="1" customWidth="1"/>
    <col min="15367" max="15367" width="6.5" style="987" hidden="1" customWidth="1"/>
    <col min="15368" max="15368" width="12.875" style="987" hidden="1" customWidth="1"/>
    <col min="15369" max="15369" width="7.125" style="987" hidden="1" customWidth="1"/>
    <col min="15370" max="15370" width="12.125" style="987" hidden="1" customWidth="1"/>
    <col min="15371" max="15371" width="11.875" style="987" hidden="1" customWidth="1"/>
    <col min="15372" max="15372" width="10.75" style="987" hidden="1" customWidth="1"/>
    <col min="15373" max="15373" width="11.875" style="987" hidden="1" customWidth="1"/>
    <col min="15374" max="15375" width="11.375" style="987" hidden="1" customWidth="1"/>
    <col min="15376" max="15376" width="0.75" style="987" hidden="1" customWidth="1"/>
    <col min="15377" max="15377" width="3.875" style="987" hidden="1" customWidth="1"/>
    <col min="15378" max="15392" width="9" style="987" hidden="1" customWidth="1"/>
    <col min="15393" max="15616" width="9" style="987" hidden="1"/>
    <col min="15617" max="15617" width="0.75" style="987" hidden="1" customWidth="1"/>
    <col min="15618" max="15618" width="2.125" style="987" hidden="1" customWidth="1"/>
    <col min="15619" max="15619" width="13.375" style="987" hidden="1" customWidth="1"/>
    <col min="15620" max="15620" width="5.375" style="987" hidden="1" customWidth="1"/>
    <col min="15621" max="15621" width="9.75" style="987" hidden="1" customWidth="1"/>
    <col min="15622" max="15622" width="6.25" style="987" hidden="1" customWidth="1"/>
    <col min="15623" max="15623" width="6.5" style="987" hidden="1" customWidth="1"/>
    <col min="15624" max="15624" width="12.875" style="987" hidden="1" customWidth="1"/>
    <col min="15625" max="15625" width="7.125" style="987" hidden="1" customWidth="1"/>
    <col min="15626" max="15626" width="12.125" style="987" hidden="1" customWidth="1"/>
    <col min="15627" max="15627" width="11.875" style="987" hidden="1" customWidth="1"/>
    <col min="15628" max="15628" width="10.75" style="987" hidden="1" customWidth="1"/>
    <col min="15629" max="15629" width="11.875" style="987" hidden="1" customWidth="1"/>
    <col min="15630" max="15631" width="11.375" style="987" hidden="1" customWidth="1"/>
    <col min="15632" max="15632" width="0.75" style="987" hidden="1" customWidth="1"/>
    <col min="15633" max="15633" width="3.875" style="987" hidden="1" customWidth="1"/>
    <col min="15634" max="15648" width="9" style="987" hidden="1" customWidth="1"/>
    <col min="15649" max="15872" width="9" style="987" hidden="1"/>
    <col min="15873" max="15873" width="0.75" style="987" hidden="1" customWidth="1"/>
    <col min="15874" max="15874" width="2.125" style="987" hidden="1" customWidth="1"/>
    <col min="15875" max="15875" width="13.375" style="987" hidden="1" customWidth="1"/>
    <col min="15876" max="15876" width="5.375" style="987" hidden="1" customWidth="1"/>
    <col min="15877" max="15877" width="9.75" style="987" hidden="1" customWidth="1"/>
    <col min="15878" max="15878" width="6.25" style="987" hidden="1" customWidth="1"/>
    <col min="15879" max="15879" width="6.5" style="987" hidden="1" customWidth="1"/>
    <col min="15880" max="15880" width="12.875" style="987" hidden="1" customWidth="1"/>
    <col min="15881" max="15881" width="7.125" style="987" hidden="1" customWidth="1"/>
    <col min="15882" max="15882" width="12.125" style="987" hidden="1" customWidth="1"/>
    <col min="15883" max="15883" width="11.875" style="987" hidden="1" customWidth="1"/>
    <col min="15884" max="15884" width="10.75" style="987" hidden="1" customWidth="1"/>
    <col min="15885" max="15885" width="11.875" style="987" hidden="1" customWidth="1"/>
    <col min="15886" max="15887" width="11.375" style="987" hidden="1" customWidth="1"/>
    <col min="15888" max="15888" width="0.75" style="987" hidden="1" customWidth="1"/>
    <col min="15889" max="15889" width="3.875" style="987" hidden="1" customWidth="1"/>
    <col min="15890" max="15904" width="9" style="987" hidden="1" customWidth="1"/>
    <col min="15905" max="16128" width="9" style="987" hidden="1"/>
    <col min="16129" max="16129" width="0.75" style="987" hidden="1" customWidth="1"/>
    <col min="16130" max="16130" width="2.125" style="987" hidden="1" customWidth="1"/>
    <col min="16131" max="16131" width="13.375" style="987" hidden="1" customWidth="1"/>
    <col min="16132" max="16132" width="5.375" style="987" hidden="1" customWidth="1"/>
    <col min="16133" max="16133" width="9.75" style="987" hidden="1" customWidth="1"/>
    <col min="16134" max="16134" width="6.25" style="987" hidden="1" customWidth="1"/>
    <col min="16135" max="16135" width="6.5" style="987" hidden="1" customWidth="1"/>
    <col min="16136" max="16136" width="12.875" style="987" hidden="1" customWidth="1"/>
    <col min="16137" max="16137" width="7.125" style="987" hidden="1" customWidth="1"/>
    <col min="16138" max="16138" width="12.125" style="987" hidden="1" customWidth="1"/>
    <col min="16139" max="16139" width="11.875" style="987" hidden="1" customWidth="1"/>
    <col min="16140" max="16140" width="10.75" style="987" hidden="1" customWidth="1"/>
    <col min="16141" max="16141" width="11.875" style="987" hidden="1" customWidth="1"/>
    <col min="16142" max="16143" width="11.375" style="987" hidden="1" customWidth="1"/>
    <col min="16144" max="16144" width="0.75" style="987" hidden="1" customWidth="1"/>
    <col min="16145" max="16145" width="3.875" style="987" hidden="1" customWidth="1"/>
    <col min="16146" max="16160" width="9" style="987" hidden="1" customWidth="1"/>
    <col min="16161" max="16384" width="9" style="987" hidden="1"/>
  </cols>
  <sheetData>
    <row r="1" spans="1:28" s="691" customFormat="1" ht="6" customHeight="1" thickBot="1">
      <c r="A1" s="683"/>
      <c r="B1" s="684"/>
      <c r="C1" s="685"/>
      <c r="D1" s="686"/>
      <c r="E1" s="687"/>
      <c r="F1" s="688"/>
      <c r="G1" s="688"/>
      <c r="H1" s="688"/>
      <c r="I1" s="689"/>
      <c r="J1" s="689"/>
      <c r="K1" s="688"/>
      <c r="L1" s="690"/>
      <c r="M1" s="687"/>
      <c r="N1" s="687"/>
      <c r="O1" s="683"/>
      <c r="P1" s="683"/>
      <c r="Q1" s="683"/>
      <c r="S1" s="692"/>
    </row>
    <row r="2" spans="1:28" s="702" customFormat="1" ht="18.75" customHeight="1" thickTop="1">
      <c r="A2" s="693"/>
      <c r="B2" s="694"/>
      <c r="C2" s="695"/>
      <c r="D2" s="696"/>
      <c r="E2" s="697"/>
      <c r="F2" s="698"/>
      <c r="G2" s="698"/>
      <c r="H2" s="698"/>
      <c r="I2" s="699"/>
      <c r="J2" s="700"/>
      <c r="K2" s="700"/>
      <c r="L2" s="700"/>
      <c r="M2" s="700"/>
      <c r="N2" s="698"/>
      <c r="O2" s="535"/>
      <c r="P2" s="693"/>
      <c r="Q2" s="2715" t="s">
        <v>1742</v>
      </c>
      <c r="R2" s="701"/>
      <c r="S2" s="701"/>
      <c r="T2" s="701"/>
      <c r="U2" s="701"/>
      <c r="V2" s="701"/>
      <c r="W2" s="701"/>
      <c r="X2" s="701"/>
      <c r="Y2" s="701"/>
      <c r="Z2" s="701"/>
      <c r="AA2" s="701"/>
      <c r="AB2" s="701"/>
    </row>
    <row r="3" spans="1:28" s="702" customFormat="1" ht="18.75" customHeight="1">
      <c r="A3" s="693"/>
      <c r="B3" s="694"/>
      <c r="C3" s="695"/>
      <c r="D3" s="696"/>
      <c r="E3" s="697"/>
      <c r="F3" s="698"/>
      <c r="G3" s="698"/>
      <c r="H3" s="698"/>
      <c r="I3" s="699"/>
      <c r="J3" s="700"/>
      <c r="K3" s="700"/>
      <c r="L3" s="700"/>
      <c r="M3" s="700"/>
      <c r="N3" s="698"/>
      <c r="O3" s="534"/>
      <c r="P3" s="693"/>
      <c r="Q3" s="2716"/>
      <c r="R3" s="701"/>
      <c r="S3" s="701"/>
      <c r="T3" s="701"/>
      <c r="U3" s="701"/>
      <c r="V3" s="701"/>
      <c r="W3" s="701"/>
      <c r="X3" s="701"/>
      <c r="Y3" s="701"/>
      <c r="Z3" s="701"/>
      <c r="AA3" s="701"/>
      <c r="AB3" s="701"/>
    </row>
    <row r="4" spans="1:28" s="702" customFormat="1" ht="18.75" customHeight="1">
      <c r="A4" s="693"/>
      <c r="B4" s="694"/>
      <c r="C4" s="695"/>
      <c r="D4" s="696"/>
      <c r="E4" s="697"/>
      <c r="F4" s="698"/>
      <c r="G4" s="698"/>
      <c r="H4" s="698"/>
      <c r="I4" s="703"/>
      <c r="J4" s="700"/>
      <c r="K4" s="700"/>
      <c r="L4" s="700"/>
      <c r="M4" s="700"/>
      <c r="N4" s="698"/>
      <c r="O4" s="535"/>
      <c r="P4" s="693"/>
      <c r="Q4" s="2716"/>
      <c r="R4" s="701"/>
      <c r="S4" s="701"/>
      <c r="T4" s="701"/>
      <c r="U4" s="701"/>
      <c r="V4" s="701"/>
      <c r="W4" s="701"/>
      <c r="X4" s="701"/>
      <c r="Y4" s="701"/>
      <c r="Z4" s="701"/>
      <c r="AA4" s="701"/>
      <c r="AB4" s="701"/>
    </row>
    <row r="5" spans="1:28" s="702" customFormat="1" ht="13.5" customHeight="1" thickBot="1">
      <c r="A5" s="693"/>
      <c r="B5" s="704"/>
      <c r="C5" s="705"/>
      <c r="D5" s="696"/>
      <c r="E5" s="697"/>
      <c r="F5" s="2760" t="str">
        <f>"■使用評価マニュアル： "&amp;メイン!$C$6&amp;"　■使用評価ソフト： "&amp;メイン!$C$5</f>
        <v>■使用評価マニュアル： CASBEE大阪みらい編（改修）　■使用評価ソフト： 「CASBEE大阪みらい 改修」2015年版　CASBEE-BD_RN_2015(v.1.0)</v>
      </c>
      <c r="G5" s="2761"/>
      <c r="H5" s="2761"/>
      <c r="I5" s="2761"/>
      <c r="J5" s="2761"/>
      <c r="K5" s="2761"/>
      <c r="L5" s="2761"/>
      <c r="M5" s="2761"/>
      <c r="N5" s="2761"/>
      <c r="O5" s="2761"/>
      <c r="P5" s="693"/>
      <c r="Q5" s="2717"/>
      <c r="R5" s="701"/>
      <c r="S5" s="701"/>
      <c r="T5" s="701"/>
      <c r="U5" s="701"/>
      <c r="V5" s="701"/>
      <c r="W5" s="701"/>
      <c r="X5" s="701"/>
      <c r="Y5" s="701"/>
      <c r="Z5" s="701"/>
      <c r="AA5" s="701"/>
      <c r="AB5" s="701"/>
    </row>
    <row r="6" spans="1:28" s="702" customFormat="1" ht="6" customHeight="1" thickTop="1" thickBot="1">
      <c r="A6" s="693"/>
      <c r="B6" s="707"/>
      <c r="C6" s="708"/>
      <c r="D6" s="709"/>
      <c r="E6" s="710"/>
      <c r="F6" s="711"/>
      <c r="G6" s="711"/>
      <c r="H6" s="711"/>
      <c r="I6" s="712"/>
      <c r="J6" s="713"/>
      <c r="K6" s="713"/>
      <c r="L6" s="714"/>
      <c r="M6" s="710"/>
      <c r="N6" s="710"/>
      <c r="O6" s="710"/>
      <c r="P6" s="693"/>
      <c r="Q6" s="693"/>
      <c r="R6" s="701"/>
      <c r="S6" s="701"/>
      <c r="T6" s="701"/>
      <c r="U6" s="701"/>
      <c r="V6" s="701"/>
      <c r="W6" s="701"/>
      <c r="X6" s="701"/>
      <c r="Y6" s="701"/>
      <c r="Z6" s="701"/>
      <c r="AA6" s="701"/>
      <c r="AB6" s="701"/>
    </row>
    <row r="7" spans="1:28" s="702" customFormat="1" ht="18" customHeight="1" thickBot="1">
      <c r="A7" s="693"/>
      <c r="B7" s="715" t="s">
        <v>883</v>
      </c>
      <c r="C7" s="716"/>
      <c r="D7" s="717"/>
      <c r="E7" s="716"/>
      <c r="F7" s="716"/>
      <c r="G7" s="716"/>
      <c r="H7" s="718"/>
      <c r="I7" s="719"/>
      <c r="J7" s="719"/>
      <c r="K7" s="1032"/>
      <c r="L7" s="1033" t="s">
        <v>884</v>
      </c>
      <c r="M7" s="716"/>
      <c r="N7" s="716"/>
      <c r="O7" s="721"/>
      <c r="P7" s="693"/>
      <c r="Q7" s="693"/>
      <c r="R7" s="722" t="s">
        <v>1743</v>
      </c>
      <c r="S7" s="701"/>
      <c r="T7" s="701"/>
      <c r="U7" s="722" t="s">
        <v>1744</v>
      </c>
      <c r="V7" s="701"/>
      <c r="W7" s="701"/>
      <c r="X7" s="701"/>
      <c r="Y7" s="701"/>
      <c r="Z7" s="701"/>
      <c r="AA7" s="701"/>
      <c r="AB7" s="701"/>
    </row>
    <row r="8" spans="1:28" s="702" customFormat="1" ht="21" customHeight="1">
      <c r="A8" s="693"/>
      <c r="B8" s="2388" t="s">
        <v>885</v>
      </c>
      <c r="C8" s="2389"/>
      <c r="D8" s="2446" t="str">
        <f>メイン!C11</f>
        <v>旧ビル</v>
      </c>
      <c r="E8" s="2389"/>
      <c r="F8" s="2447"/>
      <c r="G8" s="2448"/>
      <c r="H8" s="2449" t="s">
        <v>901</v>
      </c>
      <c r="I8" s="2450"/>
      <c r="J8" s="2762" t="str">
        <f>IF(メイン!C27=0,"",メイン!C27)</f>
        <v>○○○</v>
      </c>
      <c r="K8" s="2763"/>
      <c r="L8" s="1034"/>
      <c r="M8" s="726"/>
      <c r="N8" s="726"/>
      <c r="O8" s="727"/>
      <c r="P8" s="693"/>
      <c r="Q8" s="693"/>
      <c r="R8" s="728" t="s">
        <v>1745</v>
      </c>
      <c r="S8" s="728">
        <f>スコア表示!AN8</f>
        <v>3.0168750000000002</v>
      </c>
      <c r="T8" s="701"/>
      <c r="U8" s="729"/>
      <c r="V8" s="729" t="s">
        <v>887</v>
      </c>
      <c r="W8" s="730" t="s">
        <v>1746</v>
      </c>
      <c r="X8" s="730">
        <v>4</v>
      </c>
      <c r="Y8" s="730">
        <v>2</v>
      </c>
      <c r="Z8" s="731" t="s">
        <v>1747</v>
      </c>
      <c r="AA8" s="732" t="s">
        <v>1748</v>
      </c>
      <c r="AB8" s="701"/>
    </row>
    <row r="9" spans="1:28" s="702" customFormat="1" ht="21" customHeight="1">
      <c r="A9" s="693"/>
      <c r="B9" s="2396" t="s">
        <v>888</v>
      </c>
      <c r="C9" s="2397"/>
      <c r="D9" s="2451" t="str">
        <f>メイン!H12</f>
        <v>大阪市○○区○○</v>
      </c>
      <c r="E9" s="2397"/>
      <c r="F9" s="2399"/>
      <c r="G9" s="2452"/>
      <c r="H9" s="723"/>
      <c r="I9" s="724"/>
      <c r="J9" s="2764"/>
      <c r="K9" s="2765"/>
      <c r="L9" s="733"/>
      <c r="O9" s="734"/>
      <c r="P9" s="693"/>
      <c r="Q9" s="693"/>
      <c r="R9" s="728" t="s">
        <v>1820</v>
      </c>
      <c r="S9" s="728" t="e">
        <f>スコア表示!AN116</f>
        <v>#VALUE!</v>
      </c>
      <c r="U9" s="735" t="s">
        <v>1750</v>
      </c>
      <c r="V9" s="729" t="s">
        <v>1751</v>
      </c>
      <c r="W9" s="730">
        <v>5</v>
      </c>
      <c r="X9" s="730">
        <v>4</v>
      </c>
      <c r="Y9" s="730">
        <v>2</v>
      </c>
      <c r="Z9" s="736">
        <f>V45</f>
        <v>3</v>
      </c>
      <c r="AA9" s="732">
        <v>3</v>
      </c>
    </row>
    <row r="10" spans="1:28" s="702" customFormat="1" ht="21" customHeight="1">
      <c r="A10" s="693"/>
      <c r="B10" s="2396" t="s">
        <v>890</v>
      </c>
      <c r="C10" s="2399"/>
      <c r="D10" s="2451" t="str">
        <f>メイン!C20</f>
        <v>○○</v>
      </c>
      <c r="E10" s="2399"/>
      <c r="F10" s="2453"/>
      <c r="G10" s="2452"/>
      <c r="H10" s="723"/>
      <c r="I10" s="724"/>
      <c r="J10" s="2764"/>
      <c r="K10" s="2765"/>
      <c r="L10" s="737"/>
      <c r="N10" s="738"/>
      <c r="O10" s="739"/>
      <c r="P10" s="693"/>
      <c r="Q10" s="693"/>
      <c r="R10" s="731" t="s">
        <v>1821</v>
      </c>
      <c r="S10" s="740">
        <f>25*(S8-1)</f>
        <v>50.421875000000007</v>
      </c>
      <c r="U10" s="735" t="s">
        <v>1822</v>
      </c>
      <c r="V10" s="741" t="s">
        <v>1754</v>
      </c>
      <c r="W10" s="730">
        <v>5</v>
      </c>
      <c r="X10" s="730">
        <v>4</v>
      </c>
      <c r="Y10" s="730">
        <v>2</v>
      </c>
      <c r="Z10" s="736">
        <f>Y45</f>
        <v>3</v>
      </c>
      <c r="AA10" s="732">
        <v>3</v>
      </c>
    </row>
    <row r="11" spans="1:28" s="702" customFormat="1" ht="21" customHeight="1">
      <c r="A11" s="693"/>
      <c r="B11" s="2396" t="s">
        <v>1823</v>
      </c>
      <c r="C11" s="2397"/>
      <c r="D11" s="2454"/>
      <c r="E11" s="2455">
        <f>メイン!H17</f>
        <v>2000</v>
      </c>
      <c r="F11" s="2410" t="s">
        <v>1824</v>
      </c>
      <c r="G11" s="2452"/>
      <c r="H11" s="723"/>
      <c r="I11" s="724"/>
      <c r="J11" s="2764"/>
      <c r="K11" s="2765"/>
      <c r="L11" s="737"/>
      <c r="M11" s="742"/>
      <c r="N11" s="738"/>
      <c r="O11" s="739"/>
      <c r="P11" s="693"/>
      <c r="Q11" s="693"/>
      <c r="R11" s="731" t="s">
        <v>1825</v>
      </c>
      <c r="S11" s="740" t="e">
        <f>25*(5-S9)</f>
        <v>#VALUE!</v>
      </c>
      <c r="U11" s="735" t="s">
        <v>1826</v>
      </c>
      <c r="V11" s="743" t="s">
        <v>509</v>
      </c>
      <c r="W11" s="730">
        <v>5</v>
      </c>
      <c r="X11" s="730">
        <v>4</v>
      </c>
      <c r="Y11" s="730">
        <v>2</v>
      </c>
      <c r="Z11" s="736" t="e">
        <f>Y56</f>
        <v>#VALUE!</v>
      </c>
      <c r="AA11" s="732">
        <v>3</v>
      </c>
    </row>
    <row r="12" spans="1:28" s="702" customFormat="1" ht="21" customHeight="1">
      <c r="A12" s="693"/>
      <c r="B12" s="2456" t="s">
        <v>1827</v>
      </c>
      <c r="C12" s="2397"/>
      <c r="D12" s="2451"/>
      <c r="E12" s="2455">
        <f>メイン!C18</f>
        <v>1400</v>
      </c>
      <c r="F12" s="2410" t="s">
        <v>1824</v>
      </c>
      <c r="G12" s="2452"/>
      <c r="H12" s="723"/>
      <c r="I12" s="748"/>
      <c r="J12" s="2764"/>
      <c r="K12" s="2765"/>
      <c r="L12" s="737"/>
      <c r="M12" s="745"/>
      <c r="N12" s="738"/>
      <c r="O12" s="739"/>
      <c r="P12" s="693"/>
      <c r="Q12" s="693"/>
      <c r="R12" s="731" t="s">
        <v>1828</v>
      </c>
      <c r="S12" s="731" t="e">
        <f>S10/S11</f>
        <v>#VALUE!</v>
      </c>
      <c r="U12" s="735" t="s">
        <v>1829</v>
      </c>
      <c r="V12" s="743" t="s">
        <v>893</v>
      </c>
      <c r="W12" s="730">
        <v>5</v>
      </c>
      <c r="X12" s="730">
        <v>4</v>
      </c>
      <c r="Y12" s="730">
        <v>2</v>
      </c>
      <c r="Z12" s="736">
        <f>V56</f>
        <v>3</v>
      </c>
      <c r="AA12" s="732">
        <v>3</v>
      </c>
    </row>
    <row r="13" spans="1:28" s="702" customFormat="1" ht="21" customHeight="1">
      <c r="A13" s="693"/>
      <c r="B13" s="2396" t="s">
        <v>1830</v>
      </c>
      <c r="C13" s="2457"/>
      <c r="D13" s="2390"/>
      <c r="E13" s="2455">
        <f>メイン!C19</f>
        <v>15320</v>
      </c>
      <c r="F13" s="2415" t="s">
        <v>1824</v>
      </c>
      <c r="G13" s="2452"/>
      <c r="H13" s="723"/>
      <c r="I13" s="748"/>
      <c r="J13" s="2764"/>
      <c r="K13" s="2765"/>
      <c r="L13" s="737"/>
      <c r="M13" s="745"/>
      <c r="O13" s="739"/>
      <c r="P13" s="693"/>
      <c r="Q13" s="693"/>
      <c r="R13" s="735" t="s">
        <v>1831</v>
      </c>
      <c r="S13" s="746" t="e">
        <f>ROUNDDOWN(S12,1)</f>
        <v>#VALUE!</v>
      </c>
      <c r="U13" s="735" t="s">
        <v>1832</v>
      </c>
      <c r="V13" s="743" t="s">
        <v>1833</v>
      </c>
      <c r="W13" s="730">
        <v>5</v>
      </c>
      <c r="X13" s="730">
        <v>4</v>
      </c>
      <c r="Y13" s="730">
        <v>2</v>
      </c>
      <c r="Z13" s="736">
        <f>S56</f>
        <v>1.4</v>
      </c>
      <c r="AA13" s="732">
        <v>3</v>
      </c>
    </row>
    <row r="14" spans="1:28" s="702" customFormat="1" ht="21" customHeight="1">
      <c r="A14" s="693"/>
      <c r="B14" s="2458" t="s">
        <v>889</v>
      </c>
      <c r="C14" s="2457"/>
      <c r="D14" s="2459" t="str">
        <f>メイン!C23&amp;メイン!D23</f>
        <v>S造一部○○</v>
      </c>
      <c r="E14" s="2460"/>
      <c r="F14" s="2461"/>
      <c r="G14" s="2462"/>
      <c r="H14" s="723"/>
      <c r="J14" s="2764"/>
      <c r="K14" s="2765"/>
      <c r="L14" s="737"/>
      <c r="O14" s="739"/>
      <c r="P14" s="693"/>
      <c r="Q14" s="693"/>
      <c r="S14" s="749"/>
      <c r="U14" s="735" t="s">
        <v>1834</v>
      </c>
      <c r="V14" s="741" t="s">
        <v>1766</v>
      </c>
      <c r="W14" s="730">
        <v>5</v>
      </c>
      <c r="X14" s="730">
        <v>4</v>
      </c>
      <c r="Y14" s="730">
        <v>2</v>
      </c>
      <c r="Z14" s="736">
        <f>IF(S45=0,1,S45)</f>
        <v>3</v>
      </c>
      <c r="AA14" s="732">
        <v>3</v>
      </c>
    </row>
    <row r="15" spans="1:28" s="702" customFormat="1" ht="21" customHeight="1" thickBot="1">
      <c r="A15" s="693"/>
      <c r="B15" s="2407" t="s">
        <v>886</v>
      </c>
      <c r="C15" s="2420"/>
      <c r="D15" s="2459" t="str">
        <f>メイン!C22</f>
        <v>地上12F</v>
      </c>
      <c r="E15" s="2463"/>
      <c r="F15" s="2410"/>
      <c r="G15" s="2452"/>
      <c r="H15" s="723"/>
      <c r="J15" s="2764"/>
      <c r="K15" s="2765"/>
      <c r="L15" s="737"/>
      <c r="M15" s="738"/>
      <c r="N15" s="738"/>
      <c r="O15" s="739"/>
      <c r="P15" s="693"/>
      <c r="Q15" s="693"/>
      <c r="R15" s="731" t="s">
        <v>1835</v>
      </c>
      <c r="S15" s="754" t="e">
        <f>IF(AND($S$10&gt;=50,$S$12&gt;=3),1,IF(S13&lt;0.5,1,IF(S13&lt;1,2,IF(S13&lt;1.5,3,IF(S13&lt;3,4,4))))/5)</f>
        <v>#VALUE!</v>
      </c>
      <c r="V15" s="755"/>
      <c r="Z15" s="755"/>
    </row>
    <row r="16" spans="1:28" s="702" customFormat="1" ht="18" hidden="1" customHeight="1">
      <c r="A16" s="693"/>
      <c r="B16" s="723"/>
      <c r="C16" s="750"/>
      <c r="D16" s="751"/>
      <c r="E16" s="752"/>
      <c r="F16" s="753"/>
      <c r="G16" s="734"/>
      <c r="H16" s="2398"/>
      <c r="J16" s="2764"/>
      <c r="K16" s="2765"/>
      <c r="L16" s="737"/>
      <c r="M16" s="738"/>
      <c r="N16" s="738"/>
      <c r="O16" s="739"/>
      <c r="P16" s="693"/>
      <c r="Q16" s="693"/>
      <c r="R16" s="731" t="s">
        <v>1836</v>
      </c>
      <c r="S16" s="754" t="e">
        <f>1-S15</f>
        <v>#VALUE!</v>
      </c>
      <c r="T16" s="755"/>
      <c r="U16" s="756"/>
      <c r="V16" s="755"/>
      <c r="W16" s="755"/>
      <c r="X16" s="755"/>
      <c r="Y16" s="755"/>
      <c r="Z16" s="755"/>
      <c r="AA16" s="755"/>
      <c r="AB16" s="755"/>
    </row>
    <row r="17" spans="1:28" s="702" customFormat="1" ht="18" hidden="1" customHeight="1" thickBot="1">
      <c r="A17" s="693"/>
      <c r="B17" s="1035"/>
      <c r="C17" s="1036"/>
      <c r="D17" s="1037"/>
      <c r="E17" s="1038"/>
      <c r="F17" s="1039"/>
      <c r="G17" s="1040"/>
      <c r="H17" s="733"/>
      <c r="J17" s="2764"/>
      <c r="K17" s="2765"/>
      <c r="L17" s="1041"/>
      <c r="M17" s="1042"/>
      <c r="N17" s="1043"/>
      <c r="O17" s="1044"/>
      <c r="P17" s="693"/>
      <c r="Q17" s="693"/>
      <c r="R17" s="755"/>
      <c r="S17" s="755"/>
      <c r="T17" s="755"/>
      <c r="U17" s="755"/>
      <c r="V17" s="755"/>
      <c r="W17" s="755"/>
      <c r="X17" s="755"/>
      <c r="Y17" s="755"/>
      <c r="Z17" s="755"/>
      <c r="AA17" s="755"/>
      <c r="AB17" s="755"/>
    </row>
    <row r="18" spans="1:28" s="702" customFormat="1" ht="18" hidden="1" customHeight="1">
      <c r="A18" s="693"/>
      <c r="B18" s="733"/>
      <c r="D18" s="1045"/>
      <c r="E18" s="1046"/>
      <c r="F18" s="1046"/>
      <c r="G18" s="1047"/>
      <c r="H18" s="733"/>
      <c r="I18" s="1884"/>
      <c r="J18" s="2766"/>
      <c r="K18" s="2767"/>
      <c r="L18" s="1048"/>
      <c r="M18" s="1049"/>
      <c r="N18" s="1050"/>
      <c r="O18" s="1051"/>
      <c r="P18" s="693"/>
      <c r="Q18" s="693"/>
      <c r="R18" s="762"/>
      <c r="S18" s="763"/>
      <c r="T18" s="755"/>
      <c r="U18" s="755"/>
      <c r="V18" s="763"/>
      <c r="W18" s="764"/>
      <c r="X18" s="755"/>
      <c r="Y18" s="755"/>
      <c r="Z18" s="755"/>
      <c r="AA18" s="755"/>
      <c r="AB18" s="755"/>
    </row>
    <row r="19" spans="1:28" s="702" customFormat="1" ht="18" hidden="1" customHeight="1">
      <c r="A19" s="693"/>
      <c r="B19" s="1052"/>
      <c r="C19" s="1053"/>
      <c r="D19" s="1054"/>
      <c r="E19" s="1046"/>
      <c r="F19" s="1046"/>
      <c r="G19" s="1047"/>
      <c r="H19"/>
      <c r="I19"/>
      <c r="J19"/>
      <c r="K19" s="1055"/>
      <c r="L19" s="1048"/>
      <c r="M19" s="1049"/>
      <c r="N19" s="1050"/>
      <c r="O19" s="1051"/>
      <c r="P19" s="693"/>
      <c r="Q19" s="693"/>
      <c r="R19" s="762"/>
      <c r="S19" s="763"/>
      <c r="T19" s="755"/>
      <c r="U19" s="755"/>
      <c r="V19" s="763"/>
      <c r="W19" s="764"/>
      <c r="X19" s="755"/>
      <c r="Y19" s="755"/>
      <c r="Z19" s="755"/>
      <c r="AA19" s="755"/>
      <c r="AB19" s="755"/>
    </row>
    <row r="20" spans="1:28" s="702" customFormat="1" ht="18" hidden="1" customHeight="1" thickBot="1">
      <c r="A20" s="693"/>
      <c r="B20" s="1056"/>
      <c r="C20" s="1057"/>
      <c r="D20" s="1058"/>
      <c r="E20" s="1059"/>
      <c r="F20" s="1059"/>
      <c r="G20" s="1060"/>
      <c r="H20"/>
      <c r="I20"/>
      <c r="J20"/>
      <c r="K20" s="1061"/>
      <c r="L20" s="1062"/>
      <c r="M20" s="1063"/>
      <c r="N20" s="1043"/>
      <c r="O20" s="1044"/>
      <c r="P20" s="693"/>
      <c r="Q20" s="693"/>
      <c r="R20" s="762"/>
      <c r="S20" s="763"/>
      <c r="T20" s="755"/>
      <c r="U20" s="755"/>
      <c r="V20" s="763"/>
      <c r="W20" s="764"/>
      <c r="X20" s="755"/>
      <c r="Y20" s="755"/>
      <c r="Z20" s="755"/>
      <c r="AA20" s="755"/>
      <c r="AB20" s="755"/>
    </row>
    <row r="21" spans="1:28" s="702" customFormat="1" ht="8.25" customHeight="1" thickBot="1">
      <c r="A21" s="693"/>
      <c r="B21" s="769"/>
      <c r="C21" s="770"/>
      <c r="D21" s="769"/>
      <c r="E21" s="771"/>
      <c r="F21" s="771"/>
      <c r="G21" s="771"/>
      <c r="H21" s="771"/>
      <c r="I21" s="772"/>
      <c r="J21" s="773"/>
      <c r="K21" s="774"/>
      <c r="L21" s="771"/>
      <c r="M21" s="771"/>
      <c r="N21" s="771"/>
      <c r="O21" s="771"/>
      <c r="P21" s="693"/>
      <c r="Q21" s="693"/>
      <c r="R21" s="762"/>
      <c r="S21" s="763"/>
      <c r="T21" s="755"/>
      <c r="U21" s="755"/>
      <c r="V21" s="763"/>
      <c r="W21" s="764"/>
      <c r="X21" s="755"/>
      <c r="Y21" s="755"/>
      <c r="Z21" s="755"/>
      <c r="AA21" s="755"/>
      <c r="AB21" s="755"/>
    </row>
    <row r="22" spans="1:28" s="702" customFormat="1" ht="19.5" thickBot="1">
      <c r="A22" s="693"/>
      <c r="B22" s="775" t="s">
        <v>905</v>
      </c>
      <c r="C22" s="776"/>
      <c r="D22" s="777"/>
      <c r="E22" s="778"/>
      <c r="F22" s="778"/>
      <c r="G22" s="778"/>
      <c r="H22" s="720" t="s">
        <v>292</v>
      </c>
      <c r="I22" s="780"/>
      <c r="J22" s="781"/>
      <c r="K22" s="781"/>
      <c r="L22" s="779" t="s">
        <v>293</v>
      </c>
      <c r="M22" s="780"/>
      <c r="N22" s="781"/>
      <c r="O22" s="782"/>
      <c r="P22" s="693"/>
      <c r="Q22" s="693"/>
      <c r="R22" s="731" t="s">
        <v>1837</v>
      </c>
      <c r="S22" s="729" t="s">
        <v>906</v>
      </c>
      <c r="T22" s="729" t="s">
        <v>907</v>
      </c>
      <c r="U22" s="729" t="s">
        <v>908</v>
      </c>
      <c r="AB22" s="755"/>
    </row>
    <row r="23" spans="1:28" s="702" customFormat="1" ht="15" customHeight="1">
      <c r="A23" s="693"/>
      <c r="B23" s="733"/>
      <c r="G23" s="2440" t="e">
        <f>IF(S13&lt;0.5,"C",IF(S13&lt;1,"B-",IF(S13&lt;1.5,"B+",IF(S13&lt;3,"A","S"))))</f>
        <v>#VALUE!</v>
      </c>
      <c r="H23" s="783"/>
      <c r="I23" s="784"/>
      <c r="J23" s="784"/>
      <c r="K23" s="784"/>
      <c r="L23" s="785"/>
      <c r="M23" s="786"/>
      <c r="O23" s="787"/>
      <c r="R23" s="731" t="s">
        <v>1773</v>
      </c>
      <c r="S23" s="736"/>
      <c r="T23" s="788" t="e">
        <f>S11</f>
        <v>#VALUE!</v>
      </c>
      <c r="U23" s="788">
        <v>0</v>
      </c>
      <c r="V23" s="755"/>
      <c r="W23" s="729" t="s">
        <v>909</v>
      </c>
      <c r="X23" s="729"/>
      <c r="Y23" s="755"/>
      <c r="Z23" s="729" t="s">
        <v>910</v>
      </c>
      <c r="AA23" s="729"/>
      <c r="AB23" s="755"/>
    </row>
    <row r="24" spans="1:28" s="702" customFormat="1" ht="15" customHeight="1">
      <c r="A24" s="693"/>
      <c r="B24" s="733"/>
      <c r="C24" s="749"/>
      <c r="H24" s="789"/>
      <c r="I24" s="784"/>
      <c r="J24" s="784"/>
      <c r="K24" s="784"/>
      <c r="L24" s="785"/>
      <c r="M24" s="786"/>
      <c r="N24" s="790"/>
      <c r="O24" s="791"/>
      <c r="R24" s="731" t="s">
        <v>1774</v>
      </c>
      <c r="S24" s="736"/>
      <c r="T24" s="788">
        <f>S10</f>
        <v>50.421875000000007</v>
      </c>
      <c r="U24" s="788">
        <v>0</v>
      </c>
      <c r="V24" s="755"/>
      <c r="W24" s="736">
        <v>50</v>
      </c>
      <c r="X24" s="736">
        <v>50</v>
      </c>
      <c r="Y24" s="755"/>
      <c r="Z24" s="736">
        <v>0</v>
      </c>
      <c r="AA24" s="736">
        <v>100</v>
      </c>
      <c r="AB24" s="755"/>
    </row>
    <row r="25" spans="1:28" s="702" customFormat="1" ht="15" customHeight="1">
      <c r="A25" s="693"/>
      <c r="B25" s="733"/>
      <c r="G25" s="749" t="e">
        <f>S13</f>
        <v>#VALUE!</v>
      </c>
      <c r="H25" s="789"/>
      <c r="I25" s="784"/>
      <c r="J25" s="784"/>
      <c r="K25" s="784"/>
      <c r="L25" s="785"/>
      <c r="N25" s="790"/>
      <c r="O25" s="791"/>
      <c r="R25" s="736">
        <v>0</v>
      </c>
      <c r="S25" s="729" t="e">
        <f>T23</f>
        <v>#VALUE!</v>
      </c>
      <c r="T25" s="792" t="e">
        <f>T23</f>
        <v>#VALUE!</v>
      </c>
      <c r="U25" s="792">
        <v>0.1</v>
      </c>
      <c r="V25" s="755"/>
      <c r="W25" s="736">
        <v>0</v>
      </c>
      <c r="X25" s="736">
        <v>100</v>
      </c>
      <c r="Y25" s="755"/>
      <c r="Z25" s="736">
        <v>50</v>
      </c>
      <c r="AA25" s="736">
        <v>50</v>
      </c>
      <c r="AB25" s="755"/>
    </row>
    <row r="26" spans="1:28" s="702" customFormat="1" ht="24" customHeight="1">
      <c r="A26" s="693"/>
      <c r="B26" s="793"/>
      <c r="C26" s="794"/>
      <c r="D26" s="794"/>
      <c r="E26" s="794"/>
      <c r="F26" s="794"/>
      <c r="G26" s="795"/>
      <c r="H26" s="796"/>
      <c r="I26" s="784"/>
      <c r="J26" s="726"/>
      <c r="K26" s="784"/>
      <c r="L26" s="785"/>
      <c r="M26" s="786"/>
      <c r="N26" s="790"/>
      <c r="O26" s="791"/>
      <c r="R26" s="736">
        <v>0</v>
      </c>
      <c r="S26" s="729">
        <v>0</v>
      </c>
      <c r="T26" s="792">
        <f>T24</f>
        <v>50.421875000000007</v>
      </c>
      <c r="U26" s="792">
        <f>T24</f>
        <v>50.421875000000007</v>
      </c>
      <c r="V26" s="755"/>
      <c r="W26" s="755"/>
      <c r="X26" s="755"/>
      <c r="Y26" s="755"/>
      <c r="Z26" s="755"/>
      <c r="AA26" s="755"/>
      <c r="AB26" s="755"/>
    </row>
    <row r="27" spans="1:28" s="702" customFormat="1" ht="15" customHeight="1">
      <c r="A27" s="693"/>
      <c r="B27" s="733"/>
      <c r="H27" s="2003" t="str">
        <f>U35</f>
        <v>標準計算</v>
      </c>
      <c r="I27" s="1716"/>
      <c r="J27" s="1716"/>
      <c r="K27" s="1723"/>
      <c r="L27" s="785"/>
      <c r="N27" s="790"/>
      <c r="O27" s="791"/>
      <c r="V27" s="755"/>
      <c r="W27" s="755"/>
      <c r="X27" s="755"/>
      <c r="Y27" s="755"/>
      <c r="Z27" s="755"/>
      <c r="AA27" s="755"/>
      <c r="AB27" s="755"/>
    </row>
    <row r="28" spans="1:28" s="702" customFormat="1" ht="15" customHeight="1">
      <c r="A28" s="693"/>
      <c r="B28" s="733"/>
      <c r="H28" s="2007"/>
      <c r="I28" s="798"/>
      <c r="J28" s="799"/>
      <c r="K28" s="1717"/>
      <c r="L28" s="785"/>
      <c r="N28" s="790"/>
      <c r="O28" s="791"/>
      <c r="R28" s="801" t="s">
        <v>1838</v>
      </c>
      <c r="S28" s="729" t="s">
        <v>1839</v>
      </c>
      <c r="T28" s="802">
        <v>0</v>
      </c>
      <c r="U28" s="802">
        <f>100/6</f>
        <v>16.666666666666668</v>
      </c>
      <c r="V28" s="803">
        <f>U28*2</f>
        <v>33.333333333333336</v>
      </c>
      <c r="W28" s="802">
        <f>U28*3</f>
        <v>50</v>
      </c>
      <c r="X28" s="802">
        <f>U28*4</f>
        <v>66.666666666666671</v>
      </c>
      <c r="Y28" s="802">
        <f>U28*5</f>
        <v>83.333333333333343</v>
      </c>
      <c r="Z28" s="802">
        <v>100</v>
      </c>
      <c r="AA28" s="755"/>
      <c r="AB28" s="755"/>
    </row>
    <row r="29" spans="1:28" s="702" customFormat="1" ht="15" customHeight="1">
      <c r="A29" s="693"/>
      <c r="B29" s="733"/>
      <c r="H29" s="2007"/>
      <c r="I29" s="798"/>
      <c r="J29" s="799"/>
      <c r="K29" s="800"/>
      <c r="L29" s="785"/>
      <c r="N29" s="790"/>
      <c r="O29" s="791"/>
      <c r="R29" s="801"/>
      <c r="S29" s="729" t="s">
        <v>1840</v>
      </c>
      <c r="T29" s="802">
        <v>100</v>
      </c>
      <c r="U29" s="802">
        <v>100</v>
      </c>
      <c r="V29" s="802">
        <v>100</v>
      </c>
      <c r="W29" s="802">
        <v>100</v>
      </c>
      <c r="X29" s="802">
        <v>100</v>
      </c>
      <c r="Y29" s="802">
        <v>100</v>
      </c>
      <c r="Z29" s="802">
        <v>100</v>
      </c>
      <c r="AA29" s="755"/>
      <c r="AB29" s="755"/>
    </row>
    <row r="30" spans="1:28" s="702" customFormat="1" ht="15" customHeight="1">
      <c r="A30" s="693"/>
      <c r="B30" s="733"/>
      <c r="H30" s="2007"/>
      <c r="I30" s="798"/>
      <c r="J30" s="799"/>
      <c r="K30" s="1714"/>
      <c r="L30" s="804"/>
      <c r="M30" s="805"/>
      <c r="N30" s="806"/>
      <c r="O30" s="807"/>
      <c r="R30" s="801">
        <v>3</v>
      </c>
      <c r="S30" s="729" t="s">
        <v>1841</v>
      </c>
      <c r="T30" s="802">
        <v>50</v>
      </c>
      <c r="U30" s="802">
        <f t="shared" ref="U30:X33" si="0">U$28*$R30</f>
        <v>50</v>
      </c>
      <c r="V30" s="802">
        <f t="shared" si="0"/>
        <v>100</v>
      </c>
      <c r="W30" s="802">
        <v>100</v>
      </c>
      <c r="X30" s="802">
        <v>100</v>
      </c>
      <c r="Y30" s="802">
        <v>100</v>
      </c>
      <c r="Z30" s="802">
        <v>100</v>
      </c>
      <c r="AA30" s="755"/>
      <c r="AB30" s="755"/>
    </row>
    <row r="31" spans="1:28" s="702" customFormat="1" ht="15" customHeight="1">
      <c r="A31" s="693"/>
      <c r="B31" s="733"/>
      <c r="H31" s="2007"/>
      <c r="I31" s="798"/>
      <c r="J31" s="799"/>
      <c r="K31" s="1714"/>
      <c r="L31" s="797"/>
      <c r="M31" s="798"/>
      <c r="N31" s="799"/>
      <c r="O31" s="1715"/>
      <c r="R31" s="801">
        <v>1.5</v>
      </c>
      <c r="S31" s="729" t="s">
        <v>1842</v>
      </c>
      <c r="T31" s="802">
        <v>0</v>
      </c>
      <c r="U31" s="802">
        <f t="shared" si="0"/>
        <v>25</v>
      </c>
      <c r="V31" s="802">
        <f t="shared" si="0"/>
        <v>50</v>
      </c>
      <c r="W31" s="802">
        <f t="shared" si="0"/>
        <v>75</v>
      </c>
      <c r="X31" s="802">
        <f t="shared" si="0"/>
        <v>100</v>
      </c>
      <c r="Y31" s="802">
        <v>100</v>
      </c>
      <c r="Z31" s="802">
        <v>100</v>
      </c>
      <c r="AA31" s="755"/>
      <c r="AB31" s="755"/>
    </row>
    <row r="32" spans="1:28" s="702" customFormat="1" ht="15" customHeight="1">
      <c r="A32" s="693"/>
      <c r="B32" s="733"/>
      <c r="H32" s="2007"/>
      <c r="I32" s="798"/>
      <c r="J32" s="799"/>
      <c r="K32" s="800"/>
      <c r="L32" s="785"/>
      <c r="N32" s="790"/>
      <c r="O32" s="791"/>
      <c r="R32" s="801">
        <v>1</v>
      </c>
      <c r="S32" s="729" t="s">
        <v>1843</v>
      </c>
      <c r="T32" s="802">
        <v>0</v>
      </c>
      <c r="U32" s="802">
        <f t="shared" si="0"/>
        <v>16.666666666666668</v>
      </c>
      <c r="V32" s="802">
        <f t="shared" si="0"/>
        <v>33.333333333333336</v>
      </c>
      <c r="W32" s="802">
        <f t="shared" si="0"/>
        <v>50</v>
      </c>
      <c r="X32" s="802">
        <f t="shared" si="0"/>
        <v>66.666666666666671</v>
      </c>
      <c r="Y32" s="802">
        <f>Y$28*$R32</f>
        <v>83.333333333333343</v>
      </c>
      <c r="Z32" s="802">
        <f>Z$28*$R32</f>
        <v>100</v>
      </c>
      <c r="AA32" s="755"/>
      <c r="AB32" s="755"/>
    </row>
    <row r="33" spans="1:30" s="702" customFormat="1" ht="15" customHeight="1">
      <c r="A33" s="693"/>
      <c r="B33" s="733"/>
      <c r="H33" s="2007"/>
      <c r="I33" s="798"/>
      <c r="J33" s="799"/>
      <c r="K33" s="800"/>
      <c r="L33" s="785"/>
      <c r="N33" s="790"/>
      <c r="O33" s="791"/>
      <c r="R33" s="801">
        <v>0.5</v>
      </c>
      <c r="S33" s="729" t="s">
        <v>1844</v>
      </c>
      <c r="T33" s="802">
        <v>0</v>
      </c>
      <c r="U33" s="802">
        <f t="shared" si="0"/>
        <v>8.3333333333333339</v>
      </c>
      <c r="V33" s="802">
        <f t="shared" si="0"/>
        <v>16.666666666666668</v>
      </c>
      <c r="W33" s="802">
        <f t="shared" si="0"/>
        <v>25</v>
      </c>
      <c r="X33" s="802">
        <f t="shared" si="0"/>
        <v>33.333333333333336</v>
      </c>
      <c r="Y33" s="802">
        <f>Y$28*$R33</f>
        <v>41.666666666666671</v>
      </c>
      <c r="Z33" s="802">
        <f>Z$28*$R33</f>
        <v>50</v>
      </c>
      <c r="AA33" s="755"/>
      <c r="AB33" s="755"/>
    </row>
    <row r="34" spans="1:30" s="702" customFormat="1" ht="15" customHeight="1" thickBot="1">
      <c r="A34" s="693"/>
      <c r="B34" s="733"/>
      <c r="H34" s="796"/>
      <c r="I34" s="784"/>
      <c r="J34" s="784"/>
      <c r="K34" s="784"/>
      <c r="L34" s="785"/>
      <c r="M34" s="786"/>
      <c r="N34" s="790"/>
      <c r="O34" s="791"/>
      <c r="AA34" s="755"/>
      <c r="AB34" s="755"/>
    </row>
    <row r="35" spans="1:30" s="702" customFormat="1" ht="15" customHeight="1" thickBot="1">
      <c r="A35" s="760"/>
      <c r="B35" s="733"/>
      <c r="H35" s="796"/>
      <c r="I35" s="784"/>
      <c r="J35" s="784"/>
      <c r="K35" s="784"/>
      <c r="L35" s="2768"/>
      <c r="M35" s="2769"/>
      <c r="N35" s="2769"/>
      <c r="O35" s="2770"/>
      <c r="R35" s="731" t="s">
        <v>1845</v>
      </c>
      <c r="S35" s="754" t="e">
        <f>IF(T35&lt;=0.3,1,IF(T35&lt;=0.6,0.8,IF(X40&lt;=0.8,0.6,IF(X40&lt;=1,0.4,0.2))))</f>
        <v>#VALUE!</v>
      </c>
      <c r="T35" s="1718" t="e">
        <f>IF(U35=W35,X41,X42)</f>
        <v>#VALUE!</v>
      </c>
      <c r="U35" s="810" t="str">
        <f>メイン!C44</f>
        <v>標準計算</v>
      </c>
      <c r="V35" s="1722" t="s">
        <v>73</v>
      </c>
      <c r="W35" s="813" t="s">
        <v>446</v>
      </c>
      <c r="X35" s="813" t="s">
        <v>919</v>
      </c>
      <c r="AA35" s="755"/>
      <c r="AB35" s="755"/>
    </row>
    <row r="36" spans="1:30" s="702" customFormat="1" ht="15" customHeight="1">
      <c r="A36" s="760"/>
      <c r="B36" s="733"/>
      <c r="H36" s="2741" t="str">
        <f>IF(U35=W35,X35,X36)</f>
        <v>このグラフは、LR3中の「地球温暖化への配慮」の内容を、一般的な建物（参照値）と比べたライフサイクルCO2 排出量の目安で示したものです</v>
      </c>
      <c r="I36" s="2742"/>
      <c r="J36" s="2742"/>
      <c r="K36" s="2743"/>
      <c r="L36" s="2768"/>
      <c r="M36" s="2769"/>
      <c r="N36" s="2769"/>
      <c r="O36" s="2770"/>
      <c r="R36" s="731" t="s">
        <v>42</v>
      </c>
      <c r="S36" s="1719" t="e">
        <f>1-S35</f>
        <v>#VALUE!</v>
      </c>
      <c r="T36" s="1718"/>
      <c r="U36" s="813" t="s">
        <v>1846</v>
      </c>
      <c r="V36" s="1718" t="str">
        <f>IF(U35=W36,V35,"")</f>
        <v/>
      </c>
      <c r="W36" s="813" t="s">
        <v>448</v>
      </c>
      <c r="X36" s="813" t="s">
        <v>921</v>
      </c>
      <c r="AA36" s="755"/>
      <c r="AB36" s="755"/>
    </row>
    <row r="37" spans="1:30" s="702" customFormat="1" ht="30.75" customHeight="1">
      <c r="A37" s="760"/>
      <c r="B37" s="733"/>
      <c r="C37" s="814"/>
      <c r="H37" s="2741"/>
      <c r="I37" s="2742"/>
      <c r="J37" s="2742"/>
      <c r="K37" s="2743"/>
      <c r="L37" s="2768"/>
      <c r="M37" s="2769"/>
      <c r="N37" s="2769"/>
      <c r="O37" s="2770"/>
      <c r="AA37" s="755"/>
      <c r="AB37" s="755"/>
    </row>
    <row r="38" spans="1:30" s="702" customFormat="1" ht="18.75" customHeight="1" thickBot="1">
      <c r="A38" s="760"/>
      <c r="B38" s="765"/>
      <c r="C38" s="766"/>
      <c r="D38" s="766"/>
      <c r="E38" s="766"/>
      <c r="F38" s="766"/>
      <c r="G38" s="766"/>
      <c r="H38" s="2744"/>
      <c r="I38" s="2745"/>
      <c r="J38" s="2745"/>
      <c r="K38" s="2746"/>
      <c r="L38" s="2771"/>
      <c r="M38" s="2772"/>
      <c r="N38" s="2772"/>
      <c r="O38" s="2773"/>
      <c r="R38" s="808" t="s">
        <v>1847</v>
      </c>
      <c r="S38" s="809" t="s">
        <v>916</v>
      </c>
      <c r="T38" s="809" t="s">
        <v>917</v>
      </c>
      <c r="U38" s="809" t="s">
        <v>918</v>
      </c>
      <c r="V38" s="809" t="s">
        <v>1848</v>
      </c>
      <c r="W38" s="809" t="s">
        <v>1849</v>
      </c>
      <c r="X38" s="809" t="s">
        <v>1217</v>
      </c>
      <c r="Y38" s="728" t="s">
        <v>1850</v>
      </c>
      <c r="AC38" s="755"/>
      <c r="AD38" s="755"/>
    </row>
    <row r="39" spans="1:30" s="702" customFormat="1" ht="18" customHeight="1" thickBot="1">
      <c r="A39" s="693"/>
      <c r="B39" s="815" t="s">
        <v>1851</v>
      </c>
      <c r="C39" s="816"/>
      <c r="D39" s="817"/>
      <c r="E39" s="816"/>
      <c r="F39" s="816"/>
      <c r="G39" s="816"/>
      <c r="H39" s="818"/>
      <c r="I39" s="819"/>
      <c r="J39" s="816"/>
      <c r="K39" s="816"/>
      <c r="L39" s="816"/>
      <c r="M39" s="820"/>
      <c r="N39" s="820"/>
      <c r="O39" s="821"/>
      <c r="P39" s="693"/>
      <c r="Q39" s="693"/>
      <c r="R39" s="728" t="s">
        <v>1852</v>
      </c>
      <c r="S39" s="811">
        <f>IF($U$35=$W$35,'条件(標準)_前'!D9,'条件(個別)_前'!D9)</f>
        <v>14.709407310704961</v>
      </c>
      <c r="T39" s="811">
        <f>IF($U$35=$W$35,'条件(標準)_前'!D34,'条件(個別)_前'!D34)</f>
        <v>13.445631853785901</v>
      </c>
      <c r="U39" s="811" t="e">
        <f>IF($U$35=$W$35,'条件(標準)_前'!D46,'条件(個別)_前'!D46)</f>
        <v>#VALUE!</v>
      </c>
      <c r="V39" s="811"/>
      <c r="W39" s="811"/>
      <c r="X39" s="812">
        <v>1</v>
      </c>
      <c r="Y39" s="728" t="e">
        <f>IF(COUNTIF(S39:W39,Z40)&gt;0,Z40,SUM(S39:W39))</f>
        <v>#VALUE!</v>
      </c>
      <c r="AC39" s="755"/>
      <c r="AD39" s="755"/>
    </row>
    <row r="40" spans="1:30" s="702" customFormat="1" ht="18.75">
      <c r="A40" s="693"/>
      <c r="B40" s="822" t="s">
        <v>924</v>
      </c>
      <c r="C40" s="823"/>
      <c r="D40" s="823"/>
      <c r="E40" s="824"/>
      <c r="F40" s="823"/>
      <c r="G40" s="823"/>
      <c r="H40" s="823"/>
      <c r="I40" s="823"/>
      <c r="J40" s="823"/>
      <c r="K40" s="825"/>
      <c r="L40" s="826"/>
      <c r="M40" s="827" t="s">
        <v>43</v>
      </c>
      <c r="N40" s="828">
        <f>スコア表示!T8</f>
        <v>3</v>
      </c>
      <c r="O40" s="829"/>
      <c r="P40" s="693"/>
      <c r="Q40" s="693"/>
      <c r="R40" s="728" t="s">
        <v>1853</v>
      </c>
      <c r="S40" s="811">
        <f>IF($U$35=$W$35,'条件(標準)_前'!E9,'条件(個別)_前'!E9)</f>
        <v>12.401638903394257</v>
      </c>
      <c r="T40" s="811">
        <f>IF($U$35=$W$35,'条件(標準)_前'!E34,'条件(個別)_前'!E34)</f>
        <v>13.445631853785901</v>
      </c>
      <c r="U40" s="811" t="e">
        <f>IF($U$35=$W$35,'条件(標準)_前'!E46,'条件(個別)_前'!E46)</f>
        <v>#VALUE!</v>
      </c>
      <c r="V40" s="811"/>
      <c r="W40" s="811"/>
      <c r="X40" s="812" t="e">
        <f>IF(Y39=Z40,Z40,Y40/Y39)</f>
        <v>#VALUE!</v>
      </c>
      <c r="Y40" s="728" t="e">
        <f>IF(COUNTIF(S40:W40,Z41)&gt;0,Z41,SUM(S40:W40))</f>
        <v>#VALUE!</v>
      </c>
      <c r="Z40" s="702" t="s">
        <v>1305</v>
      </c>
      <c r="AC40" s="755"/>
      <c r="AD40" s="755"/>
    </row>
    <row r="41" spans="1:30" s="702" customFormat="1" ht="15">
      <c r="A41" s="693"/>
      <c r="B41" s="733"/>
      <c r="C41" s="830" t="str">
        <f>スコア表示!B9&amp;" "&amp;スコア表示!D9</f>
        <v>Q1 室内環境</v>
      </c>
      <c r="D41" s="831"/>
      <c r="E41" s="831"/>
      <c r="F41" s="831"/>
      <c r="G41" s="831"/>
      <c r="H41" s="831" t="str">
        <f>"     "&amp;スコア表示!B61&amp;" "&amp;スコア表示!D61</f>
        <v xml:space="preserve">     Q2 サービス性能</v>
      </c>
      <c r="I41" s="831"/>
      <c r="J41" s="760"/>
      <c r="K41" s="760"/>
      <c r="L41" s="832" t="str">
        <f>スコア表示!B109&amp;" "&amp;スコア表示!D109</f>
        <v>Q3 室外環境（敷地内）</v>
      </c>
      <c r="M41" s="832"/>
      <c r="N41" s="760"/>
      <c r="O41" s="833"/>
      <c r="P41" s="693"/>
      <c r="R41" s="728" t="s">
        <v>1854</v>
      </c>
      <c r="S41" s="1713"/>
      <c r="T41" s="1713"/>
      <c r="U41" s="1713"/>
      <c r="V41" s="811" t="e">
        <f>IF($U$35=$W$35,'条件(標準)_前'!E9+'条件(標準)_前'!E34+'条件(標準)_前'!E47,'条件(個別)_前'!E9+'条件(個別)_前'!E34+'条件(個別)_前'!E47)</f>
        <v>#VALUE!</v>
      </c>
      <c r="W41" s="811"/>
      <c r="X41" s="812" t="e">
        <f>IF(Y39=Z41,Z41,Y41/Y39)</f>
        <v>#VALUE!</v>
      </c>
      <c r="Y41" s="728" t="e">
        <f>IF(COUNTIF(S41:W41,Z42)&gt;0,Z42,SUM(S41:W41))</f>
        <v>#VALUE!</v>
      </c>
      <c r="Z41" s="702" t="s">
        <v>1305</v>
      </c>
    </row>
    <row r="42" spans="1:30" s="702" customFormat="1" ht="15" customHeight="1">
      <c r="A42" s="693"/>
      <c r="B42" s="733"/>
      <c r="C42" s="834"/>
      <c r="D42" s="835"/>
      <c r="E42" s="836"/>
      <c r="G42" s="831">
        <f>S45</f>
        <v>3</v>
      </c>
      <c r="I42" s="836"/>
      <c r="K42" s="831">
        <f>V45</f>
        <v>3</v>
      </c>
      <c r="M42" s="837"/>
      <c r="N42" s="836"/>
      <c r="O42" s="838">
        <f>Y45</f>
        <v>3</v>
      </c>
      <c r="P42" s="693"/>
      <c r="Q42" s="693"/>
      <c r="R42" s="728" t="s">
        <v>1855</v>
      </c>
      <c r="S42" s="1713"/>
      <c r="T42" s="1713"/>
      <c r="U42" s="1713"/>
      <c r="V42" s="1712"/>
      <c r="W42" s="811" t="e">
        <f>IF($U$35=$W$35,'条件(標準)_前'!E9+'条件(標準)_前'!E34+'条件(標準)_前'!E52,'条件(個別)_前'!E9+'条件(個別)_前'!E34+'条件(個別)_前'!E52)</f>
        <v>#VALUE!</v>
      </c>
      <c r="X42" s="812" t="e">
        <f>IF(Y39=Z42,Z42,Y42/Y39)</f>
        <v>#VALUE!</v>
      </c>
      <c r="Y42" s="728" t="e">
        <f>IF(COUNTIF(S42:W42,Z42)&gt;0,Z42,SUM(S42:W42))</f>
        <v>#VALUE!</v>
      </c>
      <c r="Z42" s="702" t="s">
        <v>1305</v>
      </c>
    </row>
    <row r="43" spans="1:30" s="702" customFormat="1" ht="15" customHeight="1">
      <c r="A43" s="693"/>
      <c r="B43" s="733"/>
      <c r="G43" s="711"/>
      <c r="H43" s="711"/>
      <c r="I43" s="712"/>
      <c r="J43" s="712"/>
      <c r="K43" s="711"/>
      <c r="L43" s="760"/>
      <c r="M43" s="760"/>
      <c r="N43" s="760"/>
      <c r="O43" s="833"/>
      <c r="P43" s="693"/>
      <c r="Q43" s="693"/>
      <c r="AA43" s="755"/>
      <c r="AB43" s="755"/>
    </row>
    <row r="44" spans="1:30" s="702" customFormat="1" ht="15" customHeight="1">
      <c r="A44" s="693"/>
      <c r="B44" s="733"/>
      <c r="G44" s="711"/>
      <c r="H44" s="711"/>
      <c r="I44" s="712"/>
      <c r="J44" s="712"/>
      <c r="K44" s="711"/>
      <c r="L44" s="760"/>
      <c r="M44" s="760"/>
      <c r="N44" s="760"/>
      <c r="O44" s="833"/>
      <c r="P44" s="693"/>
      <c r="Q44" s="693"/>
      <c r="R44" s="731"/>
      <c r="S44" s="731" t="s">
        <v>46</v>
      </c>
      <c r="T44" s="731" t="s">
        <v>44</v>
      </c>
      <c r="U44" s="731"/>
      <c r="V44" s="731" t="s">
        <v>46</v>
      </c>
      <c r="W44" s="731" t="s">
        <v>44</v>
      </c>
      <c r="X44" s="731"/>
      <c r="Y44" s="731" t="s">
        <v>46</v>
      </c>
      <c r="Z44" s="731" t="s">
        <v>44</v>
      </c>
      <c r="AA44" s="755"/>
      <c r="AB44" s="755"/>
    </row>
    <row r="45" spans="1:30" s="702" customFormat="1" ht="15" customHeight="1">
      <c r="A45" s="693"/>
      <c r="B45" s="733"/>
      <c r="G45" s="711"/>
      <c r="H45" s="711"/>
      <c r="I45" s="712"/>
      <c r="J45" s="712"/>
      <c r="K45" s="711"/>
      <c r="L45" s="760"/>
      <c r="M45" s="760"/>
      <c r="N45" s="760"/>
      <c r="O45" s="833"/>
      <c r="P45" s="693"/>
      <c r="Q45" s="693"/>
      <c r="R45" s="839" t="s">
        <v>1801</v>
      </c>
      <c r="S45" s="840">
        <f>スコア表示!T9</f>
        <v>3</v>
      </c>
      <c r="T45" s="840">
        <f>スコア表示!AN9</f>
        <v>3</v>
      </c>
      <c r="U45" s="729" t="s">
        <v>1856</v>
      </c>
      <c r="V45" s="840">
        <f>スコア表示!T61</f>
        <v>3</v>
      </c>
      <c r="W45" s="840">
        <f>スコア表示!AN61</f>
        <v>3.0562499999999999</v>
      </c>
      <c r="X45" s="839" t="s">
        <v>1803</v>
      </c>
      <c r="Y45" s="840">
        <f>スコア表示!T109</f>
        <v>3</v>
      </c>
      <c r="Z45" s="840">
        <f>スコア表示!AN109</f>
        <v>3</v>
      </c>
      <c r="AA45" s="755"/>
      <c r="AB45" s="755"/>
    </row>
    <row r="46" spans="1:30" s="702" customFormat="1" ht="15" customHeight="1">
      <c r="A46" s="693"/>
      <c r="B46" s="733"/>
      <c r="G46" s="711"/>
      <c r="H46" s="711"/>
      <c r="I46" s="712"/>
      <c r="J46" s="712"/>
      <c r="K46" s="711"/>
      <c r="L46" s="760"/>
      <c r="M46" s="760"/>
      <c r="N46" s="760"/>
      <c r="O46" s="833"/>
      <c r="P46" s="693"/>
      <c r="Q46" s="693"/>
      <c r="AA46" s="755"/>
      <c r="AB46" s="755"/>
    </row>
    <row r="47" spans="1:30" s="702" customFormat="1" ht="15" customHeight="1">
      <c r="A47" s="693"/>
      <c r="B47" s="733"/>
      <c r="G47" s="711"/>
      <c r="H47" s="711"/>
      <c r="I47" s="712"/>
      <c r="J47" s="712"/>
      <c r="K47" s="711"/>
      <c r="L47" s="760"/>
      <c r="M47" s="760"/>
      <c r="N47" s="760"/>
      <c r="O47" s="833"/>
      <c r="P47" s="693"/>
      <c r="Q47" s="693"/>
      <c r="R47" s="731"/>
      <c r="S47" s="731" t="s">
        <v>1857</v>
      </c>
      <c r="T47" s="731" t="s">
        <v>1858</v>
      </c>
      <c r="U47" s="731"/>
      <c r="V47" s="731" t="s">
        <v>1857</v>
      </c>
      <c r="W47" s="731" t="s">
        <v>1858</v>
      </c>
      <c r="X47" s="731"/>
      <c r="Y47" s="841" t="s">
        <v>1857</v>
      </c>
      <c r="Z47" s="731" t="s">
        <v>1858</v>
      </c>
      <c r="AA47" s="755"/>
      <c r="AB47" s="755"/>
    </row>
    <row r="48" spans="1:30" s="702" customFormat="1" ht="15" customHeight="1">
      <c r="A48" s="693"/>
      <c r="B48" s="733"/>
      <c r="G48" s="843"/>
      <c r="H48" s="843"/>
      <c r="I48" s="712"/>
      <c r="J48" s="712"/>
      <c r="K48" s="711"/>
      <c r="L48" s="760"/>
      <c r="M48" s="760"/>
      <c r="N48" s="760"/>
      <c r="O48" s="833"/>
      <c r="P48" s="693"/>
      <c r="Q48" s="693"/>
      <c r="R48" s="842" t="s">
        <v>925</v>
      </c>
      <c r="S48" s="840">
        <f>スコア表示!T10</f>
        <v>3</v>
      </c>
      <c r="T48" s="731" t="str">
        <f>IF(S48=0,"N.A.","")</f>
        <v/>
      </c>
      <c r="U48" s="729" t="s">
        <v>926</v>
      </c>
      <c r="V48" s="840">
        <f>スコア表示!T62</f>
        <v>3</v>
      </c>
      <c r="W48" s="731" t="str">
        <f>IF(V48=0,"N.A.","")</f>
        <v/>
      </c>
      <c r="X48" s="842" t="s">
        <v>927</v>
      </c>
      <c r="Y48" s="840">
        <f>スコア表示!T110</f>
        <v>3</v>
      </c>
      <c r="Z48" s="731" t="str">
        <f>IF(Y48=0,"N.A.","")</f>
        <v/>
      </c>
      <c r="AA48" s="755"/>
      <c r="AB48" s="755"/>
    </row>
    <row r="49" spans="1:28" s="702" customFormat="1" ht="15" customHeight="1">
      <c r="A49" s="760"/>
      <c r="B49" s="733"/>
      <c r="G49" s="843"/>
      <c r="H49" s="843"/>
      <c r="I49" s="712"/>
      <c r="J49" s="712"/>
      <c r="K49" s="711"/>
      <c r="L49" s="760"/>
      <c r="M49" s="760"/>
      <c r="N49" s="760"/>
      <c r="O49" s="833"/>
      <c r="P49" s="760"/>
      <c r="Q49" s="693"/>
      <c r="R49" s="842" t="s">
        <v>928</v>
      </c>
      <c r="S49" s="840">
        <f>スコア表示!T20</f>
        <v>3</v>
      </c>
      <c r="T49" s="731" t="str">
        <f>IF(S49=0,"N.A.","")</f>
        <v/>
      </c>
      <c r="U49" s="729" t="s">
        <v>1046</v>
      </c>
      <c r="V49" s="840">
        <f>スコア表示!T75</f>
        <v>3.1</v>
      </c>
      <c r="W49" s="731" t="str">
        <f>IF(V49=0,"N.A.","")</f>
        <v/>
      </c>
      <c r="X49" s="842" t="s">
        <v>1859</v>
      </c>
      <c r="Y49" s="840">
        <f>スコア表示!T111</f>
        <v>3</v>
      </c>
      <c r="Z49" s="731" t="str">
        <f>IF(Y49=0,"N.A.","")</f>
        <v/>
      </c>
      <c r="AA49" s="755"/>
      <c r="AB49" s="755"/>
    </row>
    <row r="50" spans="1:28" s="702" customFormat="1" ht="15" customHeight="1">
      <c r="A50" s="760"/>
      <c r="B50" s="733"/>
      <c r="G50" s="844"/>
      <c r="H50" s="845"/>
      <c r="I50" s="846"/>
      <c r="J50" s="846"/>
      <c r="K50" s="847"/>
      <c r="L50" s="848"/>
      <c r="M50" s="848"/>
      <c r="N50" s="848"/>
      <c r="O50" s="849"/>
      <c r="P50" s="760"/>
      <c r="Q50" s="693"/>
      <c r="R50" s="842" t="s">
        <v>1047</v>
      </c>
      <c r="S50" s="840">
        <f>スコア表示!T34</f>
        <v>3</v>
      </c>
      <c r="T50" s="731" t="str">
        <f>IF(S50=0,"N.A.","")</f>
        <v/>
      </c>
      <c r="U50" s="729" t="s">
        <v>1048</v>
      </c>
      <c r="V50" s="840">
        <f>スコア表示!T97</f>
        <v>3</v>
      </c>
      <c r="W50" s="731" t="str">
        <f>IF(V50=0,"N.A.","")</f>
        <v/>
      </c>
      <c r="X50" s="842" t="s">
        <v>1049</v>
      </c>
      <c r="Y50" s="840">
        <f>スコア表示!T112</f>
        <v>3</v>
      </c>
      <c r="Z50" s="731" t="str">
        <f>IF(Y50=0,"N.A.","")</f>
        <v/>
      </c>
      <c r="AA50" s="755"/>
      <c r="AB50" s="755"/>
    </row>
    <row r="51" spans="1:28" s="702" customFormat="1" ht="18" customHeight="1">
      <c r="A51" s="850"/>
      <c r="B51" s="851" t="s">
        <v>1860</v>
      </c>
      <c r="C51" s="852"/>
      <c r="D51" s="853"/>
      <c r="E51" s="852"/>
      <c r="F51" s="852"/>
      <c r="G51" s="852"/>
      <c r="H51" s="823"/>
      <c r="I51" s="823"/>
      <c r="J51" s="823"/>
      <c r="K51" s="825"/>
      <c r="L51" s="826"/>
      <c r="M51" s="827" t="s">
        <v>1861</v>
      </c>
      <c r="N51" s="854" t="e">
        <f>スコア表示!T116</f>
        <v>#VALUE!</v>
      </c>
      <c r="O51" s="829"/>
      <c r="P51" s="693"/>
      <c r="Q51" s="693"/>
      <c r="R51" s="842" t="s">
        <v>1050</v>
      </c>
      <c r="S51" s="840">
        <f>スコア表示!T47</f>
        <v>3</v>
      </c>
      <c r="T51" s="731" t="str">
        <f>IF(S51=0,"N.A.","")</f>
        <v/>
      </c>
      <c r="U51" s="755"/>
      <c r="V51" s="755"/>
      <c r="W51" s="755"/>
      <c r="X51" s="755"/>
      <c r="Y51" s="755"/>
      <c r="Z51" s="755"/>
      <c r="AA51" s="755"/>
      <c r="AB51" s="755"/>
    </row>
    <row r="52" spans="1:28" s="702" customFormat="1" ht="15">
      <c r="A52" s="693"/>
      <c r="B52" s="855"/>
      <c r="C52" s="832" t="str">
        <f>スコア表示!B117&amp;" "&amp;スコア表示!D117</f>
        <v>LR1 エネルギー</v>
      </c>
      <c r="D52" s="832"/>
      <c r="E52" s="856"/>
      <c r="F52" s="832"/>
      <c r="G52" s="832"/>
      <c r="H52" s="832" t="str">
        <f>"     "&amp;スコア表示!B140&amp;" "&amp;スコア表示!D140</f>
        <v xml:space="preserve">     LR2 資源・マテリアル</v>
      </c>
      <c r="I52" s="832"/>
      <c r="J52" s="832"/>
      <c r="K52" s="832"/>
      <c r="L52" s="830" t="str">
        <f>スコア表示!B159&amp;" "&amp;スコア表示!D159</f>
        <v>LR3 敷地外環境</v>
      </c>
      <c r="M52" s="832"/>
      <c r="N52" s="832"/>
      <c r="O52" s="857"/>
      <c r="P52" s="693"/>
      <c r="Q52" s="693"/>
      <c r="R52" s="755"/>
      <c r="S52" s="755"/>
      <c r="T52" s="731"/>
      <c r="U52" s="755"/>
      <c r="V52" s="755"/>
      <c r="W52" s="755"/>
      <c r="X52" s="755"/>
      <c r="Y52" s="755"/>
      <c r="Z52" s="755"/>
      <c r="AA52" s="755"/>
      <c r="AB52" s="755"/>
    </row>
    <row r="53" spans="1:28" s="702" customFormat="1" ht="15">
      <c r="A53" s="760"/>
      <c r="B53" s="725"/>
      <c r="C53" s="834"/>
      <c r="D53" s="835"/>
      <c r="E53" s="836"/>
      <c r="G53" s="831">
        <f>S56</f>
        <v>1.4</v>
      </c>
      <c r="I53" s="836"/>
      <c r="K53" s="831">
        <f>V56</f>
        <v>3</v>
      </c>
      <c r="L53" s="836"/>
      <c r="N53" s="858"/>
      <c r="O53" s="838" t="e">
        <f>Y56</f>
        <v>#VALUE!</v>
      </c>
      <c r="P53" s="760"/>
      <c r="Q53" s="693"/>
      <c r="R53" s="755"/>
      <c r="S53" s="755"/>
      <c r="T53" s="755"/>
      <c r="U53" s="755"/>
      <c r="V53" s="755"/>
      <c r="W53" s="755"/>
      <c r="X53" s="755"/>
      <c r="Y53" s="755"/>
      <c r="Z53" s="755"/>
      <c r="AA53" s="755"/>
      <c r="AB53" s="755"/>
    </row>
    <row r="54" spans="1:28" s="702" customFormat="1" ht="14.25">
      <c r="A54" s="760"/>
      <c r="B54" s="725"/>
      <c r="C54" s="859"/>
      <c r="D54" s="859"/>
      <c r="E54" s="860"/>
      <c r="F54" s="844"/>
      <c r="G54" s="844"/>
      <c r="H54" s="844"/>
      <c r="I54" s="712"/>
      <c r="J54" s="712"/>
      <c r="K54" s="711"/>
      <c r="L54" s="711"/>
      <c r="M54" s="726"/>
      <c r="N54" s="726"/>
      <c r="O54" s="727"/>
      <c r="P54" s="760"/>
      <c r="Q54" s="693"/>
      <c r="AA54" s="755"/>
      <c r="AB54" s="755"/>
    </row>
    <row r="55" spans="1:28" s="702" customFormat="1" ht="15.75" customHeight="1">
      <c r="A55" s="693"/>
      <c r="B55" s="725"/>
      <c r="C55" s="726"/>
      <c r="D55" s="862"/>
      <c r="E55" s="710"/>
      <c r="F55" s="711"/>
      <c r="G55" s="711"/>
      <c r="H55" s="711"/>
      <c r="I55" s="863"/>
      <c r="J55" s="712"/>
      <c r="K55" s="711"/>
      <c r="L55" s="711"/>
      <c r="M55" s="726"/>
      <c r="N55" s="726"/>
      <c r="O55" s="727"/>
      <c r="P55" s="693"/>
      <c r="Q55" s="693"/>
      <c r="R55" s="731"/>
      <c r="S55" s="731" t="s">
        <v>46</v>
      </c>
      <c r="T55" s="731" t="s">
        <v>44</v>
      </c>
      <c r="U55" s="731"/>
      <c r="V55" s="731" t="s">
        <v>46</v>
      </c>
      <c r="W55" s="731" t="s">
        <v>44</v>
      </c>
      <c r="X55" s="731"/>
      <c r="Y55" s="731" t="s">
        <v>46</v>
      </c>
      <c r="Z55" s="731" t="s">
        <v>44</v>
      </c>
      <c r="AA55" s="755"/>
      <c r="AB55" s="755"/>
    </row>
    <row r="56" spans="1:28" s="702" customFormat="1" ht="15.75" customHeight="1">
      <c r="A56" s="693"/>
      <c r="B56" s="725"/>
      <c r="C56" s="708"/>
      <c r="D56" s="709"/>
      <c r="E56" s="710"/>
      <c r="F56" s="711"/>
      <c r="G56" s="711"/>
      <c r="H56" s="711"/>
      <c r="I56" s="863"/>
      <c r="J56" s="712"/>
      <c r="K56" s="711"/>
      <c r="L56" s="711"/>
      <c r="M56" s="726"/>
      <c r="N56" s="726"/>
      <c r="O56" s="727"/>
      <c r="P56" s="693"/>
      <c r="Q56" s="693"/>
      <c r="R56" s="729" t="s">
        <v>1862</v>
      </c>
      <c r="S56" s="840">
        <f>スコア表示!T117</f>
        <v>1.4</v>
      </c>
      <c r="T56" s="840">
        <f>スコア表示!AN117</f>
        <v>1.4104438642297648</v>
      </c>
      <c r="U56" s="729" t="s">
        <v>1052</v>
      </c>
      <c r="V56" s="840">
        <f>スコア表示!T140</f>
        <v>3</v>
      </c>
      <c r="W56" s="840">
        <f>スコア表示!AN140</f>
        <v>3</v>
      </c>
      <c r="X56" s="729" t="s">
        <v>1053</v>
      </c>
      <c r="Y56" s="840" t="e">
        <f>スコア表示!T159</f>
        <v>#VALUE!</v>
      </c>
      <c r="Z56" s="840" t="e">
        <f>スコア表示!AN159</f>
        <v>#VALUE!</v>
      </c>
      <c r="AA56" s="755"/>
      <c r="AB56" s="755"/>
    </row>
    <row r="57" spans="1:28" s="702" customFormat="1" ht="15.75" customHeight="1">
      <c r="A57" s="693"/>
      <c r="B57" s="865"/>
      <c r="C57" s="708"/>
      <c r="D57" s="709"/>
      <c r="E57" s="710"/>
      <c r="F57" s="711"/>
      <c r="G57" s="711"/>
      <c r="H57" s="711"/>
      <c r="I57" s="863"/>
      <c r="J57" s="712"/>
      <c r="K57" s="711"/>
      <c r="L57" s="711"/>
      <c r="M57" s="726"/>
      <c r="N57" s="726"/>
      <c r="O57" s="727"/>
      <c r="P57" s="693"/>
      <c r="Q57" s="693"/>
      <c r="Y57" s="861"/>
      <c r="AA57" s="755"/>
      <c r="AB57" s="755"/>
    </row>
    <row r="58" spans="1:28" s="702" customFormat="1" ht="15.75" customHeight="1">
      <c r="A58" s="693"/>
      <c r="B58" s="865"/>
      <c r="C58" s="708"/>
      <c r="D58" s="709"/>
      <c r="E58" s="710"/>
      <c r="F58" s="711"/>
      <c r="G58" s="711"/>
      <c r="H58" s="711"/>
      <c r="I58" s="863"/>
      <c r="J58" s="712"/>
      <c r="K58" s="711"/>
      <c r="L58" s="711"/>
      <c r="M58" s="726"/>
      <c r="N58" s="726"/>
      <c r="O58" s="727"/>
      <c r="P58" s="693"/>
      <c r="Q58" s="693"/>
      <c r="R58" s="731"/>
      <c r="S58" s="731" t="s">
        <v>46</v>
      </c>
      <c r="T58" s="731" t="s">
        <v>1863</v>
      </c>
      <c r="U58" s="731"/>
      <c r="V58" s="731" t="s">
        <v>46</v>
      </c>
      <c r="W58" s="731" t="s">
        <v>1863</v>
      </c>
      <c r="X58" s="731"/>
      <c r="Y58" s="841" t="s">
        <v>46</v>
      </c>
      <c r="Z58" s="731" t="s">
        <v>1863</v>
      </c>
      <c r="AA58" s="755"/>
      <c r="AB58" s="755"/>
    </row>
    <row r="59" spans="1:28" s="702" customFormat="1" ht="15.75" customHeight="1">
      <c r="A59" s="693"/>
      <c r="B59" s="865"/>
      <c r="C59" s="708"/>
      <c r="D59" s="709"/>
      <c r="E59" s="710"/>
      <c r="F59" s="711"/>
      <c r="G59" s="711"/>
      <c r="H59" s="711"/>
      <c r="I59" s="863"/>
      <c r="J59" s="712"/>
      <c r="K59" s="711"/>
      <c r="L59" s="711"/>
      <c r="M59" s="726"/>
      <c r="N59" s="726"/>
      <c r="O59" s="727"/>
      <c r="P59" s="693"/>
      <c r="Q59" s="693"/>
      <c r="R59" s="729" t="s">
        <v>1054</v>
      </c>
      <c r="S59" s="840">
        <f>スコア表示!T118</f>
        <v>0.1</v>
      </c>
      <c r="T59" s="731" t="str">
        <f>IF(S59=0,"N.A.","")</f>
        <v/>
      </c>
      <c r="U59" s="864" t="s">
        <v>1055</v>
      </c>
      <c r="V59" s="840">
        <f>スコア表示!T141</f>
        <v>3</v>
      </c>
      <c r="W59" s="731" t="str">
        <f>IF(V59=0,"N.A.","")</f>
        <v/>
      </c>
      <c r="X59" s="729" t="s">
        <v>1056</v>
      </c>
      <c r="Y59" s="840" t="e">
        <f>スコア表示!T160</f>
        <v>#VALUE!</v>
      </c>
      <c r="Z59" s="731" t="e">
        <f>IF(Y59=0,"N.A.","")</f>
        <v>#VALUE!</v>
      </c>
      <c r="AA59" s="755"/>
      <c r="AB59" s="755"/>
    </row>
    <row r="60" spans="1:28" s="702" customFormat="1" ht="15.75" customHeight="1">
      <c r="A60" s="693"/>
      <c r="B60" s="865"/>
      <c r="C60" s="708"/>
      <c r="D60" s="709"/>
      <c r="E60" s="710"/>
      <c r="F60" s="711"/>
      <c r="G60" s="711"/>
      <c r="H60" s="711"/>
      <c r="I60" s="863"/>
      <c r="J60" s="712"/>
      <c r="K60" s="711"/>
      <c r="L60" s="711"/>
      <c r="M60" s="726"/>
      <c r="N60" s="726"/>
      <c r="O60" s="727"/>
      <c r="P60" s="693"/>
      <c r="Q60" s="693"/>
      <c r="R60" s="729" t="s">
        <v>1057</v>
      </c>
      <c r="S60" s="840">
        <f>スコア表示!T119</f>
        <v>3</v>
      </c>
      <c r="T60" s="731" t="str">
        <f>IF(S60=0,"N.A.","")</f>
        <v/>
      </c>
      <c r="U60" s="864" t="s">
        <v>0</v>
      </c>
      <c r="V60" s="840">
        <f>スコア表示!T146</f>
        <v>3</v>
      </c>
      <c r="W60" s="731" t="str">
        <f>IF(V60=0,"N.A.","")</f>
        <v/>
      </c>
      <c r="X60" s="729" t="s">
        <v>1</v>
      </c>
      <c r="Y60" s="840">
        <f>スコア表示!T161</f>
        <v>3</v>
      </c>
      <c r="Z60" s="731" t="str">
        <f>IF(Y60=0,"N.A.","")</f>
        <v/>
      </c>
      <c r="AA60" s="755"/>
      <c r="AB60" s="755"/>
    </row>
    <row r="61" spans="1:28" s="702" customFormat="1" ht="15.75" customHeight="1" thickBot="1">
      <c r="A61" s="693"/>
      <c r="B61" s="869"/>
      <c r="C61" s="870"/>
      <c r="D61" s="871"/>
      <c r="E61" s="870"/>
      <c r="F61" s="872"/>
      <c r="G61" s="872"/>
      <c r="H61" s="872"/>
      <c r="I61" s="873"/>
      <c r="J61" s="767"/>
      <c r="K61" s="767"/>
      <c r="L61" s="767"/>
      <c r="M61" s="874"/>
      <c r="N61" s="874"/>
      <c r="O61" s="875"/>
      <c r="P61" s="693"/>
      <c r="Q61" s="693"/>
      <c r="R61" s="729" t="s">
        <v>2</v>
      </c>
      <c r="S61" s="840">
        <f>スコア表示!T124</f>
        <v>0.9</v>
      </c>
      <c r="T61" s="731" t="str">
        <f>IF(S61=0,"N.A.","")</f>
        <v/>
      </c>
      <c r="U61" s="866" t="s">
        <v>3</v>
      </c>
      <c r="V61" s="867">
        <f>スコア表示!T153</f>
        <v>3</v>
      </c>
      <c r="W61" s="731" t="str">
        <f>IF(V61=0,"N.A.","")</f>
        <v/>
      </c>
      <c r="X61" s="729" t="s">
        <v>4</v>
      </c>
      <c r="Y61" s="840">
        <f>スコア表示!T169</f>
        <v>3</v>
      </c>
      <c r="Z61" s="731" t="str">
        <f>IF(Y61=0,"N.A.","")</f>
        <v/>
      </c>
      <c r="AA61" s="755"/>
      <c r="AB61" s="755"/>
    </row>
    <row r="62" spans="1:28" s="702" customFormat="1" ht="6" customHeight="1" thickBot="1">
      <c r="A62" s="693"/>
      <c r="B62" s="877"/>
      <c r="C62" s="863"/>
      <c r="D62" s="878"/>
      <c r="E62" s="710"/>
      <c r="F62" s="711"/>
      <c r="G62" s="711"/>
      <c r="H62" s="711"/>
      <c r="I62" s="712"/>
      <c r="J62" s="712"/>
      <c r="K62" s="711"/>
      <c r="L62" s="711"/>
      <c r="M62" s="726"/>
      <c r="N62" s="726"/>
      <c r="O62" s="726"/>
      <c r="P62" s="693"/>
      <c r="Q62" s="760"/>
      <c r="R62" s="729" t="s">
        <v>5</v>
      </c>
      <c r="S62" s="840">
        <f>スコア表示!T133</f>
        <v>3</v>
      </c>
      <c r="T62" s="731" t="str">
        <f>IF(S62=0,"N.A.","")</f>
        <v/>
      </c>
      <c r="U62" s="755"/>
      <c r="V62" s="868"/>
      <c r="W62" s="868"/>
      <c r="X62" s="868"/>
      <c r="Y62" s="868"/>
      <c r="Z62" s="868"/>
      <c r="AA62" s="755"/>
      <c r="AB62" s="755"/>
    </row>
    <row r="63" spans="1:28" s="702" customFormat="1" ht="15.75">
      <c r="A63" s="693"/>
      <c r="B63" s="775" t="s">
        <v>6</v>
      </c>
      <c r="C63" s="879"/>
      <c r="D63" s="880"/>
      <c r="E63" s="879"/>
      <c r="F63" s="879"/>
      <c r="G63" s="879"/>
      <c r="H63" s="881"/>
      <c r="I63" s="882"/>
      <c r="J63" s="879"/>
      <c r="K63" s="879"/>
      <c r="L63" s="879"/>
      <c r="M63" s="883"/>
      <c r="N63" s="883"/>
      <c r="O63" s="884"/>
      <c r="P63" s="693"/>
      <c r="Q63" s="760"/>
      <c r="R63" s="755"/>
      <c r="S63" s="755"/>
      <c r="T63" s="755"/>
      <c r="U63" s="755"/>
      <c r="V63" s="868"/>
      <c r="W63" s="868"/>
      <c r="X63" s="868"/>
      <c r="Y63" s="868"/>
      <c r="Z63" s="868"/>
      <c r="AA63" s="755"/>
      <c r="AB63" s="755"/>
    </row>
    <row r="64" spans="1:28" s="702" customFormat="1" ht="14.25">
      <c r="A64" s="693"/>
      <c r="B64" s="885" t="s">
        <v>7</v>
      </c>
      <c r="C64" s="886"/>
      <c r="D64" s="887"/>
      <c r="E64" s="886"/>
      <c r="F64" s="886"/>
      <c r="G64" s="886"/>
      <c r="H64" s="886"/>
      <c r="I64" s="886"/>
      <c r="J64" s="886"/>
      <c r="K64" s="888"/>
      <c r="L64" s="889" t="s">
        <v>8</v>
      </c>
      <c r="M64" s="890"/>
      <c r="N64" s="890"/>
      <c r="O64" s="891"/>
      <c r="P64" s="693"/>
      <c r="Q64" s="760"/>
      <c r="R64" s="876"/>
      <c r="S64" s="755"/>
      <c r="T64" s="755"/>
      <c r="U64" s="755"/>
      <c r="V64" s="868"/>
      <c r="W64" s="868"/>
      <c r="X64" s="868"/>
      <c r="Y64" s="868"/>
      <c r="Z64" s="868"/>
      <c r="AA64" s="755"/>
      <c r="AB64" s="755"/>
    </row>
    <row r="65" spans="1:28" s="702" customFormat="1" ht="69.95" customHeight="1">
      <c r="A65" s="693"/>
      <c r="B65" s="2747" t="str">
        <f>IF(配慮事項!C7=0,"",配慮事項!C7)</f>
        <v>注）　改修における総合的なコンセプトを簡潔に記載してください。
　（省エネ改修、室内環境改善、外装の更新、高耐久化、情報化対応、コンバージョンなど）</v>
      </c>
      <c r="C65" s="2758"/>
      <c r="D65" s="2758"/>
      <c r="E65" s="2758"/>
      <c r="F65" s="2758"/>
      <c r="G65" s="2758"/>
      <c r="H65" s="2758"/>
      <c r="I65" s="2758"/>
      <c r="J65" s="2758"/>
      <c r="K65" s="2759"/>
      <c r="L65" s="2750" t="str">
        <f>IF(配慮事項!C14=0,"",配慮事項!C14)</f>
        <v>注）　上記の６つのカテゴリー以外に、改修工事における廃棄物削減・リサイクル、改修による歴史的建造物の延命など、建物自体の環境性能としてＣＡＳＢＥＥで評価し難い環境配慮の取組みがあれば、ここに記載してください。</v>
      </c>
      <c r="M65" s="2751"/>
      <c r="N65" s="2751"/>
      <c r="O65" s="2752"/>
      <c r="P65" s="693"/>
      <c r="Q65" s="760"/>
      <c r="R65" s="755"/>
      <c r="S65" s="755"/>
      <c r="T65" s="755"/>
      <c r="U65" s="755"/>
      <c r="V65" s="868"/>
      <c r="W65" s="868"/>
      <c r="X65" s="868"/>
      <c r="Y65" s="868"/>
      <c r="Z65" s="868"/>
      <c r="AA65" s="755"/>
      <c r="AB65" s="755"/>
    </row>
    <row r="66" spans="1:28" s="702" customFormat="1" ht="15">
      <c r="A66" s="693"/>
      <c r="B66" s="892" t="str">
        <f>配慮事項!B8</f>
        <v>Q1 
室内環境</v>
      </c>
      <c r="C66" s="890"/>
      <c r="D66" s="890"/>
      <c r="E66" s="890"/>
      <c r="F66" s="890"/>
      <c r="G66" s="893"/>
      <c r="H66" s="894" t="str">
        <f>配慮事項!B9</f>
        <v>Q2 
サービス性能</v>
      </c>
      <c r="I66" s="895"/>
      <c r="J66" s="895"/>
      <c r="K66" s="896"/>
      <c r="L66" s="897" t="str">
        <f>配慮事項!B10</f>
        <v>Q3 
室外環境（敷地内）</v>
      </c>
      <c r="M66" s="898"/>
      <c r="N66" s="899"/>
      <c r="O66" s="900"/>
      <c r="P66" s="693"/>
      <c r="Q66" s="760"/>
      <c r="R66" s="755"/>
      <c r="S66" s="755"/>
      <c r="T66" s="755"/>
      <c r="U66" s="755"/>
      <c r="V66" s="755"/>
      <c r="W66" s="755"/>
      <c r="X66" s="755"/>
      <c r="Y66" s="755"/>
      <c r="Z66" s="755"/>
      <c r="AA66" s="755"/>
      <c r="AB66" s="755"/>
    </row>
    <row r="67" spans="1:28" s="702" customFormat="1" ht="69.95" customHeight="1">
      <c r="A67" s="693"/>
      <c r="B67" s="2753" t="str">
        <f>IF(配慮事項!C8=0,"",配慮事項!C8)</f>
        <v>注）　改修における「Q1　室内環境」に対する配慮事項を簡潔に記載してください。</v>
      </c>
      <c r="C67" s="2751"/>
      <c r="D67" s="2751"/>
      <c r="E67" s="2751"/>
      <c r="F67" s="2751"/>
      <c r="G67" s="2757"/>
      <c r="H67" s="2756" t="str">
        <f>IF(配慮事項!C9=0,"",配慮事項!C9)</f>
        <v>注）　改修における「Q2　サービス性能」に対する配慮事項を簡潔に記載してください。</v>
      </c>
      <c r="I67" s="2751"/>
      <c r="J67" s="2751"/>
      <c r="K67" s="2757"/>
      <c r="L67" s="2756" t="str">
        <f>IF(配慮事項!C10=0,"",配慮事項!C10)</f>
        <v>注）　改修における「Q3　室外環境（敷地内）」に対する配慮事項を簡潔に記載してください。</v>
      </c>
      <c r="M67" s="2751"/>
      <c r="N67" s="2751"/>
      <c r="O67" s="2752"/>
      <c r="P67" s="693"/>
      <c r="Q67" s="760"/>
      <c r="R67" s="755"/>
      <c r="S67" s="755"/>
      <c r="T67" s="755"/>
      <c r="U67" s="755"/>
      <c r="V67" s="755"/>
      <c r="W67" s="755"/>
      <c r="X67" s="755"/>
      <c r="Y67" s="755"/>
      <c r="Z67" s="755"/>
      <c r="AA67" s="755"/>
      <c r="AB67" s="755"/>
    </row>
    <row r="68" spans="1:28" s="702" customFormat="1" ht="15">
      <c r="A68" s="693"/>
      <c r="B68" s="901" t="str">
        <f>配慮事項!B11</f>
        <v>LR1 
エネルギー</v>
      </c>
      <c r="C68" s="902"/>
      <c r="D68" s="887"/>
      <c r="E68" s="887"/>
      <c r="F68" s="887"/>
      <c r="G68" s="903"/>
      <c r="H68" s="904" t="str">
        <f>配慮事項!B12</f>
        <v>LR2 
資源・マテリアル</v>
      </c>
      <c r="I68" s="890"/>
      <c r="J68" s="890"/>
      <c r="K68" s="893"/>
      <c r="L68" s="905" t="str">
        <f>配慮事項!B13</f>
        <v>LR3 
敷地外環境</v>
      </c>
      <c r="M68" s="902"/>
      <c r="N68" s="887"/>
      <c r="O68" s="906"/>
      <c r="P68" s="693"/>
      <c r="Q68" s="760"/>
      <c r="R68" s="755"/>
      <c r="S68" s="755"/>
      <c r="T68" s="755"/>
      <c r="U68" s="755"/>
      <c r="V68" s="755"/>
      <c r="W68" s="755"/>
      <c r="X68" s="755"/>
      <c r="Y68" s="755"/>
      <c r="Z68" s="755"/>
      <c r="AA68" s="755"/>
      <c r="AB68" s="755"/>
    </row>
    <row r="69" spans="1:28" s="702" customFormat="1" ht="69.95" customHeight="1" thickBot="1">
      <c r="A69" s="693"/>
      <c r="B69" s="2732" t="str">
        <f>IF(配慮事項!C11=0,"",配慮事項!C11)</f>
        <v>注）　改修における「LR1　エネルギー」に対する配慮事項を簡潔に記載してください。</v>
      </c>
      <c r="C69" s="2736"/>
      <c r="D69" s="2736"/>
      <c r="E69" s="2736"/>
      <c r="F69" s="2736"/>
      <c r="G69" s="2737"/>
      <c r="H69" s="2735" t="str">
        <f>IF(配慮事項!C12=0,"",配慮事項!C12)</f>
        <v>注）　改修における「LR2　資源・マテリアル」に対する配慮事項を簡潔に記載してください。</v>
      </c>
      <c r="I69" s="2736"/>
      <c r="J69" s="2736"/>
      <c r="K69" s="2737"/>
      <c r="L69" s="2735" t="str">
        <f>IF(配慮事項!C13=0,"",配慮事項!C13)</f>
        <v>注）　改修における「LR3　敷地外環境」に対する配慮事項を簡潔に記載してください。</v>
      </c>
      <c r="M69" s="2736"/>
      <c r="N69" s="2736"/>
      <c r="O69" s="2738"/>
      <c r="P69" s="693"/>
      <c r="Q69" s="760"/>
      <c r="R69" s="755"/>
      <c r="S69" s="755"/>
      <c r="T69" s="755"/>
      <c r="U69" s="755"/>
      <c r="V69" s="755"/>
      <c r="W69" s="755"/>
      <c r="X69" s="755"/>
      <c r="Y69" s="755"/>
      <c r="Z69" s="755"/>
      <c r="AA69" s="755"/>
      <c r="AB69" s="755"/>
    </row>
    <row r="70" spans="1:28" s="702" customFormat="1" ht="5.25" customHeight="1">
      <c r="A70" s="693"/>
      <c r="B70" s="693"/>
      <c r="C70" s="693"/>
      <c r="D70" s="693"/>
      <c r="E70" s="693"/>
      <c r="F70" s="693"/>
      <c r="G70" s="693"/>
      <c r="H70" s="693"/>
      <c r="I70" s="693"/>
      <c r="J70" s="693"/>
      <c r="K70" s="693"/>
      <c r="L70" s="693"/>
      <c r="M70" s="693"/>
      <c r="N70" s="693"/>
      <c r="O70" s="693"/>
      <c r="P70" s="693"/>
      <c r="Q70" s="693"/>
      <c r="R70" s="755"/>
      <c r="S70" s="755"/>
      <c r="T70" s="755"/>
      <c r="U70" s="755"/>
      <c r="V70" s="755"/>
      <c r="W70" s="755"/>
      <c r="X70" s="755"/>
      <c r="Y70" s="755"/>
      <c r="Z70" s="755"/>
      <c r="AA70" s="755"/>
      <c r="AB70" s="755"/>
    </row>
    <row r="71" spans="1:28" s="702" customFormat="1" ht="16.5" hidden="1" thickBot="1">
      <c r="A71" s="693"/>
      <c r="B71" s="907" t="s">
        <v>9</v>
      </c>
      <c r="C71" s="908"/>
      <c r="D71" s="909"/>
      <c r="E71" s="908"/>
      <c r="F71" s="908"/>
      <c r="G71" s="908"/>
      <c r="H71" s="908"/>
      <c r="I71" s="908"/>
      <c r="J71" s="910"/>
      <c r="K71" s="911"/>
      <c r="L71" s="911"/>
      <c r="M71" s="911"/>
      <c r="N71" s="912"/>
      <c r="O71" s="913" t="s">
        <v>10</v>
      </c>
      <c r="P71" s="693"/>
      <c r="Q71" s="693"/>
      <c r="R71" s="755"/>
      <c r="S71" s="755"/>
      <c r="T71" s="755"/>
      <c r="U71" s="755"/>
      <c r="V71" s="755"/>
      <c r="W71" s="755"/>
      <c r="X71" s="755"/>
      <c r="Y71" s="755"/>
      <c r="Z71" s="755"/>
      <c r="AA71" s="755"/>
      <c r="AB71" s="755"/>
    </row>
    <row r="72" spans="1:28" s="702" customFormat="1" ht="15.75" hidden="1">
      <c r="A72" s="693"/>
      <c r="B72" s="914" t="s">
        <v>11</v>
      </c>
      <c r="C72" s="915"/>
      <c r="D72" s="916"/>
      <c r="E72" s="915"/>
      <c r="F72" s="915"/>
      <c r="G72" s="915"/>
      <c r="H72" s="915"/>
      <c r="I72" s="915"/>
      <c r="J72" s="917"/>
      <c r="K72" s="918"/>
      <c r="L72" s="919"/>
      <c r="M72" s="919"/>
      <c r="N72" s="917"/>
      <c r="O72" s="920" t="s">
        <v>1864</v>
      </c>
      <c r="P72" s="693"/>
      <c r="Q72" s="693"/>
      <c r="R72" s="755"/>
      <c r="S72" s="755"/>
      <c r="T72" s="755"/>
      <c r="U72" s="755"/>
      <c r="V72" s="755"/>
      <c r="W72" s="755"/>
      <c r="X72" s="755"/>
      <c r="Y72" s="755"/>
      <c r="Z72" s="755"/>
      <c r="AA72" s="755"/>
      <c r="AB72" s="755"/>
    </row>
    <row r="73" spans="1:28" s="702" customFormat="1" ht="14.25" hidden="1">
      <c r="A73" s="693"/>
      <c r="B73" s="921"/>
      <c r="C73" s="922"/>
      <c r="D73" s="923"/>
      <c r="E73" s="924" t="s">
        <v>12</v>
      </c>
      <c r="F73" s="925"/>
      <c r="G73" s="925"/>
      <c r="H73" s="924" t="s">
        <v>13</v>
      </c>
      <c r="I73" s="925"/>
      <c r="J73" s="924" t="s">
        <v>14</v>
      </c>
      <c r="K73" s="926"/>
      <c r="L73" s="924" t="s">
        <v>15</v>
      </c>
      <c r="M73" s="925"/>
      <c r="N73" s="925"/>
      <c r="O73" s="927" t="s">
        <v>1865</v>
      </c>
      <c r="P73" s="693"/>
      <c r="Q73" s="693"/>
      <c r="R73" s="755"/>
      <c r="S73" s="755"/>
      <c r="T73" s="755"/>
      <c r="U73" s="755"/>
      <c r="V73" s="755"/>
      <c r="W73" s="755"/>
      <c r="X73" s="755"/>
      <c r="Y73" s="755"/>
      <c r="Z73" s="755"/>
      <c r="AA73" s="755"/>
      <c r="AB73" s="755"/>
    </row>
    <row r="74" spans="1:28" s="702" customFormat="1" ht="14.25" hidden="1">
      <c r="A74" s="693"/>
      <c r="B74" s="928"/>
      <c r="C74" s="929" t="s">
        <v>16</v>
      </c>
      <c r="D74" s="930"/>
      <c r="E74" s="931"/>
      <c r="F74" s="932" t="s">
        <v>17</v>
      </c>
      <c r="G74" s="933"/>
      <c r="H74" s="931"/>
      <c r="I74" s="932" t="s">
        <v>18</v>
      </c>
      <c r="J74" s="934"/>
      <c r="K74" s="932" t="s">
        <v>17</v>
      </c>
      <c r="L74" s="935"/>
      <c r="M74" s="936"/>
      <c r="N74" s="937"/>
      <c r="O74" s="938"/>
      <c r="P74" s="693"/>
      <c r="Q74" s="693"/>
      <c r="R74" s="755"/>
      <c r="S74" s="755"/>
      <c r="T74" s="755"/>
      <c r="U74" s="755"/>
      <c r="V74" s="755"/>
      <c r="W74" s="755"/>
      <c r="X74" s="755"/>
      <c r="Y74" s="755"/>
      <c r="Z74" s="755"/>
      <c r="AA74" s="755"/>
      <c r="AB74" s="755"/>
    </row>
    <row r="75" spans="1:28" s="702" customFormat="1" ht="15.75" hidden="1">
      <c r="A75" s="693"/>
      <c r="B75" s="928"/>
      <c r="C75" s="939" t="s">
        <v>19</v>
      </c>
      <c r="D75" s="940"/>
      <c r="E75" s="941"/>
      <c r="F75" s="844" t="s">
        <v>20</v>
      </c>
      <c r="G75" s="844"/>
      <c r="H75" s="941"/>
      <c r="I75" s="844" t="s">
        <v>21</v>
      </c>
      <c r="J75" s="942"/>
      <c r="K75" s="844" t="s">
        <v>20</v>
      </c>
      <c r="L75" s="943"/>
      <c r="N75" s="944"/>
      <c r="O75" s="945"/>
      <c r="P75" s="693"/>
      <c r="Q75" s="693"/>
      <c r="W75" s="755"/>
      <c r="X75" s="755"/>
      <c r="Y75" s="755"/>
      <c r="Z75" s="755"/>
      <c r="AA75" s="755"/>
      <c r="AB75" s="755"/>
    </row>
    <row r="76" spans="1:28" s="702" customFormat="1" ht="14.25" hidden="1">
      <c r="A76" s="946"/>
      <c r="B76" s="947"/>
      <c r="C76" s="948" t="s">
        <v>22</v>
      </c>
      <c r="D76" s="940"/>
      <c r="E76" s="941"/>
      <c r="F76" s="933" t="s">
        <v>23</v>
      </c>
      <c r="G76" s="933"/>
      <c r="H76" s="941"/>
      <c r="I76" s="933" t="s">
        <v>24</v>
      </c>
      <c r="J76" s="942"/>
      <c r="K76" s="933" t="s">
        <v>23</v>
      </c>
      <c r="L76" s="943"/>
      <c r="N76" s="949"/>
      <c r="O76" s="945"/>
      <c r="P76" s="946"/>
      <c r="Q76" s="693"/>
      <c r="W76" s="755"/>
      <c r="X76" s="755"/>
      <c r="Y76" s="755"/>
      <c r="Z76" s="755"/>
      <c r="AA76" s="755"/>
      <c r="AB76" s="755"/>
    </row>
    <row r="77" spans="1:28" s="702" customFormat="1" ht="15.75" hidden="1">
      <c r="A77" s="693"/>
      <c r="B77" s="928"/>
      <c r="C77" s="950" t="s">
        <v>25</v>
      </c>
      <c r="D77" s="940"/>
      <c r="E77" s="941"/>
      <c r="F77" s="844" t="s">
        <v>20</v>
      </c>
      <c r="G77" s="844"/>
      <c r="H77" s="941"/>
      <c r="I77" s="844" t="s">
        <v>21</v>
      </c>
      <c r="J77" s="942"/>
      <c r="K77" s="844" t="s">
        <v>20</v>
      </c>
      <c r="L77" s="943"/>
      <c r="N77" s="944"/>
      <c r="O77" s="951"/>
      <c r="P77" s="693"/>
      <c r="Q77" s="693"/>
      <c r="W77" s="755"/>
      <c r="X77" s="755"/>
      <c r="Y77" s="755"/>
      <c r="Z77" s="755"/>
      <c r="AA77" s="755"/>
      <c r="AB77" s="755"/>
    </row>
    <row r="78" spans="1:28" s="702" customFormat="1" ht="14.25" hidden="1">
      <c r="A78" s="693"/>
      <c r="B78" s="928"/>
      <c r="C78" s="950" t="s">
        <v>26</v>
      </c>
      <c r="D78" s="940"/>
      <c r="E78" s="941"/>
      <c r="F78" s="521" t="s">
        <v>27</v>
      </c>
      <c r="G78" s="844"/>
      <c r="H78" s="941"/>
      <c r="I78" s="521" t="s">
        <v>28</v>
      </c>
      <c r="J78" s="942"/>
      <c r="K78" s="521" t="s">
        <v>27</v>
      </c>
      <c r="L78" s="943"/>
      <c r="N78" s="944"/>
      <c r="O78" s="727"/>
      <c r="P78" s="693"/>
      <c r="Q78" s="693"/>
      <c r="W78" s="755"/>
      <c r="X78" s="755"/>
      <c r="Y78" s="755"/>
      <c r="Z78" s="755"/>
      <c r="AA78" s="755"/>
      <c r="AB78" s="755"/>
    </row>
    <row r="79" spans="1:28" s="702" customFormat="1" ht="14.25" hidden="1">
      <c r="A79" s="693"/>
      <c r="B79" s="928"/>
      <c r="C79" s="950" t="s">
        <v>29</v>
      </c>
      <c r="D79" s="940"/>
      <c r="E79" s="941"/>
      <c r="F79" s="521" t="s">
        <v>27</v>
      </c>
      <c r="G79" s="844"/>
      <c r="H79" s="941"/>
      <c r="I79" s="521" t="s">
        <v>28</v>
      </c>
      <c r="J79" s="942"/>
      <c r="K79" s="521" t="s">
        <v>27</v>
      </c>
      <c r="L79" s="943"/>
      <c r="N79" s="944"/>
      <c r="O79" s="945"/>
      <c r="P79" s="693"/>
      <c r="Q79" s="693"/>
      <c r="W79" s="755"/>
      <c r="X79" s="755"/>
      <c r="Y79" s="755"/>
      <c r="Z79" s="755"/>
      <c r="AA79" s="755"/>
      <c r="AB79" s="755"/>
    </row>
    <row r="80" spans="1:28" s="702" customFormat="1" ht="15" hidden="1" thickBot="1">
      <c r="A80" s="693"/>
      <c r="B80" s="952"/>
      <c r="C80" s="953"/>
      <c r="D80" s="954"/>
      <c r="E80" s="955"/>
      <c r="F80" s="956"/>
      <c r="G80" s="870"/>
      <c r="H80" s="955"/>
      <c r="I80" s="956"/>
      <c r="J80" s="957"/>
      <c r="K80" s="956"/>
      <c r="L80" s="943"/>
      <c r="N80" s="958"/>
      <c r="O80" s="959"/>
      <c r="P80" s="693"/>
      <c r="Q80" s="693"/>
      <c r="W80" s="755"/>
      <c r="X80" s="755"/>
      <c r="Y80" s="755"/>
      <c r="Z80" s="755"/>
      <c r="AA80" s="755"/>
      <c r="AB80" s="755"/>
    </row>
    <row r="81" spans="1:42" s="702" customFormat="1" ht="16.5" hidden="1" thickBot="1">
      <c r="A81" s="693"/>
      <c r="B81" s="218" t="s">
        <v>30</v>
      </c>
      <c r="C81" s="960"/>
      <c r="D81" s="961"/>
      <c r="E81" s="962"/>
      <c r="F81" s="963"/>
      <c r="G81" s="963"/>
      <c r="H81" s="963"/>
      <c r="I81" s="963"/>
      <c r="J81" s="963"/>
      <c r="K81" s="963"/>
      <c r="L81" s="963"/>
      <c r="M81" s="963"/>
      <c r="N81" s="963"/>
      <c r="O81" s="964"/>
      <c r="P81" s="693"/>
      <c r="Q81" s="693"/>
      <c r="W81" s="755"/>
      <c r="X81" s="755"/>
      <c r="Y81" s="755"/>
      <c r="Z81" s="755"/>
      <c r="AA81" s="755"/>
      <c r="AB81" s="755"/>
    </row>
    <row r="82" spans="1:42" s="702" customFormat="1" ht="15.75" hidden="1">
      <c r="A82" s="693"/>
      <c r="B82" s="965" t="s">
        <v>31</v>
      </c>
      <c r="C82" s="966"/>
      <c r="D82" s="967"/>
      <c r="E82" s="968"/>
      <c r="F82" s="969"/>
      <c r="G82" s="969"/>
      <c r="H82" s="969"/>
      <c r="I82" s="967"/>
      <c r="J82" s="970" t="s">
        <v>32</v>
      </c>
      <c r="K82" s="971"/>
      <c r="L82" s="972"/>
      <c r="M82" s="966"/>
      <c r="N82" s="966"/>
      <c r="O82" s="973"/>
      <c r="P82" s="693"/>
      <c r="Q82" s="693"/>
      <c r="W82" s="755"/>
      <c r="X82" s="755"/>
      <c r="Y82" s="755"/>
      <c r="Z82" s="755"/>
      <c r="AA82" s="755"/>
      <c r="AB82" s="755"/>
    </row>
    <row r="83" spans="1:42" s="702" customFormat="1" ht="15" hidden="1">
      <c r="A83" s="693"/>
      <c r="B83" s="974"/>
      <c r="C83" s="975" t="s">
        <v>33</v>
      </c>
      <c r="D83" s="976"/>
      <c r="E83" s="976"/>
      <c r="F83" s="976"/>
      <c r="G83" s="976"/>
      <c r="H83" s="976"/>
      <c r="I83" s="976"/>
      <c r="J83" s="977" t="s">
        <v>34</v>
      </c>
      <c r="L83" s="978"/>
      <c r="M83" s="784"/>
      <c r="N83" s="784"/>
      <c r="O83" s="979"/>
      <c r="P83" s="693"/>
      <c r="Q83" s="693"/>
      <c r="W83" s="755"/>
      <c r="X83" s="755"/>
      <c r="Y83" s="755"/>
      <c r="Z83" s="755"/>
      <c r="AA83" s="755"/>
      <c r="AB83" s="755"/>
    </row>
    <row r="84" spans="1:42" s="702" customFormat="1" ht="15" hidden="1">
      <c r="A84" s="693"/>
      <c r="B84" s="974"/>
      <c r="C84" s="975"/>
      <c r="D84" s="976"/>
      <c r="E84" s="976"/>
      <c r="F84" s="976"/>
      <c r="G84" s="976"/>
      <c r="H84" s="976"/>
      <c r="I84" s="976"/>
      <c r="J84" s="977"/>
      <c r="L84" s="978"/>
      <c r="M84" s="784"/>
      <c r="N84" s="784"/>
      <c r="O84" s="979"/>
      <c r="P84" s="693"/>
      <c r="Q84" s="693"/>
      <c r="W84" s="755"/>
      <c r="X84" s="755"/>
      <c r="Y84" s="755"/>
      <c r="Z84" s="755"/>
      <c r="AA84" s="755"/>
      <c r="AB84" s="755"/>
    </row>
    <row r="85" spans="1:42" s="702" customFormat="1" ht="15" hidden="1" thickBot="1">
      <c r="A85" s="693"/>
      <c r="B85" s="980"/>
      <c r="C85" s="981"/>
      <c r="D85" s="982"/>
      <c r="E85" s="982"/>
      <c r="F85" s="982"/>
      <c r="G85" s="982"/>
      <c r="H85" s="982"/>
      <c r="I85" s="982"/>
      <c r="J85" s="983"/>
      <c r="K85" s="766"/>
      <c r="L85" s="984"/>
      <c r="M85" s="984"/>
      <c r="N85" s="984"/>
      <c r="O85" s="985"/>
      <c r="P85" s="693"/>
      <c r="Q85" s="693"/>
      <c r="W85" s="701"/>
      <c r="X85" s="701"/>
      <c r="Y85" s="701"/>
      <c r="Z85" s="701"/>
      <c r="AA85" s="701"/>
      <c r="AB85" s="701"/>
    </row>
    <row r="86" spans="1:42" ht="14.25" hidden="1">
      <c r="B86" s="844"/>
      <c r="C86" s="844"/>
      <c r="D86" s="859"/>
      <c r="E86" s="844"/>
      <c r="F86" s="711"/>
      <c r="G86" s="711"/>
      <c r="H86" s="711"/>
      <c r="I86" s="712"/>
      <c r="J86" s="712"/>
      <c r="K86" s="711"/>
      <c r="L86" s="711"/>
      <c r="M86" s="726"/>
      <c r="N86" s="726"/>
      <c r="O86" s="726"/>
      <c r="S86" s="702"/>
      <c r="W86" s="701"/>
      <c r="X86" s="701"/>
      <c r="Y86" s="701"/>
      <c r="Z86" s="701"/>
      <c r="AA86" s="701"/>
      <c r="AB86" s="701"/>
      <c r="AC86" s="702"/>
      <c r="AD86" s="702"/>
      <c r="AE86" s="702"/>
      <c r="AF86" s="702"/>
      <c r="AG86" s="702"/>
      <c r="AH86" s="702"/>
      <c r="AI86" s="702"/>
      <c r="AJ86" s="702"/>
      <c r="AK86" s="702"/>
      <c r="AL86" s="702"/>
      <c r="AM86" s="702"/>
      <c r="AN86" s="702"/>
      <c r="AO86" s="702"/>
      <c r="AP86" s="702"/>
    </row>
    <row r="87" spans="1:42" ht="14.25" hidden="1">
      <c r="B87" s="988"/>
      <c r="C87" s="989"/>
      <c r="D87" s="990"/>
      <c r="E87" s="991"/>
      <c r="F87" s="991"/>
      <c r="G87" s="991"/>
      <c r="H87" s="991"/>
      <c r="I87" s="759"/>
      <c r="J87" s="992"/>
      <c r="K87" s="759"/>
      <c r="L87" s="993"/>
      <c r="M87" s="759"/>
      <c r="N87" s="994"/>
      <c r="O87" s="995"/>
      <c r="R87" s="701"/>
      <c r="S87" s="701"/>
      <c r="T87" s="701"/>
      <c r="U87" s="701"/>
      <c r="V87" s="701"/>
      <c r="W87" s="701"/>
      <c r="X87" s="701"/>
      <c r="Y87" s="701"/>
      <c r="Z87" s="701"/>
      <c r="AA87" s="701"/>
      <c r="AB87" s="701"/>
      <c r="AC87" s="702"/>
      <c r="AD87" s="702"/>
      <c r="AE87" s="702"/>
      <c r="AF87" s="702"/>
      <c r="AG87" s="702"/>
      <c r="AH87" s="702"/>
      <c r="AI87" s="702"/>
      <c r="AJ87" s="702"/>
      <c r="AK87" s="702"/>
      <c r="AL87" s="702"/>
      <c r="AM87" s="702"/>
      <c r="AN87" s="702"/>
      <c r="AO87" s="702"/>
      <c r="AP87" s="702"/>
    </row>
    <row r="88" spans="1:42" ht="14.25" hidden="1">
      <c r="B88" s="996"/>
      <c r="C88" s="997" t="s">
        <v>35</v>
      </c>
      <c r="D88" s="998" t="s">
        <v>1866</v>
      </c>
      <c r="E88" s="999" t="s">
        <v>1867</v>
      </c>
      <c r="G88" s="702"/>
      <c r="H88" s="999" t="s">
        <v>1868</v>
      </c>
      <c r="J88" s="1002" t="s">
        <v>1869</v>
      </c>
      <c r="L88" s="1002" t="s">
        <v>1870</v>
      </c>
      <c r="N88" s="1004" t="s">
        <v>1871</v>
      </c>
      <c r="O88" s="1005"/>
      <c r="R88" s="701"/>
      <c r="S88" s="701"/>
      <c r="T88" s="701"/>
      <c r="U88" s="701"/>
      <c r="V88" s="701"/>
      <c r="W88" s="701"/>
      <c r="X88" s="701"/>
      <c r="Y88" s="701"/>
      <c r="Z88" s="701"/>
      <c r="AA88" s="701"/>
      <c r="AB88" s="701"/>
      <c r="AC88" s="702"/>
      <c r="AD88" s="702"/>
      <c r="AE88" s="702"/>
      <c r="AF88" s="702"/>
      <c r="AG88" s="702"/>
      <c r="AH88" s="702"/>
      <c r="AI88" s="702"/>
      <c r="AJ88" s="702"/>
      <c r="AK88" s="702"/>
      <c r="AL88" s="702"/>
      <c r="AM88" s="702"/>
      <c r="AN88" s="702"/>
      <c r="AO88" s="702"/>
      <c r="AP88" s="702"/>
    </row>
    <row r="89" spans="1:42" ht="14.25" hidden="1">
      <c r="A89" s="760"/>
      <c r="B89" s="996"/>
      <c r="C89" s="997" t="s">
        <v>36</v>
      </c>
      <c r="D89" s="1006" t="s">
        <v>37</v>
      </c>
      <c r="E89" s="1007"/>
      <c r="F89" s="1008"/>
      <c r="G89" s="1008"/>
      <c r="H89" s="1008"/>
      <c r="I89" s="1009"/>
      <c r="J89" s="1009"/>
      <c r="K89" s="1010"/>
      <c r="L89" s="1010"/>
      <c r="M89" s="726"/>
      <c r="N89" s="726"/>
      <c r="O89" s="1011"/>
      <c r="P89" s="760"/>
      <c r="Q89" s="760"/>
    </row>
    <row r="90" spans="1:42" ht="14.25" hidden="1">
      <c r="B90" s="1012"/>
      <c r="C90" s="997" t="s">
        <v>38</v>
      </c>
      <c r="D90" s="1013" t="s">
        <v>39</v>
      </c>
      <c r="E90" s="1014"/>
      <c r="G90" s="1015"/>
      <c r="O90" s="1011"/>
    </row>
    <row r="91" spans="1:42" ht="14.25" hidden="1">
      <c r="B91" s="1012"/>
      <c r="C91" s="997"/>
      <c r="D91" s="1013" t="s">
        <v>40</v>
      </c>
      <c r="E91" s="1014"/>
      <c r="G91" s="1015"/>
      <c r="O91" s="1011"/>
    </row>
    <row r="92" spans="1:42" ht="14.25" hidden="1">
      <c r="B92" s="1016"/>
      <c r="C92" s="1017" t="s">
        <v>41</v>
      </c>
      <c r="D92" s="1018" t="s">
        <v>1872</v>
      </c>
      <c r="E92" s="1019"/>
      <c r="F92" s="1020"/>
      <c r="G92" s="1021"/>
      <c r="H92" s="1020"/>
      <c r="I92" s="1022"/>
      <c r="J92" s="1022"/>
      <c r="K92" s="1020"/>
      <c r="L92" s="1020"/>
      <c r="M92" s="1023"/>
      <c r="N92" s="1023"/>
      <c r="O92" s="1024"/>
    </row>
    <row r="93" spans="1:42" ht="14.25" hidden="1">
      <c r="G93" s="1015"/>
      <c r="O93" s="726"/>
    </row>
    <row r="94" spans="1:42" ht="14.25" hidden="1">
      <c r="G94" s="1015"/>
      <c r="L94" s="1015"/>
      <c r="M94" s="726"/>
      <c r="O94" s="726"/>
    </row>
    <row r="95" spans="1:42" ht="14.25" hidden="1">
      <c r="E95" s="1003"/>
      <c r="F95" s="1026"/>
      <c r="G95" s="1015"/>
      <c r="H95" s="1015"/>
      <c r="I95" s="1010"/>
      <c r="L95" s="1015"/>
      <c r="M95" s="726"/>
      <c r="O95" s="726"/>
    </row>
    <row r="96" spans="1:42" ht="14.25" hidden="1">
      <c r="C96" s="1027"/>
      <c r="D96" s="862"/>
      <c r="E96" s="1003"/>
      <c r="F96" s="1026"/>
      <c r="G96" s="1015"/>
      <c r="H96" s="1015"/>
      <c r="I96" s="1010"/>
      <c r="J96" s="1010"/>
      <c r="K96" s="1015"/>
      <c r="L96" s="1015"/>
      <c r="M96" s="726"/>
      <c r="O96" s="726"/>
    </row>
    <row r="97" spans="2:15" ht="14.25" hidden="1">
      <c r="B97" s="1028"/>
      <c r="C97" s="1029"/>
      <c r="D97" s="1030"/>
      <c r="E97" s="1003"/>
      <c r="F97" s="1026"/>
      <c r="G97" s="1008"/>
      <c r="H97" s="1008"/>
      <c r="I97" s="1009"/>
      <c r="J97" s="1009"/>
      <c r="K97" s="1010"/>
      <c r="L97" s="1010"/>
      <c r="M97" s="726"/>
      <c r="O97" s="726"/>
    </row>
    <row r="98" spans="2:15" ht="14.25" hidden="1">
      <c r="B98" s="1028"/>
      <c r="C98" s="1028"/>
      <c r="D98" s="1031"/>
      <c r="G98" s="1008"/>
      <c r="H98" s="1008"/>
      <c r="I98" s="1009"/>
      <c r="J98" s="1009"/>
      <c r="K98" s="1010"/>
      <c r="L98" s="1010"/>
      <c r="M98" s="726"/>
      <c r="N98" s="726"/>
      <c r="O98" s="726"/>
    </row>
    <row r="99" spans="2:15" ht="14.25" hidden="1">
      <c r="E99" s="710"/>
      <c r="F99" s="711"/>
      <c r="G99" s="711"/>
      <c r="H99" s="711"/>
      <c r="I99" s="712"/>
      <c r="J99" s="712"/>
      <c r="K99" s="711"/>
      <c r="L99" s="711"/>
      <c r="M99" s="726"/>
      <c r="N99" s="726"/>
      <c r="O99" s="726"/>
    </row>
    <row r="100" spans="2:15" ht="14.25" hidden="1">
      <c r="E100" s="710"/>
      <c r="F100" s="711"/>
      <c r="G100" s="711"/>
      <c r="H100" s="711"/>
      <c r="I100" s="712"/>
      <c r="J100" s="712"/>
      <c r="K100" s="711"/>
      <c r="L100" s="711"/>
      <c r="M100" s="726"/>
      <c r="N100" s="726"/>
      <c r="O100" s="726"/>
    </row>
    <row r="101" spans="2:15" ht="14.25" hidden="1">
      <c r="E101" s="710"/>
      <c r="F101" s="711"/>
      <c r="G101" s="711"/>
      <c r="H101" s="711"/>
      <c r="I101" s="712"/>
      <c r="J101" s="712"/>
      <c r="K101" s="711"/>
      <c r="L101" s="711"/>
      <c r="M101" s="726"/>
      <c r="N101" s="726"/>
      <c r="O101" s="726"/>
    </row>
    <row r="102" spans="2:15" ht="14.25" hidden="1">
      <c r="E102" s="710"/>
      <c r="F102" s="711"/>
      <c r="G102" s="711"/>
      <c r="H102" s="711"/>
      <c r="I102" s="712"/>
      <c r="J102" s="712"/>
      <c r="K102" s="711"/>
      <c r="L102" s="711"/>
      <c r="M102" s="726"/>
      <c r="N102" s="726"/>
      <c r="O102" s="726"/>
    </row>
    <row r="103" spans="2:15" ht="14.25" hidden="1">
      <c r="E103" s="710"/>
      <c r="F103" s="711"/>
      <c r="G103" s="711"/>
      <c r="H103" s="711"/>
      <c r="I103" s="712"/>
      <c r="J103" s="712"/>
      <c r="K103" s="711"/>
      <c r="L103" s="711"/>
      <c r="M103" s="726"/>
      <c r="N103" s="726"/>
      <c r="O103" s="726"/>
    </row>
    <row r="104" spans="2:15" ht="14.25" hidden="1">
      <c r="E104" s="710"/>
      <c r="F104" s="711"/>
      <c r="G104" s="711"/>
      <c r="H104" s="711"/>
      <c r="I104" s="712"/>
      <c r="J104" s="712"/>
      <c r="K104" s="711"/>
      <c r="L104" s="711"/>
      <c r="M104" s="726"/>
      <c r="N104" s="726"/>
      <c r="O104" s="726"/>
    </row>
    <row r="105" spans="2:15" ht="14.25" hidden="1">
      <c r="E105" s="710"/>
      <c r="F105" s="711"/>
      <c r="G105" s="711"/>
      <c r="H105" s="711"/>
      <c r="I105" s="712"/>
      <c r="J105" s="712"/>
      <c r="K105" s="711"/>
      <c r="L105" s="711"/>
      <c r="M105" s="726"/>
      <c r="N105" s="726"/>
      <c r="O105" s="726"/>
    </row>
    <row r="106" spans="2:15" ht="14.25" hidden="1">
      <c r="E106" s="710"/>
      <c r="F106" s="711"/>
      <c r="G106" s="711"/>
      <c r="H106" s="711"/>
      <c r="I106" s="712"/>
      <c r="J106" s="712"/>
      <c r="K106" s="711"/>
      <c r="L106" s="711"/>
      <c r="M106" s="726"/>
      <c r="N106" s="726"/>
      <c r="O106" s="726"/>
    </row>
    <row r="107" spans="2:15" ht="14.25" hidden="1">
      <c r="E107" s="710"/>
      <c r="F107" s="711"/>
      <c r="G107" s="711"/>
      <c r="H107" s="711"/>
      <c r="I107" s="712"/>
      <c r="J107" s="712"/>
      <c r="K107" s="711"/>
      <c r="L107" s="711"/>
      <c r="M107" s="726"/>
      <c r="N107" s="726"/>
      <c r="O107" s="726"/>
    </row>
    <row r="108" spans="2:15" ht="14.25" hidden="1">
      <c r="E108" s="710"/>
      <c r="F108" s="711"/>
      <c r="G108" s="711"/>
      <c r="H108" s="711"/>
      <c r="I108" s="712"/>
      <c r="J108" s="712"/>
      <c r="K108" s="711"/>
      <c r="L108" s="711"/>
      <c r="M108" s="726"/>
      <c r="N108" s="726"/>
      <c r="O108" s="726"/>
    </row>
    <row r="109" spans="2:15" ht="14.25" hidden="1">
      <c r="E109" s="710"/>
      <c r="F109" s="711"/>
      <c r="G109" s="711"/>
      <c r="H109" s="711"/>
      <c r="I109" s="712"/>
      <c r="J109" s="712"/>
      <c r="K109" s="711"/>
      <c r="L109" s="711"/>
      <c r="M109" s="726"/>
      <c r="N109" s="726"/>
      <c r="O109" s="726"/>
    </row>
    <row r="110" spans="2:15" ht="14.25" hidden="1">
      <c r="E110" s="710"/>
      <c r="F110" s="711"/>
      <c r="G110" s="711"/>
      <c r="H110" s="711"/>
      <c r="I110" s="712"/>
      <c r="J110" s="712"/>
      <c r="K110" s="711"/>
      <c r="L110" s="711"/>
      <c r="M110" s="726"/>
      <c r="N110" s="726"/>
      <c r="O110" s="726"/>
    </row>
    <row r="111" spans="2:15" ht="14.25" hidden="1">
      <c r="E111" s="710"/>
      <c r="F111" s="711"/>
      <c r="G111" s="711"/>
      <c r="H111" s="711"/>
      <c r="I111" s="712"/>
      <c r="J111" s="712"/>
      <c r="K111" s="711"/>
      <c r="L111" s="711"/>
      <c r="M111" s="726"/>
      <c r="N111" s="726"/>
      <c r="O111" s="726"/>
    </row>
    <row r="112" spans="2:15" ht="14.25" hidden="1">
      <c r="E112" s="710"/>
      <c r="F112" s="711"/>
      <c r="G112" s="711"/>
      <c r="H112" s="711"/>
      <c r="I112" s="712"/>
      <c r="J112" s="712"/>
      <c r="K112" s="711"/>
      <c r="L112" s="711"/>
      <c r="M112" s="726"/>
      <c r="N112" s="726"/>
      <c r="O112" s="726"/>
    </row>
    <row r="113" spans="5:15" ht="14.25" hidden="1">
      <c r="E113" s="710"/>
      <c r="F113" s="711"/>
      <c r="G113" s="711"/>
      <c r="H113" s="711"/>
      <c r="I113" s="712"/>
      <c r="J113" s="712"/>
      <c r="K113" s="711"/>
      <c r="L113" s="711"/>
      <c r="M113" s="726"/>
      <c r="N113" s="726"/>
      <c r="O113" s="726"/>
    </row>
    <row r="114" spans="5:15" ht="14.25" hidden="1">
      <c r="E114" s="710"/>
      <c r="F114" s="711"/>
      <c r="G114" s="711"/>
      <c r="H114" s="711"/>
      <c r="I114" s="712"/>
      <c r="J114" s="712"/>
      <c r="K114" s="711"/>
      <c r="L114" s="711"/>
      <c r="M114" s="726"/>
      <c r="N114" s="726"/>
      <c r="O114" s="726"/>
    </row>
    <row r="115" spans="5:15" ht="14.25" hidden="1">
      <c r="E115" s="710"/>
      <c r="F115" s="711"/>
      <c r="G115" s="711"/>
      <c r="H115" s="711"/>
      <c r="I115" s="712"/>
      <c r="J115" s="712"/>
      <c r="K115" s="711"/>
      <c r="L115" s="711"/>
      <c r="M115" s="726"/>
      <c r="N115" s="726"/>
      <c r="O115" s="726"/>
    </row>
    <row r="116" spans="5:15" ht="14.25" hidden="1">
      <c r="E116" s="710"/>
      <c r="F116" s="711"/>
      <c r="G116" s="711"/>
      <c r="H116" s="711"/>
      <c r="I116" s="712"/>
      <c r="J116" s="712"/>
      <c r="K116" s="711"/>
      <c r="L116" s="711"/>
      <c r="M116" s="726"/>
      <c r="N116" s="726"/>
      <c r="O116" s="726"/>
    </row>
    <row r="117" spans="5:15" ht="14.25" hidden="1">
      <c r="E117" s="710"/>
      <c r="F117" s="711"/>
      <c r="G117" s="711"/>
      <c r="H117" s="711"/>
      <c r="I117" s="712"/>
      <c r="J117" s="712"/>
      <c r="K117" s="711"/>
      <c r="L117" s="711"/>
      <c r="M117" s="726"/>
      <c r="N117" s="726"/>
      <c r="O117" s="726"/>
    </row>
    <row r="118" spans="5:15" ht="14.25" hidden="1">
      <c r="E118" s="710"/>
      <c r="F118" s="711"/>
      <c r="G118" s="711"/>
      <c r="H118" s="711"/>
      <c r="I118" s="712"/>
      <c r="J118" s="712"/>
      <c r="K118" s="711"/>
      <c r="L118" s="711"/>
      <c r="M118" s="726"/>
      <c r="N118" s="726"/>
      <c r="O118" s="726"/>
    </row>
    <row r="119" spans="5:15" ht="14.25" hidden="1">
      <c r="E119" s="710"/>
      <c r="F119" s="711"/>
      <c r="G119" s="711"/>
      <c r="H119" s="711"/>
      <c r="I119" s="712"/>
      <c r="J119" s="712"/>
      <c r="K119" s="711"/>
      <c r="L119" s="711"/>
      <c r="M119" s="726"/>
      <c r="N119" s="726"/>
      <c r="O119" s="726"/>
    </row>
    <row r="120" spans="5:15" ht="14.25" hidden="1">
      <c r="E120" s="710"/>
      <c r="F120" s="711"/>
      <c r="G120" s="711"/>
      <c r="H120" s="711"/>
      <c r="I120" s="712"/>
      <c r="J120" s="712"/>
      <c r="K120" s="711"/>
      <c r="L120" s="711"/>
      <c r="M120" s="726"/>
      <c r="N120" s="726"/>
      <c r="O120" s="726"/>
    </row>
    <row r="121" spans="5:15" ht="14.25" hidden="1">
      <c r="E121" s="710"/>
      <c r="F121" s="711"/>
      <c r="G121" s="711"/>
      <c r="H121" s="711"/>
      <c r="I121" s="712"/>
      <c r="J121" s="712"/>
      <c r="K121" s="711"/>
      <c r="L121" s="711"/>
      <c r="M121" s="726"/>
      <c r="N121" s="726"/>
      <c r="O121" s="726"/>
    </row>
    <row r="122" spans="5:15" ht="14.25" hidden="1">
      <c r="E122" s="710"/>
      <c r="F122" s="711"/>
      <c r="G122" s="711"/>
      <c r="H122" s="711"/>
      <c r="I122" s="712"/>
      <c r="J122" s="712"/>
      <c r="K122" s="711"/>
      <c r="L122" s="711"/>
      <c r="M122" s="726"/>
      <c r="N122" s="726"/>
      <c r="O122" s="726"/>
    </row>
    <row r="123" spans="5:15" ht="14.25" hidden="1">
      <c r="E123" s="710"/>
      <c r="F123" s="711"/>
      <c r="G123" s="711"/>
      <c r="H123" s="711"/>
      <c r="I123" s="712"/>
      <c r="J123" s="712"/>
      <c r="K123" s="711"/>
      <c r="L123" s="711"/>
      <c r="M123" s="726"/>
      <c r="N123" s="726"/>
      <c r="O123" s="726"/>
    </row>
    <row r="124" spans="5:15" ht="14.25" hidden="1">
      <c r="E124" s="710"/>
      <c r="F124" s="711"/>
      <c r="G124" s="711"/>
      <c r="H124" s="711"/>
      <c r="I124" s="712"/>
      <c r="J124" s="712"/>
      <c r="K124" s="711"/>
      <c r="L124" s="711"/>
      <c r="M124" s="726"/>
      <c r="N124" s="726"/>
      <c r="O124" s="726"/>
    </row>
    <row r="125" spans="5:15" ht="14.25" hidden="1">
      <c r="E125" s="710"/>
      <c r="F125" s="711"/>
      <c r="G125" s="711"/>
      <c r="H125" s="711"/>
      <c r="I125" s="712"/>
      <c r="J125" s="712"/>
      <c r="K125" s="711"/>
      <c r="L125" s="711"/>
      <c r="M125" s="726"/>
      <c r="N125" s="726"/>
      <c r="O125" s="726"/>
    </row>
    <row r="126" spans="5:15" ht="14.25" hidden="1">
      <c r="E126" s="710"/>
      <c r="F126" s="711"/>
      <c r="G126" s="711"/>
      <c r="H126" s="711"/>
      <c r="I126" s="712"/>
      <c r="J126" s="712"/>
      <c r="K126" s="711"/>
      <c r="L126" s="711"/>
      <c r="M126" s="726"/>
      <c r="N126" s="726"/>
      <c r="O126" s="726"/>
    </row>
    <row r="127" spans="5:15" ht="14.25" hidden="1">
      <c r="E127" s="710"/>
      <c r="F127" s="711"/>
      <c r="G127" s="711"/>
      <c r="H127" s="711"/>
      <c r="I127" s="712"/>
      <c r="J127" s="712"/>
      <c r="K127" s="711"/>
      <c r="L127" s="711"/>
      <c r="M127" s="726"/>
      <c r="N127" s="726"/>
      <c r="O127" s="726"/>
    </row>
    <row r="128" spans="5:15" ht="14.25" hidden="1">
      <c r="E128" s="710"/>
      <c r="F128" s="711"/>
      <c r="G128" s="711"/>
      <c r="H128" s="711"/>
      <c r="I128" s="712"/>
      <c r="J128" s="712"/>
      <c r="K128" s="711"/>
      <c r="L128" s="711"/>
      <c r="M128" s="726"/>
      <c r="N128" s="726"/>
      <c r="O128" s="726"/>
    </row>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0" hidden="1" customHeight="1"/>
    <row r="213" ht="0" hidden="1" customHeight="1"/>
    <row r="214" ht="0" hidden="1" customHeight="1"/>
  </sheetData>
  <sheetProtection password="82B4" sheet="1" objects="1" scenarios="1" selectLockedCells="1" selectUnlockedCells="1"/>
  <mergeCells count="13">
    <mergeCell ref="B67:G67"/>
    <mergeCell ref="H67:K67"/>
    <mergeCell ref="L67:O67"/>
    <mergeCell ref="B69:G69"/>
    <mergeCell ref="H69:K69"/>
    <mergeCell ref="L69:O69"/>
    <mergeCell ref="B65:K65"/>
    <mergeCell ref="L65:O65"/>
    <mergeCell ref="Q2:Q5"/>
    <mergeCell ref="F5:O5"/>
    <mergeCell ref="J8:K18"/>
    <mergeCell ref="L35:O38"/>
    <mergeCell ref="H36:K38"/>
  </mergeCells>
  <phoneticPr fontId="20"/>
  <conditionalFormatting sqref="H27:K35">
    <cfRule type="expression" dxfId="97" priority="1" stopIfTrue="1">
      <formula>$U$35=$W$36</formula>
    </cfRule>
  </conditionalFormatting>
  <hyperlinks>
    <hyperlink ref="Q2" location="メイン!A1" display="戻る"/>
    <hyperlink ref="Q2:Q5" location="メイン!A1" tooltip="[メイン]シート" display="←"/>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&amp;C&amp;P/&amp;N&amp;R「CASBEE 大阪みらい 改修」2012年版</oddFooter>
  </headerFooter>
  <colBreaks count="1" manualBreakCount="1">
    <brk id="16" max="71" man="1"/>
  </colBreaks>
  <drawing r:id="rId2"/>
  <legacyDrawing r:id="rId3"/>
</worksheet>
</file>

<file path=xl/worksheets/sheet5.xml><?xml version="1.0" encoding="utf-8"?>
<worksheet xmlns="http://schemas.openxmlformats.org/spreadsheetml/2006/main" xmlns:r="http://schemas.openxmlformats.org/officeDocument/2006/relationships">
  <dimension ref="A1:WVY107"/>
  <sheetViews>
    <sheetView showGridLines="0" zoomScaleNormal="100" workbookViewId="0">
      <selection activeCell="H61" sqref="H61"/>
    </sheetView>
  </sheetViews>
  <sheetFormatPr defaultColWidth="0" defaultRowHeight="0" customHeight="1" zeroHeight="1"/>
  <cols>
    <col min="1" max="1" width="0.75" style="693" customWidth="1"/>
    <col min="2" max="2" width="2.125" style="708" customWidth="1"/>
    <col min="3" max="3" width="13.375" style="708" customWidth="1"/>
    <col min="4" max="4" width="5.375" style="709" customWidth="1"/>
    <col min="5" max="5" width="9.75" style="1025" customWidth="1"/>
    <col min="6" max="6" width="6.25" style="1000" customWidth="1"/>
    <col min="7" max="7" width="6.5" style="1000" customWidth="1"/>
    <col min="8" max="8" width="12.875" style="1000" customWidth="1"/>
    <col min="9" max="9" width="7.125" style="1001" customWidth="1"/>
    <col min="10" max="10" width="12.125" style="1001" customWidth="1"/>
    <col min="11" max="11" width="11.875" style="1000" customWidth="1"/>
    <col min="12" max="12" width="10.875" style="1000" customWidth="1"/>
    <col min="13" max="13" width="11.875" style="1003" customWidth="1"/>
    <col min="14" max="15" width="10.625" style="1003" customWidth="1"/>
    <col min="16" max="16" width="0.75" style="693" customWidth="1"/>
    <col min="17" max="17" width="3.875" style="693" customWidth="1"/>
    <col min="18" max="18" width="10.625" style="702" hidden="1"/>
    <col min="19" max="19" width="10.625" style="986" hidden="1"/>
    <col min="20" max="28" width="10.625" style="702" hidden="1"/>
    <col min="29" max="32" width="10.625" style="987" hidden="1"/>
    <col min="33" max="256" width="9" style="987" hidden="1"/>
    <col min="257" max="257" width="0.75" style="987" hidden="1"/>
    <col min="258" max="258" width="2.125" style="987" hidden="1"/>
    <col min="259" max="259" width="13.375" style="987" hidden="1"/>
    <col min="260" max="260" width="5.375" style="987" hidden="1"/>
    <col min="261" max="261" width="9.75" style="987" hidden="1"/>
    <col min="262" max="262" width="6.25" style="987" hidden="1"/>
    <col min="263" max="263" width="6.5" style="987" hidden="1"/>
    <col min="264" max="264" width="12.875" style="987" hidden="1"/>
    <col min="265" max="265" width="7.125" style="987" hidden="1"/>
    <col min="266" max="266" width="12.125" style="987" hidden="1"/>
    <col min="267" max="267" width="11.875" style="987" hidden="1"/>
    <col min="268" max="268" width="10.875" style="987" hidden="1"/>
    <col min="269" max="269" width="11.875" style="987" hidden="1"/>
    <col min="270" max="271" width="10.625" style="987" hidden="1"/>
    <col min="272" max="272" width="0.75" style="987" hidden="1"/>
    <col min="273" max="273" width="3.875" style="987" hidden="1"/>
    <col min="274" max="512" width="9" style="987" hidden="1"/>
    <col min="513" max="513" width="0.75" style="987" hidden="1"/>
    <col min="514" max="514" width="2.125" style="987" hidden="1"/>
    <col min="515" max="515" width="13.375" style="987" hidden="1"/>
    <col min="516" max="516" width="5.375" style="987" hidden="1"/>
    <col min="517" max="517" width="9.75" style="987" hidden="1"/>
    <col min="518" max="518" width="6.25" style="987" hidden="1"/>
    <col min="519" max="519" width="6.5" style="987" hidden="1"/>
    <col min="520" max="520" width="12.875" style="987" hidden="1"/>
    <col min="521" max="521" width="7.125" style="987" hidden="1"/>
    <col min="522" max="522" width="12.125" style="987" hidden="1"/>
    <col min="523" max="523" width="11.875" style="987" hidden="1"/>
    <col min="524" max="524" width="10.875" style="987" hidden="1"/>
    <col min="525" max="525" width="11.875" style="987" hidden="1"/>
    <col min="526" max="527" width="10.625" style="987" hidden="1"/>
    <col min="528" max="528" width="0.75" style="987" hidden="1"/>
    <col min="529" max="529" width="3.875" style="987" hidden="1"/>
    <col min="530" max="768" width="9" style="987" hidden="1"/>
    <col min="769" max="769" width="0.75" style="987" hidden="1"/>
    <col min="770" max="770" width="2.125" style="987" hidden="1"/>
    <col min="771" max="771" width="13.375" style="987" hidden="1"/>
    <col min="772" max="772" width="5.375" style="987" hidden="1"/>
    <col min="773" max="773" width="9.75" style="987" hidden="1"/>
    <col min="774" max="774" width="6.25" style="987" hidden="1"/>
    <col min="775" max="775" width="6.5" style="987" hidden="1"/>
    <col min="776" max="776" width="12.875" style="987" hidden="1"/>
    <col min="777" max="777" width="7.125" style="987" hidden="1"/>
    <col min="778" max="778" width="12.125" style="987" hidden="1"/>
    <col min="779" max="779" width="11.875" style="987" hidden="1"/>
    <col min="780" max="780" width="10.875" style="987" hidden="1"/>
    <col min="781" max="781" width="11.875" style="987" hidden="1"/>
    <col min="782" max="783" width="10.625" style="987" hidden="1"/>
    <col min="784" max="784" width="0.75" style="987" hidden="1"/>
    <col min="785" max="785" width="3.875" style="987" hidden="1"/>
    <col min="786" max="1024" width="9" style="987" hidden="1"/>
    <col min="1025" max="1025" width="0.75" style="987" hidden="1"/>
    <col min="1026" max="1026" width="2.125" style="987" hidden="1"/>
    <col min="1027" max="1027" width="13.375" style="987" hidden="1"/>
    <col min="1028" max="1028" width="5.375" style="987" hidden="1"/>
    <col min="1029" max="1029" width="9.75" style="987" hidden="1"/>
    <col min="1030" max="1030" width="6.25" style="987" hidden="1"/>
    <col min="1031" max="1031" width="6.5" style="987" hidden="1"/>
    <col min="1032" max="1032" width="12.875" style="987" hidden="1"/>
    <col min="1033" max="1033" width="7.125" style="987" hidden="1"/>
    <col min="1034" max="1034" width="12.125" style="987" hidden="1"/>
    <col min="1035" max="1035" width="11.875" style="987" hidden="1"/>
    <col min="1036" max="1036" width="10.875" style="987" hidden="1"/>
    <col min="1037" max="1037" width="11.875" style="987" hidden="1"/>
    <col min="1038" max="1039" width="10.625" style="987" hidden="1"/>
    <col min="1040" max="1040" width="0.75" style="987" hidden="1"/>
    <col min="1041" max="1041" width="3.875" style="987" hidden="1"/>
    <col min="1042" max="1280" width="9" style="987" hidden="1"/>
    <col min="1281" max="1281" width="0.75" style="987" hidden="1"/>
    <col min="1282" max="1282" width="2.125" style="987" hidden="1"/>
    <col min="1283" max="1283" width="13.375" style="987" hidden="1"/>
    <col min="1284" max="1284" width="5.375" style="987" hidden="1"/>
    <col min="1285" max="1285" width="9.75" style="987" hidden="1"/>
    <col min="1286" max="1286" width="6.25" style="987" hidden="1"/>
    <col min="1287" max="1287" width="6.5" style="987" hidden="1"/>
    <col min="1288" max="1288" width="12.875" style="987" hidden="1"/>
    <col min="1289" max="1289" width="7.125" style="987" hidden="1"/>
    <col min="1290" max="1290" width="12.125" style="987" hidden="1"/>
    <col min="1291" max="1291" width="11.875" style="987" hidden="1"/>
    <col min="1292" max="1292" width="10.875" style="987" hidden="1"/>
    <col min="1293" max="1293" width="11.875" style="987" hidden="1"/>
    <col min="1294" max="1295" width="10.625" style="987" hidden="1"/>
    <col min="1296" max="1296" width="0.75" style="987" hidden="1"/>
    <col min="1297" max="1297" width="3.875" style="987" hidden="1"/>
    <col min="1298" max="1536" width="9" style="987" hidden="1"/>
    <col min="1537" max="1537" width="0.75" style="987" hidden="1"/>
    <col min="1538" max="1538" width="2.125" style="987" hidden="1"/>
    <col min="1539" max="1539" width="13.375" style="987" hidden="1"/>
    <col min="1540" max="1540" width="5.375" style="987" hidden="1"/>
    <col min="1541" max="1541" width="9.75" style="987" hidden="1"/>
    <col min="1542" max="1542" width="6.25" style="987" hidden="1"/>
    <col min="1543" max="1543" width="6.5" style="987" hidden="1"/>
    <col min="1544" max="1544" width="12.875" style="987" hidden="1"/>
    <col min="1545" max="1545" width="7.125" style="987" hidden="1"/>
    <col min="1546" max="1546" width="12.125" style="987" hidden="1"/>
    <col min="1547" max="1547" width="11.875" style="987" hidden="1"/>
    <col min="1548" max="1548" width="10.875" style="987" hidden="1"/>
    <col min="1549" max="1549" width="11.875" style="987" hidden="1"/>
    <col min="1550" max="1551" width="10.625" style="987" hidden="1"/>
    <col min="1552" max="1552" width="0.75" style="987" hidden="1"/>
    <col min="1553" max="1553" width="3.875" style="987" hidden="1"/>
    <col min="1554" max="1792" width="9" style="987" hidden="1"/>
    <col min="1793" max="1793" width="0.75" style="987" hidden="1"/>
    <col min="1794" max="1794" width="2.125" style="987" hidden="1"/>
    <col min="1795" max="1795" width="13.375" style="987" hidden="1"/>
    <col min="1796" max="1796" width="5.375" style="987" hidden="1"/>
    <col min="1797" max="1797" width="9.75" style="987" hidden="1"/>
    <col min="1798" max="1798" width="6.25" style="987" hidden="1"/>
    <col min="1799" max="1799" width="6.5" style="987" hidden="1"/>
    <col min="1800" max="1800" width="12.875" style="987" hidden="1"/>
    <col min="1801" max="1801" width="7.125" style="987" hidden="1"/>
    <col min="1802" max="1802" width="12.125" style="987" hidden="1"/>
    <col min="1803" max="1803" width="11.875" style="987" hidden="1"/>
    <col min="1804" max="1804" width="10.875" style="987" hidden="1"/>
    <col min="1805" max="1805" width="11.875" style="987" hidden="1"/>
    <col min="1806" max="1807" width="10.625" style="987" hidden="1"/>
    <col min="1808" max="1808" width="0.75" style="987" hidden="1"/>
    <col min="1809" max="1809" width="3.875" style="987" hidden="1"/>
    <col min="1810" max="2048" width="9" style="987" hidden="1"/>
    <col min="2049" max="2049" width="0.75" style="987" hidden="1"/>
    <col min="2050" max="2050" width="2.125" style="987" hidden="1"/>
    <col min="2051" max="2051" width="13.375" style="987" hidden="1"/>
    <col min="2052" max="2052" width="5.375" style="987" hidden="1"/>
    <col min="2053" max="2053" width="9.75" style="987" hidden="1"/>
    <col min="2054" max="2054" width="6.25" style="987" hidden="1"/>
    <col min="2055" max="2055" width="6.5" style="987" hidden="1"/>
    <col min="2056" max="2056" width="12.875" style="987" hidden="1"/>
    <col min="2057" max="2057" width="7.125" style="987" hidden="1"/>
    <col min="2058" max="2058" width="12.125" style="987" hidden="1"/>
    <col min="2059" max="2059" width="11.875" style="987" hidden="1"/>
    <col min="2060" max="2060" width="10.875" style="987" hidden="1"/>
    <col min="2061" max="2061" width="11.875" style="987" hidden="1"/>
    <col min="2062" max="2063" width="10.625" style="987" hidden="1"/>
    <col min="2064" max="2064" width="0.75" style="987" hidden="1"/>
    <col min="2065" max="2065" width="3.875" style="987" hidden="1"/>
    <col min="2066" max="2304" width="9" style="987" hidden="1"/>
    <col min="2305" max="2305" width="0.75" style="987" hidden="1"/>
    <col min="2306" max="2306" width="2.125" style="987" hidden="1"/>
    <col min="2307" max="2307" width="13.375" style="987" hidden="1"/>
    <col min="2308" max="2308" width="5.375" style="987" hidden="1"/>
    <col min="2309" max="2309" width="9.75" style="987" hidden="1"/>
    <col min="2310" max="2310" width="6.25" style="987" hidden="1"/>
    <col min="2311" max="2311" width="6.5" style="987" hidden="1"/>
    <col min="2312" max="2312" width="12.875" style="987" hidden="1"/>
    <col min="2313" max="2313" width="7.125" style="987" hidden="1"/>
    <col min="2314" max="2314" width="12.125" style="987" hidden="1"/>
    <col min="2315" max="2315" width="11.875" style="987" hidden="1"/>
    <col min="2316" max="2316" width="10.875" style="987" hidden="1"/>
    <col min="2317" max="2317" width="11.875" style="987" hidden="1"/>
    <col min="2318" max="2319" width="10.625" style="987" hidden="1"/>
    <col min="2320" max="2320" width="0.75" style="987" hidden="1"/>
    <col min="2321" max="2321" width="3.875" style="987" hidden="1"/>
    <col min="2322" max="2560" width="9" style="987" hidden="1"/>
    <col min="2561" max="2561" width="0.75" style="987" hidden="1"/>
    <col min="2562" max="2562" width="2.125" style="987" hidden="1"/>
    <col min="2563" max="2563" width="13.375" style="987" hidden="1"/>
    <col min="2564" max="2564" width="5.375" style="987" hidden="1"/>
    <col min="2565" max="2565" width="9.75" style="987" hidden="1"/>
    <col min="2566" max="2566" width="6.25" style="987" hidden="1"/>
    <col min="2567" max="2567" width="6.5" style="987" hidden="1"/>
    <col min="2568" max="2568" width="12.875" style="987" hidden="1"/>
    <col min="2569" max="2569" width="7.125" style="987" hidden="1"/>
    <col min="2570" max="2570" width="12.125" style="987" hidden="1"/>
    <col min="2571" max="2571" width="11.875" style="987" hidden="1"/>
    <col min="2572" max="2572" width="10.875" style="987" hidden="1"/>
    <col min="2573" max="2573" width="11.875" style="987" hidden="1"/>
    <col min="2574" max="2575" width="10.625" style="987" hidden="1"/>
    <col min="2576" max="2576" width="0.75" style="987" hidden="1"/>
    <col min="2577" max="2577" width="3.875" style="987" hidden="1"/>
    <col min="2578" max="2816" width="9" style="987" hidden="1"/>
    <col min="2817" max="2817" width="0.75" style="987" hidden="1"/>
    <col min="2818" max="2818" width="2.125" style="987" hidden="1"/>
    <col min="2819" max="2819" width="13.375" style="987" hidden="1"/>
    <col min="2820" max="2820" width="5.375" style="987" hidden="1"/>
    <col min="2821" max="2821" width="9.75" style="987" hidden="1"/>
    <col min="2822" max="2822" width="6.25" style="987" hidden="1"/>
    <col min="2823" max="2823" width="6.5" style="987" hidden="1"/>
    <col min="2824" max="2824" width="12.875" style="987" hidden="1"/>
    <col min="2825" max="2825" width="7.125" style="987" hidden="1"/>
    <col min="2826" max="2826" width="12.125" style="987" hidden="1"/>
    <col min="2827" max="2827" width="11.875" style="987" hidden="1"/>
    <col min="2828" max="2828" width="10.875" style="987" hidden="1"/>
    <col min="2829" max="2829" width="11.875" style="987" hidden="1"/>
    <col min="2830" max="2831" width="10.625" style="987" hidden="1"/>
    <col min="2832" max="2832" width="0.75" style="987" hidden="1"/>
    <col min="2833" max="2833" width="3.875" style="987" hidden="1"/>
    <col min="2834" max="3072" width="9" style="987" hidden="1"/>
    <col min="3073" max="3073" width="0.75" style="987" hidden="1"/>
    <col min="3074" max="3074" width="2.125" style="987" hidden="1"/>
    <col min="3075" max="3075" width="13.375" style="987" hidden="1"/>
    <col min="3076" max="3076" width="5.375" style="987" hidden="1"/>
    <col min="3077" max="3077" width="9.75" style="987" hidden="1"/>
    <col min="3078" max="3078" width="6.25" style="987" hidden="1"/>
    <col min="3079" max="3079" width="6.5" style="987" hidden="1"/>
    <col min="3080" max="3080" width="12.875" style="987" hidden="1"/>
    <col min="3081" max="3081" width="7.125" style="987" hidden="1"/>
    <col min="3082" max="3082" width="12.125" style="987" hidden="1"/>
    <col min="3083" max="3083" width="11.875" style="987" hidden="1"/>
    <col min="3084" max="3084" width="10.875" style="987" hidden="1"/>
    <col min="3085" max="3085" width="11.875" style="987" hidden="1"/>
    <col min="3086" max="3087" width="10.625" style="987" hidden="1"/>
    <col min="3088" max="3088" width="0.75" style="987" hidden="1"/>
    <col min="3089" max="3089" width="3.875" style="987" hidden="1"/>
    <col min="3090" max="3328" width="9" style="987" hidden="1"/>
    <col min="3329" max="3329" width="0.75" style="987" hidden="1"/>
    <col min="3330" max="3330" width="2.125" style="987" hidden="1"/>
    <col min="3331" max="3331" width="13.375" style="987" hidden="1"/>
    <col min="3332" max="3332" width="5.375" style="987" hidden="1"/>
    <col min="3333" max="3333" width="9.75" style="987" hidden="1"/>
    <col min="3334" max="3334" width="6.25" style="987" hidden="1"/>
    <col min="3335" max="3335" width="6.5" style="987" hidden="1"/>
    <col min="3336" max="3336" width="12.875" style="987" hidden="1"/>
    <col min="3337" max="3337" width="7.125" style="987" hidden="1"/>
    <col min="3338" max="3338" width="12.125" style="987" hidden="1"/>
    <col min="3339" max="3339" width="11.875" style="987" hidden="1"/>
    <col min="3340" max="3340" width="10.875" style="987" hidden="1"/>
    <col min="3341" max="3341" width="11.875" style="987" hidden="1"/>
    <col min="3342" max="3343" width="10.625" style="987" hidden="1"/>
    <col min="3344" max="3344" width="0.75" style="987" hidden="1"/>
    <col min="3345" max="3345" width="3.875" style="987" hidden="1"/>
    <col min="3346" max="3584" width="9" style="987" hidden="1"/>
    <col min="3585" max="3585" width="0.75" style="987" hidden="1"/>
    <col min="3586" max="3586" width="2.125" style="987" hidden="1"/>
    <col min="3587" max="3587" width="13.375" style="987" hidden="1"/>
    <col min="3588" max="3588" width="5.375" style="987" hidden="1"/>
    <col min="3589" max="3589" width="9.75" style="987" hidden="1"/>
    <col min="3590" max="3590" width="6.25" style="987" hidden="1"/>
    <col min="3591" max="3591" width="6.5" style="987" hidden="1"/>
    <col min="3592" max="3592" width="12.875" style="987" hidden="1"/>
    <col min="3593" max="3593" width="7.125" style="987" hidden="1"/>
    <col min="3594" max="3594" width="12.125" style="987" hidden="1"/>
    <col min="3595" max="3595" width="11.875" style="987" hidden="1"/>
    <col min="3596" max="3596" width="10.875" style="987" hidden="1"/>
    <col min="3597" max="3597" width="11.875" style="987" hidden="1"/>
    <col min="3598" max="3599" width="10.625" style="987" hidden="1"/>
    <col min="3600" max="3600" width="0.75" style="987" hidden="1"/>
    <col min="3601" max="3601" width="3.875" style="987" hidden="1"/>
    <col min="3602" max="3840" width="9" style="987" hidden="1"/>
    <col min="3841" max="3841" width="0.75" style="987" hidden="1"/>
    <col min="3842" max="3842" width="2.125" style="987" hidden="1"/>
    <col min="3843" max="3843" width="13.375" style="987" hidden="1"/>
    <col min="3844" max="3844" width="5.375" style="987" hidden="1"/>
    <col min="3845" max="3845" width="9.75" style="987" hidden="1"/>
    <col min="3846" max="3846" width="6.25" style="987" hidden="1"/>
    <col min="3847" max="3847" width="6.5" style="987" hidden="1"/>
    <col min="3848" max="3848" width="12.875" style="987" hidden="1"/>
    <col min="3849" max="3849" width="7.125" style="987" hidden="1"/>
    <col min="3850" max="3850" width="12.125" style="987" hidden="1"/>
    <col min="3851" max="3851" width="11.875" style="987" hidden="1"/>
    <col min="3852" max="3852" width="10.875" style="987" hidden="1"/>
    <col min="3853" max="3853" width="11.875" style="987" hidden="1"/>
    <col min="3854" max="3855" width="10.625" style="987" hidden="1"/>
    <col min="3856" max="3856" width="0.75" style="987" hidden="1"/>
    <col min="3857" max="3857" width="3.875" style="987" hidden="1"/>
    <col min="3858" max="4096" width="9" style="987" hidden="1"/>
    <col min="4097" max="4097" width="0.75" style="987" hidden="1"/>
    <col min="4098" max="4098" width="2.125" style="987" hidden="1"/>
    <col min="4099" max="4099" width="13.375" style="987" hidden="1"/>
    <col min="4100" max="4100" width="5.375" style="987" hidden="1"/>
    <col min="4101" max="4101" width="9.75" style="987" hidden="1"/>
    <col min="4102" max="4102" width="6.25" style="987" hidden="1"/>
    <col min="4103" max="4103" width="6.5" style="987" hidden="1"/>
    <col min="4104" max="4104" width="12.875" style="987" hidden="1"/>
    <col min="4105" max="4105" width="7.125" style="987" hidden="1"/>
    <col min="4106" max="4106" width="12.125" style="987" hidden="1"/>
    <col min="4107" max="4107" width="11.875" style="987" hidden="1"/>
    <col min="4108" max="4108" width="10.875" style="987" hidden="1"/>
    <col min="4109" max="4109" width="11.875" style="987" hidden="1"/>
    <col min="4110" max="4111" width="10.625" style="987" hidden="1"/>
    <col min="4112" max="4112" width="0.75" style="987" hidden="1"/>
    <col min="4113" max="4113" width="3.875" style="987" hidden="1"/>
    <col min="4114" max="4352" width="9" style="987" hidden="1"/>
    <col min="4353" max="4353" width="0.75" style="987" hidden="1"/>
    <col min="4354" max="4354" width="2.125" style="987" hidden="1"/>
    <col min="4355" max="4355" width="13.375" style="987" hidden="1"/>
    <col min="4356" max="4356" width="5.375" style="987" hidden="1"/>
    <col min="4357" max="4357" width="9.75" style="987" hidden="1"/>
    <col min="4358" max="4358" width="6.25" style="987" hidden="1"/>
    <col min="4359" max="4359" width="6.5" style="987" hidden="1"/>
    <col min="4360" max="4360" width="12.875" style="987" hidden="1"/>
    <col min="4361" max="4361" width="7.125" style="987" hidden="1"/>
    <col min="4362" max="4362" width="12.125" style="987" hidden="1"/>
    <col min="4363" max="4363" width="11.875" style="987" hidden="1"/>
    <col min="4364" max="4364" width="10.875" style="987" hidden="1"/>
    <col min="4365" max="4365" width="11.875" style="987" hidden="1"/>
    <col min="4366" max="4367" width="10.625" style="987" hidden="1"/>
    <col min="4368" max="4368" width="0.75" style="987" hidden="1"/>
    <col min="4369" max="4369" width="3.875" style="987" hidden="1"/>
    <col min="4370" max="4608" width="9" style="987" hidden="1"/>
    <col min="4609" max="4609" width="0.75" style="987" hidden="1"/>
    <col min="4610" max="4610" width="2.125" style="987" hidden="1"/>
    <col min="4611" max="4611" width="13.375" style="987" hidden="1"/>
    <col min="4612" max="4612" width="5.375" style="987" hidden="1"/>
    <col min="4613" max="4613" width="9.75" style="987" hidden="1"/>
    <col min="4614" max="4614" width="6.25" style="987" hidden="1"/>
    <col min="4615" max="4615" width="6.5" style="987" hidden="1"/>
    <col min="4616" max="4616" width="12.875" style="987" hidden="1"/>
    <col min="4617" max="4617" width="7.125" style="987" hidden="1"/>
    <col min="4618" max="4618" width="12.125" style="987" hidden="1"/>
    <col min="4619" max="4619" width="11.875" style="987" hidden="1"/>
    <col min="4620" max="4620" width="10.875" style="987" hidden="1"/>
    <col min="4621" max="4621" width="11.875" style="987" hidden="1"/>
    <col min="4622" max="4623" width="10.625" style="987" hidden="1"/>
    <col min="4624" max="4624" width="0.75" style="987" hidden="1"/>
    <col min="4625" max="4625" width="3.875" style="987" hidden="1"/>
    <col min="4626" max="4864" width="9" style="987" hidden="1"/>
    <col min="4865" max="4865" width="0.75" style="987" hidden="1"/>
    <col min="4866" max="4866" width="2.125" style="987" hidden="1"/>
    <col min="4867" max="4867" width="13.375" style="987" hidden="1"/>
    <col min="4868" max="4868" width="5.375" style="987" hidden="1"/>
    <col min="4869" max="4869" width="9.75" style="987" hidden="1"/>
    <col min="4870" max="4870" width="6.25" style="987" hidden="1"/>
    <col min="4871" max="4871" width="6.5" style="987" hidden="1"/>
    <col min="4872" max="4872" width="12.875" style="987" hidden="1"/>
    <col min="4873" max="4873" width="7.125" style="987" hidden="1"/>
    <col min="4874" max="4874" width="12.125" style="987" hidden="1"/>
    <col min="4875" max="4875" width="11.875" style="987" hidden="1"/>
    <col min="4876" max="4876" width="10.875" style="987" hidden="1"/>
    <col min="4877" max="4877" width="11.875" style="987" hidden="1"/>
    <col min="4878" max="4879" width="10.625" style="987" hidden="1"/>
    <col min="4880" max="4880" width="0.75" style="987" hidden="1"/>
    <col min="4881" max="4881" width="3.875" style="987" hidden="1"/>
    <col min="4882" max="5120" width="9" style="987" hidden="1"/>
    <col min="5121" max="5121" width="0.75" style="987" hidden="1"/>
    <col min="5122" max="5122" width="2.125" style="987" hidden="1"/>
    <col min="5123" max="5123" width="13.375" style="987" hidden="1"/>
    <col min="5124" max="5124" width="5.375" style="987" hidden="1"/>
    <col min="5125" max="5125" width="9.75" style="987" hidden="1"/>
    <col min="5126" max="5126" width="6.25" style="987" hidden="1"/>
    <col min="5127" max="5127" width="6.5" style="987" hidden="1"/>
    <col min="5128" max="5128" width="12.875" style="987" hidden="1"/>
    <col min="5129" max="5129" width="7.125" style="987" hidden="1"/>
    <col min="5130" max="5130" width="12.125" style="987" hidden="1"/>
    <col min="5131" max="5131" width="11.875" style="987" hidden="1"/>
    <col min="5132" max="5132" width="10.875" style="987" hidden="1"/>
    <col min="5133" max="5133" width="11.875" style="987" hidden="1"/>
    <col min="5134" max="5135" width="10.625" style="987" hidden="1"/>
    <col min="5136" max="5136" width="0.75" style="987" hidden="1"/>
    <col min="5137" max="5137" width="3.875" style="987" hidden="1"/>
    <col min="5138" max="5376" width="9" style="987" hidden="1"/>
    <col min="5377" max="5377" width="0.75" style="987" hidden="1"/>
    <col min="5378" max="5378" width="2.125" style="987" hidden="1"/>
    <col min="5379" max="5379" width="13.375" style="987" hidden="1"/>
    <col min="5380" max="5380" width="5.375" style="987" hidden="1"/>
    <col min="5381" max="5381" width="9.75" style="987" hidden="1"/>
    <col min="5382" max="5382" width="6.25" style="987" hidden="1"/>
    <col min="5383" max="5383" width="6.5" style="987" hidden="1"/>
    <col min="5384" max="5384" width="12.875" style="987" hidden="1"/>
    <col min="5385" max="5385" width="7.125" style="987" hidden="1"/>
    <col min="5386" max="5386" width="12.125" style="987" hidden="1"/>
    <col min="5387" max="5387" width="11.875" style="987" hidden="1"/>
    <col min="5388" max="5388" width="10.875" style="987" hidden="1"/>
    <col min="5389" max="5389" width="11.875" style="987" hidden="1"/>
    <col min="5390" max="5391" width="10.625" style="987" hidden="1"/>
    <col min="5392" max="5392" width="0.75" style="987" hidden="1"/>
    <col min="5393" max="5393" width="3.875" style="987" hidden="1"/>
    <col min="5394" max="5632" width="9" style="987" hidden="1"/>
    <col min="5633" max="5633" width="0.75" style="987" hidden="1"/>
    <col min="5634" max="5634" width="2.125" style="987" hidden="1"/>
    <col min="5635" max="5635" width="13.375" style="987" hidden="1"/>
    <col min="5636" max="5636" width="5.375" style="987" hidden="1"/>
    <col min="5637" max="5637" width="9.75" style="987" hidden="1"/>
    <col min="5638" max="5638" width="6.25" style="987" hidden="1"/>
    <col min="5639" max="5639" width="6.5" style="987" hidden="1"/>
    <col min="5640" max="5640" width="12.875" style="987" hidden="1"/>
    <col min="5641" max="5641" width="7.125" style="987" hidden="1"/>
    <col min="5642" max="5642" width="12.125" style="987" hidden="1"/>
    <col min="5643" max="5643" width="11.875" style="987" hidden="1"/>
    <col min="5644" max="5644" width="10.875" style="987" hidden="1"/>
    <col min="5645" max="5645" width="11.875" style="987" hidden="1"/>
    <col min="5646" max="5647" width="10.625" style="987" hidden="1"/>
    <col min="5648" max="5648" width="0.75" style="987" hidden="1"/>
    <col min="5649" max="5649" width="3.875" style="987" hidden="1"/>
    <col min="5650" max="5888" width="9" style="987" hidden="1"/>
    <col min="5889" max="5889" width="0.75" style="987" hidden="1"/>
    <col min="5890" max="5890" width="2.125" style="987" hidden="1"/>
    <col min="5891" max="5891" width="13.375" style="987" hidden="1"/>
    <col min="5892" max="5892" width="5.375" style="987" hidden="1"/>
    <col min="5893" max="5893" width="9.75" style="987" hidden="1"/>
    <col min="5894" max="5894" width="6.25" style="987" hidden="1"/>
    <col min="5895" max="5895" width="6.5" style="987" hidden="1"/>
    <col min="5896" max="5896" width="12.875" style="987" hidden="1"/>
    <col min="5897" max="5897" width="7.125" style="987" hidden="1"/>
    <col min="5898" max="5898" width="12.125" style="987" hidden="1"/>
    <col min="5899" max="5899" width="11.875" style="987" hidden="1"/>
    <col min="5900" max="5900" width="10.875" style="987" hidden="1"/>
    <col min="5901" max="5901" width="11.875" style="987" hidden="1"/>
    <col min="5902" max="5903" width="10.625" style="987" hidden="1"/>
    <col min="5904" max="5904" width="0.75" style="987" hidden="1"/>
    <col min="5905" max="5905" width="3.875" style="987" hidden="1"/>
    <col min="5906" max="6144" width="9" style="987" hidden="1"/>
    <col min="6145" max="6145" width="0.75" style="987" hidden="1"/>
    <col min="6146" max="6146" width="2.125" style="987" hidden="1"/>
    <col min="6147" max="6147" width="13.375" style="987" hidden="1"/>
    <col min="6148" max="6148" width="5.375" style="987" hidden="1"/>
    <col min="6149" max="6149" width="9.75" style="987" hidden="1"/>
    <col min="6150" max="6150" width="6.25" style="987" hidden="1"/>
    <col min="6151" max="6151" width="6.5" style="987" hidden="1"/>
    <col min="6152" max="6152" width="12.875" style="987" hidden="1"/>
    <col min="6153" max="6153" width="7.125" style="987" hidden="1"/>
    <col min="6154" max="6154" width="12.125" style="987" hidden="1"/>
    <col min="6155" max="6155" width="11.875" style="987" hidden="1"/>
    <col min="6156" max="6156" width="10.875" style="987" hidden="1"/>
    <col min="6157" max="6157" width="11.875" style="987" hidden="1"/>
    <col min="6158" max="6159" width="10.625" style="987" hidden="1"/>
    <col min="6160" max="6160" width="0.75" style="987" hidden="1"/>
    <col min="6161" max="6161" width="3.875" style="987" hidden="1"/>
    <col min="6162" max="6400" width="9" style="987" hidden="1"/>
    <col min="6401" max="6401" width="0.75" style="987" hidden="1"/>
    <col min="6402" max="6402" width="2.125" style="987" hidden="1"/>
    <col min="6403" max="6403" width="13.375" style="987" hidden="1"/>
    <col min="6404" max="6404" width="5.375" style="987" hidden="1"/>
    <col min="6405" max="6405" width="9.75" style="987" hidden="1"/>
    <col min="6406" max="6406" width="6.25" style="987" hidden="1"/>
    <col min="6407" max="6407" width="6.5" style="987" hidden="1"/>
    <col min="6408" max="6408" width="12.875" style="987" hidden="1"/>
    <col min="6409" max="6409" width="7.125" style="987" hidden="1"/>
    <col min="6410" max="6410" width="12.125" style="987" hidden="1"/>
    <col min="6411" max="6411" width="11.875" style="987" hidden="1"/>
    <col min="6412" max="6412" width="10.875" style="987" hidden="1"/>
    <col min="6413" max="6413" width="11.875" style="987" hidden="1"/>
    <col min="6414" max="6415" width="10.625" style="987" hidden="1"/>
    <col min="6416" max="6416" width="0.75" style="987" hidden="1"/>
    <col min="6417" max="6417" width="3.875" style="987" hidden="1"/>
    <col min="6418" max="6656" width="9" style="987" hidden="1"/>
    <col min="6657" max="6657" width="0.75" style="987" hidden="1"/>
    <col min="6658" max="6658" width="2.125" style="987" hidden="1"/>
    <col min="6659" max="6659" width="13.375" style="987" hidden="1"/>
    <col min="6660" max="6660" width="5.375" style="987" hidden="1"/>
    <col min="6661" max="6661" width="9.75" style="987" hidden="1"/>
    <col min="6662" max="6662" width="6.25" style="987" hidden="1"/>
    <col min="6663" max="6663" width="6.5" style="987" hidden="1"/>
    <col min="6664" max="6664" width="12.875" style="987" hidden="1"/>
    <col min="6665" max="6665" width="7.125" style="987" hidden="1"/>
    <col min="6666" max="6666" width="12.125" style="987" hidden="1"/>
    <col min="6667" max="6667" width="11.875" style="987" hidden="1"/>
    <col min="6668" max="6668" width="10.875" style="987" hidden="1"/>
    <col min="6669" max="6669" width="11.875" style="987" hidden="1"/>
    <col min="6670" max="6671" width="10.625" style="987" hidden="1"/>
    <col min="6672" max="6672" width="0.75" style="987" hidden="1"/>
    <col min="6673" max="6673" width="3.875" style="987" hidden="1"/>
    <col min="6674" max="6912" width="9" style="987" hidden="1"/>
    <col min="6913" max="6913" width="0.75" style="987" hidden="1"/>
    <col min="6914" max="6914" width="2.125" style="987" hidden="1"/>
    <col min="6915" max="6915" width="13.375" style="987" hidden="1"/>
    <col min="6916" max="6916" width="5.375" style="987" hidden="1"/>
    <col min="6917" max="6917" width="9.75" style="987" hidden="1"/>
    <col min="6918" max="6918" width="6.25" style="987" hidden="1"/>
    <col min="6919" max="6919" width="6.5" style="987" hidden="1"/>
    <col min="6920" max="6920" width="12.875" style="987" hidden="1"/>
    <col min="6921" max="6921" width="7.125" style="987" hidden="1"/>
    <col min="6922" max="6922" width="12.125" style="987" hidden="1"/>
    <col min="6923" max="6923" width="11.875" style="987" hidden="1"/>
    <col min="6924" max="6924" width="10.875" style="987" hidden="1"/>
    <col min="6925" max="6925" width="11.875" style="987" hidden="1"/>
    <col min="6926" max="6927" width="10.625" style="987" hidden="1"/>
    <col min="6928" max="6928" width="0.75" style="987" hidden="1"/>
    <col min="6929" max="6929" width="3.875" style="987" hidden="1"/>
    <col min="6930" max="7168" width="9" style="987" hidden="1"/>
    <col min="7169" max="7169" width="0.75" style="987" hidden="1"/>
    <col min="7170" max="7170" width="2.125" style="987" hidden="1"/>
    <col min="7171" max="7171" width="13.375" style="987" hidden="1"/>
    <col min="7172" max="7172" width="5.375" style="987" hidden="1"/>
    <col min="7173" max="7173" width="9.75" style="987" hidden="1"/>
    <col min="7174" max="7174" width="6.25" style="987" hidden="1"/>
    <col min="7175" max="7175" width="6.5" style="987" hidden="1"/>
    <col min="7176" max="7176" width="12.875" style="987" hidden="1"/>
    <col min="7177" max="7177" width="7.125" style="987" hidden="1"/>
    <col min="7178" max="7178" width="12.125" style="987" hidden="1"/>
    <col min="7179" max="7179" width="11.875" style="987" hidden="1"/>
    <col min="7180" max="7180" width="10.875" style="987" hidden="1"/>
    <col min="7181" max="7181" width="11.875" style="987" hidden="1"/>
    <col min="7182" max="7183" width="10.625" style="987" hidden="1"/>
    <col min="7184" max="7184" width="0.75" style="987" hidden="1"/>
    <col min="7185" max="7185" width="3.875" style="987" hidden="1"/>
    <col min="7186" max="7424" width="9" style="987" hidden="1"/>
    <col min="7425" max="7425" width="0.75" style="987" hidden="1"/>
    <col min="7426" max="7426" width="2.125" style="987" hidden="1"/>
    <col min="7427" max="7427" width="13.375" style="987" hidden="1"/>
    <col min="7428" max="7428" width="5.375" style="987" hidden="1"/>
    <col min="7429" max="7429" width="9.75" style="987" hidden="1"/>
    <col min="7430" max="7430" width="6.25" style="987" hidden="1"/>
    <col min="7431" max="7431" width="6.5" style="987" hidden="1"/>
    <col min="7432" max="7432" width="12.875" style="987" hidden="1"/>
    <col min="7433" max="7433" width="7.125" style="987" hidden="1"/>
    <col min="7434" max="7434" width="12.125" style="987" hidden="1"/>
    <col min="7435" max="7435" width="11.875" style="987" hidden="1"/>
    <col min="7436" max="7436" width="10.875" style="987" hidden="1"/>
    <col min="7437" max="7437" width="11.875" style="987" hidden="1"/>
    <col min="7438" max="7439" width="10.625" style="987" hidden="1"/>
    <col min="7440" max="7440" width="0.75" style="987" hidden="1"/>
    <col min="7441" max="7441" width="3.875" style="987" hidden="1"/>
    <col min="7442" max="7680" width="9" style="987" hidden="1"/>
    <col min="7681" max="7681" width="0.75" style="987" hidden="1"/>
    <col min="7682" max="7682" width="2.125" style="987" hidden="1"/>
    <col min="7683" max="7683" width="13.375" style="987" hidden="1"/>
    <col min="7684" max="7684" width="5.375" style="987" hidden="1"/>
    <col min="7685" max="7685" width="9.75" style="987" hidden="1"/>
    <col min="7686" max="7686" width="6.25" style="987" hidden="1"/>
    <col min="7687" max="7687" width="6.5" style="987" hidden="1"/>
    <col min="7688" max="7688" width="12.875" style="987" hidden="1"/>
    <col min="7689" max="7689" width="7.125" style="987" hidden="1"/>
    <col min="7690" max="7690" width="12.125" style="987" hidden="1"/>
    <col min="7691" max="7691" width="11.875" style="987" hidden="1"/>
    <col min="7692" max="7692" width="10.875" style="987" hidden="1"/>
    <col min="7693" max="7693" width="11.875" style="987" hidden="1"/>
    <col min="7694" max="7695" width="10.625" style="987" hidden="1"/>
    <col min="7696" max="7696" width="0.75" style="987" hidden="1"/>
    <col min="7697" max="7697" width="3.875" style="987" hidden="1"/>
    <col min="7698" max="7936" width="9" style="987" hidden="1"/>
    <col min="7937" max="7937" width="0.75" style="987" hidden="1"/>
    <col min="7938" max="7938" width="2.125" style="987" hidden="1"/>
    <col min="7939" max="7939" width="13.375" style="987" hidden="1"/>
    <col min="7940" max="7940" width="5.375" style="987" hidden="1"/>
    <col min="7941" max="7941" width="9.75" style="987" hidden="1"/>
    <col min="7942" max="7942" width="6.25" style="987" hidden="1"/>
    <col min="7943" max="7943" width="6.5" style="987" hidden="1"/>
    <col min="7944" max="7944" width="12.875" style="987" hidden="1"/>
    <col min="7945" max="7945" width="7.125" style="987" hidden="1"/>
    <col min="7946" max="7946" width="12.125" style="987" hidden="1"/>
    <col min="7947" max="7947" width="11.875" style="987" hidden="1"/>
    <col min="7948" max="7948" width="10.875" style="987" hidden="1"/>
    <col min="7949" max="7949" width="11.875" style="987" hidden="1"/>
    <col min="7950" max="7951" width="10.625" style="987" hidden="1"/>
    <col min="7952" max="7952" width="0.75" style="987" hidden="1"/>
    <col min="7953" max="7953" width="3.875" style="987" hidden="1"/>
    <col min="7954" max="8192" width="9" style="987" hidden="1"/>
    <col min="8193" max="8193" width="0.75" style="987" hidden="1"/>
    <col min="8194" max="8194" width="2.125" style="987" hidden="1"/>
    <col min="8195" max="8195" width="13.375" style="987" hidden="1"/>
    <col min="8196" max="8196" width="5.375" style="987" hidden="1"/>
    <col min="8197" max="8197" width="9.75" style="987" hidden="1"/>
    <col min="8198" max="8198" width="6.25" style="987" hidden="1"/>
    <col min="8199" max="8199" width="6.5" style="987" hidden="1"/>
    <col min="8200" max="8200" width="12.875" style="987" hidden="1"/>
    <col min="8201" max="8201" width="7.125" style="987" hidden="1"/>
    <col min="8202" max="8202" width="12.125" style="987" hidden="1"/>
    <col min="8203" max="8203" width="11.875" style="987" hidden="1"/>
    <col min="8204" max="8204" width="10.875" style="987" hidden="1"/>
    <col min="8205" max="8205" width="11.875" style="987" hidden="1"/>
    <col min="8206" max="8207" width="10.625" style="987" hidden="1"/>
    <col min="8208" max="8208" width="0.75" style="987" hidden="1"/>
    <col min="8209" max="8209" width="3.875" style="987" hidden="1"/>
    <col min="8210" max="8448" width="9" style="987" hidden="1"/>
    <col min="8449" max="8449" width="0.75" style="987" hidden="1"/>
    <col min="8450" max="8450" width="2.125" style="987" hidden="1"/>
    <col min="8451" max="8451" width="13.375" style="987" hidden="1"/>
    <col min="8452" max="8452" width="5.375" style="987" hidden="1"/>
    <col min="8453" max="8453" width="9.75" style="987" hidden="1"/>
    <col min="8454" max="8454" width="6.25" style="987" hidden="1"/>
    <col min="8455" max="8455" width="6.5" style="987" hidden="1"/>
    <col min="8456" max="8456" width="12.875" style="987" hidden="1"/>
    <col min="8457" max="8457" width="7.125" style="987" hidden="1"/>
    <col min="8458" max="8458" width="12.125" style="987" hidden="1"/>
    <col min="8459" max="8459" width="11.875" style="987" hidden="1"/>
    <col min="8460" max="8460" width="10.875" style="987" hidden="1"/>
    <col min="8461" max="8461" width="11.875" style="987" hidden="1"/>
    <col min="8462" max="8463" width="10.625" style="987" hidden="1"/>
    <col min="8464" max="8464" width="0.75" style="987" hidden="1"/>
    <col min="8465" max="8465" width="3.875" style="987" hidden="1"/>
    <col min="8466" max="8704" width="9" style="987" hidden="1"/>
    <col min="8705" max="8705" width="0.75" style="987" hidden="1"/>
    <col min="8706" max="8706" width="2.125" style="987" hidden="1"/>
    <col min="8707" max="8707" width="13.375" style="987" hidden="1"/>
    <col min="8708" max="8708" width="5.375" style="987" hidden="1"/>
    <col min="8709" max="8709" width="9.75" style="987" hidden="1"/>
    <col min="8710" max="8710" width="6.25" style="987" hidden="1"/>
    <col min="8711" max="8711" width="6.5" style="987" hidden="1"/>
    <col min="8712" max="8712" width="12.875" style="987" hidden="1"/>
    <col min="8713" max="8713" width="7.125" style="987" hidden="1"/>
    <col min="8714" max="8714" width="12.125" style="987" hidden="1"/>
    <col min="8715" max="8715" width="11.875" style="987" hidden="1"/>
    <col min="8716" max="8716" width="10.875" style="987" hidden="1"/>
    <col min="8717" max="8717" width="11.875" style="987" hidden="1"/>
    <col min="8718" max="8719" width="10.625" style="987" hidden="1"/>
    <col min="8720" max="8720" width="0.75" style="987" hidden="1"/>
    <col min="8721" max="8721" width="3.875" style="987" hidden="1"/>
    <col min="8722" max="8960" width="9" style="987" hidden="1"/>
    <col min="8961" max="8961" width="0.75" style="987" hidden="1"/>
    <col min="8962" max="8962" width="2.125" style="987" hidden="1"/>
    <col min="8963" max="8963" width="13.375" style="987" hidden="1"/>
    <col min="8964" max="8964" width="5.375" style="987" hidden="1"/>
    <col min="8965" max="8965" width="9.75" style="987" hidden="1"/>
    <col min="8966" max="8966" width="6.25" style="987" hidden="1"/>
    <col min="8967" max="8967" width="6.5" style="987" hidden="1"/>
    <col min="8968" max="8968" width="12.875" style="987" hidden="1"/>
    <col min="8969" max="8969" width="7.125" style="987" hidden="1"/>
    <col min="8970" max="8970" width="12.125" style="987" hidden="1"/>
    <col min="8971" max="8971" width="11.875" style="987" hidden="1"/>
    <col min="8972" max="8972" width="10.875" style="987" hidden="1"/>
    <col min="8973" max="8973" width="11.875" style="987" hidden="1"/>
    <col min="8974" max="8975" width="10.625" style="987" hidden="1"/>
    <col min="8976" max="8976" width="0.75" style="987" hidden="1"/>
    <col min="8977" max="8977" width="3.875" style="987" hidden="1"/>
    <col min="8978" max="9216" width="9" style="987" hidden="1"/>
    <col min="9217" max="9217" width="0.75" style="987" hidden="1"/>
    <col min="9218" max="9218" width="2.125" style="987" hidden="1"/>
    <col min="9219" max="9219" width="13.375" style="987" hidden="1"/>
    <col min="9220" max="9220" width="5.375" style="987" hidden="1"/>
    <col min="9221" max="9221" width="9.75" style="987" hidden="1"/>
    <col min="9222" max="9222" width="6.25" style="987" hidden="1"/>
    <col min="9223" max="9223" width="6.5" style="987" hidden="1"/>
    <col min="9224" max="9224" width="12.875" style="987" hidden="1"/>
    <col min="9225" max="9225" width="7.125" style="987" hidden="1"/>
    <col min="9226" max="9226" width="12.125" style="987" hidden="1"/>
    <col min="9227" max="9227" width="11.875" style="987" hidden="1"/>
    <col min="9228" max="9228" width="10.875" style="987" hidden="1"/>
    <col min="9229" max="9229" width="11.875" style="987" hidden="1"/>
    <col min="9230" max="9231" width="10.625" style="987" hidden="1"/>
    <col min="9232" max="9232" width="0.75" style="987" hidden="1"/>
    <col min="9233" max="9233" width="3.875" style="987" hidden="1"/>
    <col min="9234" max="9472" width="9" style="987" hidden="1"/>
    <col min="9473" max="9473" width="0.75" style="987" hidden="1"/>
    <col min="9474" max="9474" width="2.125" style="987" hidden="1"/>
    <col min="9475" max="9475" width="13.375" style="987" hidden="1"/>
    <col min="9476" max="9476" width="5.375" style="987" hidden="1"/>
    <col min="9477" max="9477" width="9.75" style="987" hidden="1"/>
    <col min="9478" max="9478" width="6.25" style="987" hidden="1"/>
    <col min="9479" max="9479" width="6.5" style="987" hidden="1"/>
    <col min="9480" max="9480" width="12.875" style="987" hidden="1"/>
    <col min="9481" max="9481" width="7.125" style="987" hidden="1"/>
    <col min="9482" max="9482" width="12.125" style="987" hidden="1"/>
    <col min="9483" max="9483" width="11.875" style="987" hidden="1"/>
    <col min="9484" max="9484" width="10.875" style="987" hidden="1"/>
    <col min="9485" max="9485" width="11.875" style="987" hidden="1"/>
    <col min="9486" max="9487" width="10.625" style="987" hidden="1"/>
    <col min="9488" max="9488" width="0.75" style="987" hidden="1"/>
    <col min="9489" max="9489" width="3.875" style="987" hidden="1"/>
    <col min="9490" max="9728" width="9" style="987" hidden="1"/>
    <col min="9729" max="9729" width="0.75" style="987" hidden="1"/>
    <col min="9730" max="9730" width="2.125" style="987" hidden="1"/>
    <col min="9731" max="9731" width="13.375" style="987" hidden="1"/>
    <col min="9732" max="9732" width="5.375" style="987" hidden="1"/>
    <col min="9733" max="9733" width="9.75" style="987" hidden="1"/>
    <col min="9734" max="9734" width="6.25" style="987" hidden="1"/>
    <col min="9735" max="9735" width="6.5" style="987" hidden="1"/>
    <col min="9736" max="9736" width="12.875" style="987" hidden="1"/>
    <col min="9737" max="9737" width="7.125" style="987" hidden="1"/>
    <col min="9738" max="9738" width="12.125" style="987" hidden="1"/>
    <col min="9739" max="9739" width="11.875" style="987" hidden="1"/>
    <col min="9740" max="9740" width="10.875" style="987" hidden="1"/>
    <col min="9741" max="9741" width="11.875" style="987" hidden="1"/>
    <col min="9742" max="9743" width="10.625" style="987" hidden="1"/>
    <col min="9744" max="9744" width="0.75" style="987" hidden="1"/>
    <col min="9745" max="9745" width="3.875" style="987" hidden="1"/>
    <col min="9746" max="9984" width="9" style="987" hidden="1"/>
    <col min="9985" max="9985" width="0.75" style="987" hidden="1"/>
    <col min="9986" max="9986" width="2.125" style="987" hidden="1"/>
    <col min="9987" max="9987" width="13.375" style="987" hidden="1"/>
    <col min="9988" max="9988" width="5.375" style="987" hidden="1"/>
    <col min="9989" max="9989" width="9.75" style="987" hidden="1"/>
    <col min="9990" max="9990" width="6.25" style="987" hidden="1"/>
    <col min="9991" max="9991" width="6.5" style="987" hidden="1"/>
    <col min="9992" max="9992" width="12.875" style="987" hidden="1"/>
    <col min="9993" max="9993" width="7.125" style="987" hidden="1"/>
    <col min="9994" max="9994" width="12.125" style="987" hidden="1"/>
    <col min="9995" max="9995" width="11.875" style="987" hidden="1"/>
    <col min="9996" max="9996" width="10.875" style="987" hidden="1"/>
    <col min="9997" max="9997" width="11.875" style="987" hidden="1"/>
    <col min="9998" max="9999" width="10.625" style="987" hidden="1"/>
    <col min="10000" max="10000" width="0.75" style="987" hidden="1"/>
    <col min="10001" max="10001" width="3.875" style="987" hidden="1"/>
    <col min="10002" max="10240" width="9" style="987" hidden="1"/>
    <col min="10241" max="10241" width="0.75" style="987" hidden="1"/>
    <col min="10242" max="10242" width="2.125" style="987" hidden="1"/>
    <col min="10243" max="10243" width="13.375" style="987" hidden="1"/>
    <col min="10244" max="10244" width="5.375" style="987" hidden="1"/>
    <col min="10245" max="10245" width="9.75" style="987" hidden="1"/>
    <col min="10246" max="10246" width="6.25" style="987" hidden="1"/>
    <col min="10247" max="10247" width="6.5" style="987" hidden="1"/>
    <col min="10248" max="10248" width="12.875" style="987" hidden="1"/>
    <col min="10249" max="10249" width="7.125" style="987" hidden="1"/>
    <col min="10250" max="10250" width="12.125" style="987" hidden="1"/>
    <col min="10251" max="10251" width="11.875" style="987" hidden="1"/>
    <col min="10252" max="10252" width="10.875" style="987" hidden="1"/>
    <col min="10253" max="10253" width="11.875" style="987" hidden="1"/>
    <col min="10254" max="10255" width="10.625" style="987" hidden="1"/>
    <col min="10256" max="10256" width="0.75" style="987" hidden="1"/>
    <col min="10257" max="10257" width="3.875" style="987" hidden="1"/>
    <col min="10258" max="10496" width="9" style="987" hidden="1"/>
    <col min="10497" max="10497" width="0.75" style="987" hidden="1"/>
    <col min="10498" max="10498" width="2.125" style="987" hidden="1"/>
    <col min="10499" max="10499" width="13.375" style="987" hidden="1"/>
    <col min="10500" max="10500" width="5.375" style="987" hidden="1"/>
    <col min="10501" max="10501" width="9.75" style="987" hidden="1"/>
    <col min="10502" max="10502" width="6.25" style="987" hidden="1"/>
    <col min="10503" max="10503" width="6.5" style="987" hidden="1"/>
    <col min="10504" max="10504" width="12.875" style="987" hidden="1"/>
    <col min="10505" max="10505" width="7.125" style="987" hidden="1"/>
    <col min="10506" max="10506" width="12.125" style="987" hidden="1"/>
    <col min="10507" max="10507" width="11.875" style="987" hidden="1"/>
    <col min="10508" max="10508" width="10.875" style="987" hidden="1"/>
    <col min="10509" max="10509" width="11.875" style="987" hidden="1"/>
    <col min="10510" max="10511" width="10.625" style="987" hidden="1"/>
    <col min="10512" max="10512" width="0.75" style="987" hidden="1"/>
    <col min="10513" max="10513" width="3.875" style="987" hidden="1"/>
    <col min="10514" max="10752" width="9" style="987" hidden="1"/>
    <col min="10753" max="10753" width="0.75" style="987" hidden="1"/>
    <col min="10754" max="10754" width="2.125" style="987" hidden="1"/>
    <col min="10755" max="10755" width="13.375" style="987" hidden="1"/>
    <col min="10756" max="10756" width="5.375" style="987" hidden="1"/>
    <col min="10757" max="10757" width="9.75" style="987" hidden="1"/>
    <col min="10758" max="10758" width="6.25" style="987" hidden="1"/>
    <col min="10759" max="10759" width="6.5" style="987" hidden="1"/>
    <col min="10760" max="10760" width="12.875" style="987" hidden="1"/>
    <col min="10761" max="10761" width="7.125" style="987" hidden="1"/>
    <col min="10762" max="10762" width="12.125" style="987" hidden="1"/>
    <col min="10763" max="10763" width="11.875" style="987" hidden="1"/>
    <col min="10764" max="10764" width="10.875" style="987" hidden="1"/>
    <col min="10765" max="10765" width="11.875" style="987" hidden="1"/>
    <col min="10766" max="10767" width="10.625" style="987" hidden="1"/>
    <col min="10768" max="10768" width="0.75" style="987" hidden="1"/>
    <col min="10769" max="10769" width="3.875" style="987" hidden="1"/>
    <col min="10770" max="11008" width="9" style="987" hidden="1"/>
    <col min="11009" max="11009" width="0.75" style="987" hidden="1"/>
    <col min="11010" max="11010" width="2.125" style="987" hidden="1"/>
    <col min="11011" max="11011" width="13.375" style="987" hidden="1"/>
    <col min="11012" max="11012" width="5.375" style="987" hidden="1"/>
    <col min="11013" max="11013" width="9.75" style="987" hidden="1"/>
    <col min="11014" max="11014" width="6.25" style="987" hidden="1"/>
    <col min="11015" max="11015" width="6.5" style="987" hidden="1"/>
    <col min="11016" max="11016" width="12.875" style="987" hidden="1"/>
    <col min="11017" max="11017" width="7.125" style="987" hidden="1"/>
    <col min="11018" max="11018" width="12.125" style="987" hidden="1"/>
    <col min="11019" max="11019" width="11.875" style="987" hidden="1"/>
    <col min="11020" max="11020" width="10.875" style="987" hidden="1"/>
    <col min="11021" max="11021" width="11.875" style="987" hidden="1"/>
    <col min="11022" max="11023" width="10.625" style="987" hidden="1"/>
    <col min="11024" max="11024" width="0.75" style="987" hidden="1"/>
    <col min="11025" max="11025" width="3.875" style="987" hidden="1"/>
    <col min="11026" max="11264" width="9" style="987" hidden="1"/>
    <col min="11265" max="11265" width="0.75" style="987" hidden="1"/>
    <col min="11266" max="11266" width="2.125" style="987" hidden="1"/>
    <col min="11267" max="11267" width="13.375" style="987" hidden="1"/>
    <col min="11268" max="11268" width="5.375" style="987" hidden="1"/>
    <col min="11269" max="11269" width="9.75" style="987" hidden="1"/>
    <col min="11270" max="11270" width="6.25" style="987" hidden="1"/>
    <col min="11271" max="11271" width="6.5" style="987" hidden="1"/>
    <col min="11272" max="11272" width="12.875" style="987" hidden="1"/>
    <col min="11273" max="11273" width="7.125" style="987" hidden="1"/>
    <col min="11274" max="11274" width="12.125" style="987" hidden="1"/>
    <col min="11275" max="11275" width="11.875" style="987" hidden="1"/>
    <col min="11276" max="11276" width="10.875" style="987" hidden="1"/>
    <col min="11277" max="11277" width="11.875" style="987" hidden="1"/>
    <col min="11278" max="11279" width="10.625" style="987" hidden="1"/>
    <col min="11280" max="11280" width="0.75" style="987" hidden="1"/>
    <col min="11281" max="11281" width="3.875" style="987" hidden="1"/>
    <col min="11282" max="11520" width="9" style="987" hidden="1"/>
    <col min="11521" max="11521" width="0.75" style="987" hidden="1"/>
    <col min="11522" max="11522" width="2.125" style="987" hidden="1"/>
    <col min="11523" max="11523" width="13.375" style="987" hidden="1"/>
    <col min="11524" max="11524" width="5.375" style="987" hidden="1"/>
    <col min="11525" max="11525" width="9.75" style="987" hidden="1"/>
    <col min="11526" max="11526" width="6.25" style="987" hidden="1"/>
    <col min="11527" max="11527" width="6.5" style="987" hidden="1"/>
    <col min="11528" max="11528" width="12.875" style="987" hidden="1"/>
    <col min="11529" max="11529" width="7.125" style="987" hidden="1"/>
    <col min="11530" max="11530" width="12.125" style="987" hidden="1"/>
    <col min="11531" max="11531" width="11.875" style="987" hidden="1"/>
    <col min="11532" max="11532" width="10.875" style="987" hidden="1"/>
    <col min="11533" max="11533" width="11.875" style="987" hidden="1"/>
    <col min="11534" max="11535" width="10.625" style="987" hidden="1"/>
    <col min="11536" max="11536" width="0.75" style="987" hidden="1"/>
    <col min="11537" max="11537" width="3.875" style="987" hidden="1"/>
    <col min="11538" max="11776" width="9" style="987" hidden="1"/>
    <col min="11777" max="11777" width="0.75" style="987" hidden="1"/>
    <col min="11778" max="11778" width="2.125" style="987" hidden="1"/>
    <col min="11779" max="11779" width="13.375" style="987" hidden="1"/>
    <col min="11780" max="11780" width="5.375" style="987" hidden="1"/>
    <col min="11781" max="11781" width="9.75" style="987" hidden="1"/>
    <col min="11782" max="11782" width="6.25" style="987" hidden="1"/>
    <col min="11783" max="11783" width="6.5" style="987" hidden="1"/>
    <col min="11784" max="11784" width="12.875" style="987" hidden="1"/>
    <col min="11785" max="11785" width="7.125" style="987" hidden="1"/>
    <col min="11786" max="11786" width="12.125" style="987" hidden="1"/>
    <col min="11787" max="11787" width="11.875" style="987" hidden="1"/>
    <col min="11788" max="11788" width="10.875" style="987" hidden="1"/>
    <col min="11789" max="11789" width="11.875" style="987" hidden="1"/>
    <col min="11790" max="11791" width="10.625" style="987" hidden="1"/>
    <col min="11792" max="11792" width="0.75" style="987" hidden="1"/>
    <col min="11793" max="11793" width="3.875" style="987" hidden="1"/>
    <col min="11794" max="12032" width="9" style="987" hidden="1"/>
    <col min="12033" max="12033" width="0.75" style="987" hidden="1"/>
    <col min="12034" max="12034" width="2.125" style="987" hidden="1"/>
    <col min="12035" max="12035" width="13.375" style="987" hidden="1"/>
    <col min="12036" max="12036" width="5.375" style="987" hidden="1"/>
    <col min="12037" max="12037" width="9.75" style="987" hidden="1"/>
    <col min="12038" max="12038" width="6.25" style="987" hidden="1"/>
    <col min="12039" max="12039" width="6.5" style="987" hidden="1"/>
    <col min="12040" max="12040" width="12.875" style="987" hidden="1"/>
    <col min="12041" max="12041" width="7.125" style="987" hidden="1"/>
    <col min="12042" max="12042" width="12.125" style="987" hidden="1"/>
    <col min="12043" max="12043" width="11.875" style="987" hidden="1"/>
    <col min="12044" max="12044" width="10.875" style="987" hidden="1"/>
    <col min="12045" max="12045" width="11.875" style="987" hidden="1"/>
    <col min="12046" max="12047" width="10.625" style="987" hidden="1"/>
    <col min="12048" max="12048" width="0.75" style="987" hidden="1"/>
    <col min="12049" max="12049" width="3.875" style="987" hidden="1"/>
    <col min="12050" max="12288" width="9" style="987" hidden="1"/>
    <col min="12289" max="12289" width="0.75" style="987" hidden="1"/>
    <col min="12290" max="12290" width="2.125" style="987" hidden="1"/>
    <col min="12291" max="12291" width="13.375" style="987" hidden="1"/>
    <col min="12292" max="12292" width="5.375" style="987" hidden="1"/>
    <col min="12293" max="12293" width="9.75" style="987" hidden="1"/>
    <col min="12294" max="12294" width="6.25" style="987" hidden="1"/>
    <col min="12295" max="12295" width="6.5" style="987" hidden="1"/>
    <col min="12296" max="12296" width="12.875" style="987" hidden="1"/>
    <col min="12297" max="12297" width="7.125" style="987" hidden="1"/>
    <col min="12298" max="12298" width="12.125" style="987" hidden="1"/>
    <col min="12299" max="12299" width="11.875" style="987" hidden="1"/>
    <col min="12300" max="12300" width="10.875" style="987" hidden="1"/>
    <col min="12301" max="12301" width="11.875" style="987" hidden="1"/>
    <col min="12302" max="12303" width="10.625" style="987" hidden="1"/>
    <col min="12304" max="12304" width="0.75" style="987" hidden="1"/>
    <col min="12305" max="12305" width="3.875" style="987" hidden="1"/>
    <col min="12306" max="12544" width="9" style="987" hidden="1"/>
    <col min="12545" max="12545" width="0.75" style="987" hidden="1"/>
    <col min="12546" max="12546" width="2.125" style="987" hidden="1"/>
    <col min="12547" max="12547" width="13.375" style="987" hidden="1"/>
    <col min="12548" max="12548" width="5.375" style="987" hidden="1"/>
    <col min="12549" max="12549" width="9.75" style="987" hidden="1"/>
    <col min="12550" max="12550" width="6.25" style="987" hidden="1"/>
    <col min="12551" max="12551" width="6.5" style="987" hidden="1"/>
    <col min="12552" max="12552" width="12.875" style="987" hidden="1"/>
    <col min="12553" max="12553" width="7.125" style="987" hidden="1"/>
    <col min="12554" max="12554" width="12.125" style="987" hidden="1"/>
    <col min="12555" max="12555" width="11.875" style="987" hidden="1"/>
    <col min="12556" max="12556" width="10.875" style="987" hidden="1"/>
    <col min="12557" max="12557" width="11.875" style="987" hidden="1"/>
    <col min="12558" max="12559" width="10.625" style="987" hidden="1"/>
    <col min="12560" max="12560" width="0.75" style="987" hidden="1"/>
    <col min="12561" max="12561" width="3.875" style="987" hidden="1"/>
    <col min="12562" max="12800" width="9" style="987" hidden="1"/>
    <col min="12801" max="12801" width="0.75" style="987" hidden="1"/>
    <col min="12802" max="12802" width="2.125" style="987" hidden="1"/>
    <col min="12803" max="12803" width="13.375" style="987" hidden="1"/>
    <col min="12804" max="12804" width="5.375" style="987" hidden="1"/>
    <col min="12805" max="12805" width="9.75" style="987" hidden="1"/>
    <col min="12806" max="12806" width="6.25" style="987" hidden="1"/>
    <col min="12807" max="12807" width="6.5" style="987" hidden="1"/>
    <col min="12808" max="12808" width="12.875" style="987" hidden="1"/>
    <col min="12809" max="12809" width="7.125" style="987" hidden="1"/>
    <col min="12810" max="12810" width="12.125" style="987" hidden="1"/>
    <col min="12811" max="12811" width="11.875" style="987" hidden="1"/>
    <col min="12812" max="12812" width="10.875" style="987" hidden="1"/>
    <col min="12813" max="12813" width="11.875" style="987" hidden="1"/>
    <col min="12814" max="12815" width="10.625" style="987" hidden="1"/>
    <col min="12816" max="12816" width="0.75" style="987" hidden="1"/>
    <col min="12817" max="12817" width="3.875" style="987" hidden="1"/>
    <col min="12818" max="13056" width="9" style="987" hidden="1"/>
    <col min="13057" max="13057" width="0.75" style="987" hidden="1"/>
    <col min="13058" max="13058" width="2.125" style="987" hidden="1"/>
    <col min="13059" max="13059" width="13.375" style="987" hidden="1"/>
    <col min="13060" max="13060" width="5.375" style="987" hidden="1"/>
    <col min="13061" max="13061" width="9.75" style="987" hidden="1"/>
    <col min="13062" max="13062" width="6.25" style="987" hidden="1"/>
    <col min="13063" max="13063" width="6.5" style="987" hidden="1"/>
    <col min="13064" max="13064" width="12.875" style="987" hidden="1"/>
    <col min="13065" max="13065" width="7.125" style="987" hidden="1"/>
    <col min="13066" max="13066" width="12.125" style="987" hidden="1"/>
    <col min="13067" max="13067" width="11.875" style="987" hidden="1"/>
    <col min="13068" max="13068" width="10.875" style="987" hidden="1"/>
    <col min="13069" max="13069" width="11.875" style="987" hidden="1"/>
    <col min="13070" max="13071" width="10.625" style="987" hidden="1"/>
    <col min="13072" max="13072" width="0.75" style="987" hidden="1"/>
    <col min="13073" max="13073" width="3.875" style="987" hidden="1"/>
    <col min="13074" max="13312" width="9" style="987" hidden="1"/>
    <col min="13313" max="13313" width="0.75" style="987" hidden="1"/>
    <col min="13314" max="13314" width="2.125" style="987" hidden="1"/>
    <col min="13315" max="13315" width="13.375" style="987" hidden="1"/>
    <col min="13316" max="13316" width="5.375" style="987" hidden="1"/>
    <col min="13317" max="13317" width="9.75" style="987" hidden="1"/>
    <col min="13318" max="13318" width="6.25" style="987" hidden="1"/>
    <col min="13319" max="13319" width="6.5" style="987" hidden="1"/>
    <col min="13320" max="13320" width="12.875" style="987" hidden="1"/>
    <col min="13321" max="13321" width="7.125" style="987" hidden="1"/>
    <col min="13322" max="13322" width="12.125" style="987" hidden="1"/>
    <col min="13323" max="13323" width="11.875" style="987" hidden="1"/>
    <col min="13324" max="13324" width="10.875" style="987" hidden="1"/>
    <col min="13325" max="13325" width="11.875" style="987" hidden="1"/>
    <col min="13326" max="13327" width="10.625" style="987" hidden="1"/>
    <col min="13328" max="13328" width="0.75" style="987" hidden="1"/>
    <col min="13329" max="13329" width="3.875" style="987" hidden="1"/>
    <col min="13330" max="13568" width="9" style="987" hidden="1"/>
    <col min="13569" max="13569" width="0.75" style="987" hidden="1"/>
    <col min="13570" max="13570" width="2.125" style="987" hidden="1"/>
    <col min="13571" max="13571" width="13.375" style="987" hidden="1"/>
    <col min="13572" max="13572" width="5.375" style="987" hidden="1"/>
    <col min="13573" max="13573" width="9.75" style="987" hidden="1"/>
    <col min="13574" max="13574" width="6.25" style="987" hidden="1"/>
    <col min="13575" max="13575" width="6.5" style="987" hidden="1"/>
    <col min="13576" max="13576" width="12.875" style="987" hidden="1"/>
    <col min="13577" max="13577" width="7.125" style="987" hidden="1"/>
    <col min="13578" max="13578" width="12.125" style="987" hidden="1"/>
    <col min="13579" max="13579" width="11.875" style="987" hidden="1"/>
    <col min="13580" max="13580" width="10.875" style="987" hidden="1"/>
    <col min="13581" max="13581" width="11.875" style="987" hidden="1"/>
    <col min="13582" max="13583" width="10.625" style="987" hidden="1"/>
    <col min="13584" max="13584" width="0.75" style="987" hidden="1"/>
    <col min="13585" max="13585" width="3.875" style="987" hidden="1"/>
    <col min="13586" max="13824" width="9" style="987" hidden="1"/>
    <col min="13825" max="13825" width="0.75" style="987" hidden="1"/>
    <col min="13826" max="13826" width="2.125" style="987" hidden="1"/>
    <col min="13827" max="13827" width="13.375" style="987" hidden="1"/>
    <col min="13828" max="13828" width="5.375" style="987" hidden="1"/>
    <col min="13829" max="13829" width="9.75" style="987" hidden="1"/>
    <col min="13830" max="13830" width="6.25" style="987" hidden="1"/>
    <col min="13831" max="13831" width="6.5" style="987" hidden="1"/>
    <col min="13832" max="13832" width="12.875" style="987" hidden="1"/>
    <col min="13833" max="13833" width="7.125" style="987" hidden="1"/>
    <col min="13834" max="13834" width="12.125" style="987" hidden="1"/>
    <col min="13835" max="13835" width="11.875" style="987" hidden="1"/>
    <col min="13836" max="13836" width="10.875" style="987" hidden="1"/>
    <col min="13837" max="13837" width="11.875" style="987" hidden="1"/>
    <col min="13838" max="13839" width="10.625" style="987" hidden="1"/>
    <col min="13840" max="13840" width="0.75" style="987" hidden="1"/>
    <col min="13841" max="13841" width="3.875" style="987" hidden="1"/>
    <col min="13842" max="14080" width="9" style="987" hidden="1"/>
    <col min="14081" max="14081" width="0.75" style="987" hidden="1"/>
    <col min="14082" max="14082" width="2.125" style="987" hidden="1"/>
    <col min="14083" max="14083" width="13.375" style="987" hidden="1"/>
    <col min="14084" max="14084" width="5.375" style="987" hidden="1"/>
    <col min="14085" max="14085" width="9.75" style="987" hidden="1"/>
    <col min="14086" max="14086" width="6.25" style="987" hidden="1"/>
    <col min="14087" max="14087" width="6.5" style="987" hidden="1"/>
    <col min="14088" max="14088" width="12.875" style="987" hidden="1"/>
    <col min="14089" max="14089" width="7.125" style="987" hidden="1"/>
    <col min="14090" max="14090" width="12.125" style="987" hidden="1"/>
    <col min="14091" max="14091" width="11.875" style="987" hidden="1"/>
    <col min="14092" max="14092" width="10.875" style="987" hidden="1"/>
    <col min="14093" max="14093" width="11.875" style="987" hidden="1"/>
    <col min="14094" max="14095" width="10.625" style="987" hidden="1"/>
    <col min="14096" max="14096" width="0.75" style="987" hidden="1"/>
    <col min="14097" max="14097" width="3.875" style="987" hidden="1"/>
    <col min="14098" max="14336" width="9" style="987" hidden="1"/>
    <col min="14337" max="14337" width="0.75" style="987" hidden="1"/>
    <col min="14338" max="14338" width="2.125" style="987" hidden="1"/>
    <col min="14339" max="14339" width="13.375" style="987" hidden="1"/>
    <col min="14340" max="14340" width="5.375" style="987" hidden="1"/>
    <col min="14341" max="14341" width="9.75" style="987" hidden="1"/>
    <col min="14342" max="14342" width="6.25" style="987" hidden="1"/>
    <col min="14343" max="14343" width="6.5" style="987" hidden="1"/>
    <col min="14344" max="14344" width="12.875" style="987" hidden="1"/>
    <col min="14345" max="14345" width="7.125" style="987" hidden="1"/>
    <col min="14346" max="14346" width="12.125" style="987" hidden="1"/>
    <col min="14347" max="14347" width="11.875" style="987" hidden="1"/>
    <col min="14348" max="14348" width="10.875" style="987" hidden="1"/>
    <col min="14349" max="14349" width="11.875" style="987" hidden="1"/>
    <col min="14350" max="14351" width="10.625" style="987" hidden="1"/>
    <col min="14352" max="14352" width="0.75" style="987" hidden="1"/>
    <col min="14353" max="14353" width="3.875" style="987" hidden="1"/>
    <col min="14354" max="14592" width="9" style="987" hidden="1"/>
    <col min="14593" max="14593" width="0.75" style="987" hidden="1"/>
    <col min="14594" max="14594" width="2.125" style="987" hidden="1"/>
    <col min="14595" max="14595" width="13.375" style="987" hidden="1"/>
    <col min="14596" max="14596" width="5.375" style="987" hidden="1"/>
    <col min="14597" max="14597" width="9.75" style="987" hidden="1"/>
    <col min="14598" max="14598" width="6.25" style="987" hidden="1"/>
    <col min="14599" max="14599" width="6.5" style="987" hidden="1"/>
    <col min="14600" max="14600" width="12.875" style="987" hidden="1"/>
    <col min="14601" max="14601" width="7.125" style="987" hidden="1"/>
    <col min="14602" max="14602" width="12.125" style="987" hidden="1"/>
    <col min="14603" max="14603" width="11.875" style="987" hidden="1"/>
    <col min="14604" max="14604" width="10.875" style="987" hidden="1"/>
    <col min="14605" max="14605" width="11.875" style="987" hidden="1"/>
    <col min="14606" max="14607" width="10.625" style="987" hidden="1"/>
    <col min="14608" max="14608" width="0.75" style="987" hidden="1"/>
    <col min="14609" max="14609" width="3.875" style="987" hidden="1"/>
    <col min="14610" max="14848" width="9" style="987" hidden="1"/>
    <col min="14849" max="14849" width="0.75" style="987" hidden="1"/>
    <col min="14850" max="14850" width="2.125" style="987" hidden="1"/>
    <col min="14851" max="14851" width="13.375" style="987" hidden="1"/>
    <col min="14852" max="14852" width="5.375" style="987" hidden="1"/>
    <col min="14853" max="14853" width="9.75" style="987" hidden="1"/>
    <col min="14854" max="14854" width="6.25" style="987" hidden="1"/>
    <col min="14855" max="14855" width="6.5" style="987" hidden="1"/>
    <col min="14856" max="14856" width="12.875" style="987" hidden="1"/>
    <col min="14857" max="14857" width="7.125" style="987" hidden="1"/>
    <col min="14858" max="14858" width="12.125" style="987" hidden="1"/>
    <col min="14859" max="14859" width="11.875" style="987" hidden="1"/>
    <col min="14860" max="14860" width="10.875" style="987" hidden="1"/>
    <col min="14861" max="14861" width="11.875" style="987" hidden="1"/>
    <col min="14862" max="14863" width="10.625" style="987" hidden="1"/>
    <col min="14864" max="14864" width="0.75" style="987" hidden="1"/>
    <col min="14865" max="14865" width="3.875" style="987" hidden="1"/>
    <col min="14866" max="15104" width="9" style="987" hidden="1"/>
    <col min="15105" max="15105" width="0.75" style="987" hidden="1"/>
    <col min="15106" max="15106" width="2.125" style="987" hidden="1"/>
    <col min="15107" max="15107" width="13.375" style="987" hidden="1"/>
    <col min="15108" max="15108" width="5.375" style="987" hidden="1"/>
    <col min="15109" max="15109" width="9.75" style="987" hidden="1"/>
    <col min="15110" max="15110" width="6.25" style="987" hidden="1"/>
    <col min="15111" max="15111" width="6.5" style="987" hidden="1"/>
    <col min="15112" max="15112" width="12.875" style="987" hidden="1"/>
    <col min="15113" max="15113" width="7.125" style="987" hidden="1"/>
    <col min="15114" max="15114" width="12.125" style="987" hidden="1"/>
    <col min="15115" max="15115" width="11.875" style="987" hidden="1"/>
    <col min="15116" max="15116" width="10.875" style="987" hidden="1"/>
    <col min="15117" max="15117" width="11.875" style="987" hidden="1"/>
    <col min="15118" max="15119" width="10.625" style="987" hidden="1"/>
    <col min="15120" max="15120" width="0.75" style="987" hidden="1"/>
    <col min="15121" max="15121" width="3.875" style="987" hidden="1"/>
    <col min="15122" max="15360" width="9" style="987" hidden="1"/>
    <col min="15361" max="15361" width="0.75" style="987" hidden="1"/>
    <col min="15362" max="15362" width="2.125" style="987" hidden="1"/>
    <col min="15363" max="15363" width="13.375" style="987" hidden="1"/>
    <col min="15364" max="15364" width="5.375" style="987" hidden="1"/>
    <col min="15365" max="15365" width="9.75" style="987" hidden="1"/>
    <col min="15366" max="15366" width="6.25" style="987" hidden="1"/>
    <col min="15367" max="15367" width="6.5" style="987" hidden="1"/>
    <col min="15368" max="15368" width="12.875" style="987" hidden="1"/>
    <col min="15369" max="15369" width="7.125" style="987" hidden="1"/>
    <col min="15370" max="15370" width="12.125" style="987" hidden="1"/>
    <col min="15371" max="15371" width="11.875" style="987" hidden="1"/>
    <col min="15372" max="15372" width="10.875" style="987" hidden="1"/>
    <col min="15373" max="15373" width="11.875" style="987" hidden="1"/>
    <col min="15374" max="15375" width="10.625" style="987" hidden="1"/>
    <col min="15376" max="15376" width="0.75" style="987" hidden="1"/>
    <col min="15377" max="15377" width="3.875" style="987" hidden="1"/>
    <col min="15378" max="15616" width="9" style="987" hidden="1"/>
    <col min="15617" max="15617" width="0.75" style="987" hidden="1"/>
    <col min="15618" max="15618" width="2.125" style="987" hidden="1"/>
    <col min="15619" max="15619" width="13.375" style="987" hidden="1"/>
    <col min="15620" max="15620" width="5.375" style="987" hidden="1"/>
    <col min="15621" max="15621" width="9.75" style="987" hidden="1"/>
    <col min="15622" max="15622" width="6.25" style="987" hidden="1"/>
    <col min="15623" max="15623" width="6.5" style="987" hidden="1"/>
    <col min="15624" max="15624" width="12.875" style="987" hidden="1"/>
    <col min="15625" max="15625" width="7.125" style="987" hidden="1"/>
    <col min="15626" max="15626" width="12.125" style="987" hidden="1"/>
    <col min="15627" max="15627" width="11.875" style="987" hidden="1"/>
    <col min="15628" max="15628" width="10.875" style="987" hidden="1"/>
    <col min="15629" max="15629" width="11.875" style="987" hidden="1"/>
    <col min="15630" max="15631" width="10.625" style="987" hidden="1"/>
    <col min="15632" max="15632" width="0.75" style="987" hidden="1"/>
    <col min="15633" max="15633" width="3.875" style="987" hidden="1"/>
    <col min="15634" max="15872" width="9" style="987" hidden="1"/>
    <col min="15873" max="15873" width="0.75" style="987" hidden="1"/>
    <col min="15874" max="15874" width="2.125" style="987" hidden="1"/>
    <col min="15875" max="15875" width="13.375" style="987" hidden="1"/>
    <col min="15876" max="15876" width="5.375" style="987" hidden="1"/>
    <col min="15877" max="15877" width="9.75" style="987" hidden="1"/>
    <col min="15878" max="15878" width="6.25" style="987" hidden="1"/>
    <col min="15879" max="15879" width="6.5" style="987" hidden="1"/>
    <col min="15880" max="15880" width="12.875" style="987" hidden="1"/>
    <col min="15881" max="15881" width="7.125" style="987" hidden="1"/>
    <col min="15882" max="15882" width="12.125" style="987" hidden="1"/>
    <col min="15883" max="15883" width="11.875" style="987" hidden="1"/>
    <col min="15884" max="15884" width="10.875" style="987" hidden="1"/>
    <col min="15885" max="15885" width="11.875" style="987" hidden="1"/>
    <col min="15886" max="15887" width="10.625" style="987" hidden="1"/>
    <col min="15888" max="15888" width="0.75" style="987" hidden="1"/>
    <col min="15889" max="15889" width="3.875" style="987" hidden="1"/>
    <col min="15890" max="16128" width="9" style="987" hidden="1"/>
    <col min="16129" max="16129" width="0.75" style="987" hidden="1"/>
    <col min="16130" max="16130" width="2.125" style="987" hidden="1"/>
    <col min="16131" max="16131" width="13.375" style="987" hidden="1"/>
    <col min="16132" max="16132" width="5.375" style="987" hidden="1"/>
    <col min="16133" max="16133" width="9.75" style="987" hidden="1"/>
    <col min="16134" max="16134" width="6.25" style="987" hidden="1"/>
    <col min="16135" max="16135" width="6.5" style="987" hidden="1"/>
    <col min="16136" max="16136" width="12.875" style="987" hidden="1"/>
    <col min="16137" max="16137" width="7.125" style="987" hidden="1"/>
    <col min="16138" max="16138" width="12.125" style="987" hidden="1"/>
    <col min="16139" max="16139" width="11.875" style="987" hidden="1"/>
    <col min="16140" max="16140" width="10.875" style="987" hidden="1"/>
    <col min="16141" max="16141" width="11.875" style="987" hidden="1"/>
    <col min="16142" max="16143" width="10.625" style="987" hidden="1"/>
    <col min="16144" max="16144" width="0.75" style="987" hidden="1"/>
    <col min="16145" max="16145" width="3.875" style="987" hidden="1"/>
    <col min="16146" max="16384" width="9" style="987" hidden="1"/>
  </cols>
  <sheetData>
    <row r="1" spans="1:28" s="691" customFormat="1" ht="3.75" customHeight="1" thickBot="1">
      <c r="A1" s="683"/>
      <c r="B1" s="684"/>
      <c r="C1" s="685"/>
      <c r="D1" s="686"/>
      <c r="E1" s="687"/>
      <c r="F1" s="688"/>
      <c r="G1" s="688"/>
      <c r="H1" s="688"/>
      <c r="I1" s="689"/>
      <c r="J1" s="689"/>
      <c r="K1" s="688"/>
      <c r="L1" s="690"/>
      <c r="M1" s="687"/>
      <c r="N1" s="687"/>
      <c r="O1" s="683"/>
      <c r="P1" s="683"/>
      <c r="Q1" s="683"/>
      <c r="S1" s="692"/>
    </row>
    <row r="2" spans="1:28" s="702" customFormat="1" ht="18.75" customHeight="1" thickTop="1">
      <c r="A2" s="693"/>
      <c r="B2" s="694"/>
      <c r="C2" s="1895"/>
      <c r="D2" s="696"/>
      <c r="E2" s="697"/>
      <c r="F2" s="698"/>
      <c r="G2" s="698"/>
      <c r="H2" s="698"/>
      <c r="I2" s="699"/>
      <c r="J2" s="700"/>
      <c r="K2" s="700"/>
      <c r="L2" s="700"/>
      <c r="M2" s="700"/>
      <c r="N2" s="698"/>
      <c r="O2" s="535"/>
      <c r="P2" s="693"/>
      <c r="Q2" s="2715" t="s">
        <v>1931</v>
      </c>
      <c r="R2" s="701"/>
      <c r="S2" s="701"/>
      <c r="T2" s="701"/>
      <c r="U2" s="701"/>
      <c r="V2" s="701"/>
      <c r="W2" s="701"/>
      <c r="X2" s="701"/>
      <c r="Y2" s="701"/>
      <c r="Z2" s="701"/>
      <c r="AA2" s="701"/>
      <c r="AB2" s="701"/>
    </row>
    <row r="3" spans="1:28" s="702" customFormat="1" ht="18.75" customHeight="1">
      <c r="A3" s="693"/>
      <c r="B3" s="694"/>
      <c r="C3" s="695"/>
      <c r="D3" s="696"/>
      <c r="E3" s="697"/>
      <c r="F3" s="698"/>
      <c r="G3" s="698"/>
      <c r="H3" s="698"/>
      <c r="I3" s="699"/>
      <c r="J3" s="700"/>
      <c r="K3" s="700"/>
      <c r="L3" s="700"/>
      <c r="M3" s="700"/>
      <c r="N3" s="698"/>
      <c r="O3" s="534"/>
      <c r="P3" s="693"/>
      <c r="Q3" s="2716"/>
      <c r="R3" s="701"/>
      <c r="S3" s="701"/>
      <c r="T3" s="701"/>
      <c r="U3" s="701"/>
      <c r="V3" s="701"/>
      <c r="W3" s="701"/>
      <c r="X3" s="701"/>
      <c r="Y3" s="701"/>
      <c r="Z3" s="701"/>
      <c r="AA3" s="701"/>
      <c r="AB3" s="701"/>
    </row>
    <row r="4" spans="1:28" s="702" customFormat="1" ht="18.75" customHeight="1">
      <c r="A4" s="693"/>
      <c r="B4" s="694"/>
      <c r="C4" s="695"/>
      <c r="D4" s="696"/>
      <c r="E4" s="697"/>
      <c r="F4" s="698"/>
      <c r="G4" s="698"/>
      <c r="H4" s="698"/>
      <c r="I4" s="703"/>
      <c r="J4" s="700"/>
      <c r="K4" s="700"/>
      <c r="L4" s="700"/>
      <c r="M4" s="700"/>
      <c r="N4" s="698"/>
      <c r="O4" s="535"/>
      <c r="P4" s="693"/>
      <c r="Q4" s="2716"/>
      <c r="R4" s="701"/>
      <c r="S4" s="701"/>
      <c r="T4" s="701"/>
      <c r="U4" s="701"/>
      <c r="V4" s="701"/>
      <c r="W4" s="701"/>
      <c r="X4" s="701"/>
      <c r="Y4" s="701"/>
      <c r="Z4" s="701"/>
      <c r="AA4" s="701"/>
      <c r="AB4" s="701"/>
    </row>
    <row r="5" spans="1:28" s="702" customFormat="1" ht="13.5" customHeight="1" thickBot="1">
      <c r="A5" s="693"/>
      <c r="B5" s="704"/>
      <c r="C5" s="705"/>
      <c r="D5" s="696"/>
      <c r="E5" s="697"/>
      <c r="F5" s="2760" t="str">
        <f>"■使用評価マニュアル： "&amp;メイン!$C$6&amp;"　■使用評価ソフト： "&amp;メイン!$C$5</f>
        <v>■使用評価マニュアル： CASBEE大阪みらい編（改修）　■使用評価ソフト： 「CASBEE大阪みらい 改修」2015年版　CASBEE-BD_RN_2015(v.1.0)</v>
      </c>
      <c r="G5" s="2761"/>
      <c r="H5" s="2761"/>
      <c r="I5" s="2761"/>
      <c r="J5" s="2761"/>
      <c r="K5" s="2761"/>
      <c r="L5" s="2761"/>
      <c r="M5" s="2761"/>
      <c r="N5" s="2761"/>
      <c r="O5" s="2761"/>
      <c r="P5" s="693"/>
      <c r="Q5" s="2717"/>
      <c r="R5" s="701"/>
      <c r="S5" s="701"/>
      <c r="T5" s="701"/>
      <c r="U5" s="701"/>
      <c r="V5" s="701"/>
      <c r="W5" s="701"/>
      <c r="X5" s="701"/>
      <c r="Y5" s="701"/>
      <c r="Z5" s="701"/>
      <c r="AA5" s="701"/>
      <c r="AB5" s="701"/>
    </row>
    <row r="6" spans="1:28" s="702" customFormat="1" ht="6" customHeight="1" thickTop="1" thickBot="1">
      <c r="A6" s="693"/>
      <c r="B6" s="707"/>
      <c r="C6" s="708"/>
      <c r="D6" s="709"/>
      <c r="E6" s="710"/>
      <c r="F6" s="711"/>
      <c r="G6" s="711"/>
      <c r="H6" s="711"/>
      <c r="I6" s="712"/>
      <c r="J6" s="713"/>
      <c r="K6" s="713"/>
      <c r="L6" s="714"/>
      <c r="M6" s="710"/>
      <c r="N6" s="710"/>
      <c r="O6" s="710"/>
      <c r="P6" s="693"/>
      <c r="Q6" s="693"/>
      <c r="R6" s="701"/>
      <c r="S6" s="701"/>
      <c r="T6" s="701"/>
      <c r="U6" s="701"/>
      <c r="V6" s="701"/>
      <c r="W6" s="701"/>
      <c r="X6" s="701"/>
      <c r="Y6" s="701"/>
      <c r="Z6" s="701"/>
      <c r="AA6" s="701"/>
      <c r="AB6" s="701"/>
    </row>
    <row r="7" spans="1:28" s="702" customFormat="1" ht="18" customHeight="1" thickBot="1">
      <c r="A7" s="693"/>
      <c r="B7" s="715" t="s">
        <v>883</v>
      </c>
      <c r="C7" s="716"/>
      <c r="D7" s="717"/>
      <c r="E7" s="716"/>
      <c r="F7" s="716"/>
      <c r="G7" s="716"/>
      <c r="H7" s="716"/>
      <c r="I7" s="716"/>
      <c r="J7" s="716"/>
      <c r="K7" s="716"/>
      <c r="L7" s="716"/>
      <c r="M7" s="716"/>
      <c r="N7" s="716"/>
      <c r="O7" s="721"/>
      <c r="P7" s="693"/>
      <c r="Q7" s="693"/>
      <c r="R7" s="722" t="s">
        <v>1932</v>
      </c>
      <c r="S7" s="1064" t="s">
        <v>1933</v>
      </c>
      <c r="T7" s="1065" t="s">
        <v>1934</v>
      </c>
      <c r="U7" s="722" t="s">
        <v>1935</v>
      </c>
      <c r="V7" s="701"/>
      <c r="W7" s="701"/>
      <c r="X7" s="701"/>
      <c r="Y7" s="701"/>
      <c r="Z7" s="1066" t="s">
        <v>1936</v>
      </c>
      <c r="AA7" s="1067"/>
      <c r="AB7" s="701"/>
    </row>
    <row r="8" spans="1:28" s="702" customFormat="1" ht="18" customHeight="1">
      <c r="A8" s="693"/>
      <c r="B8" s="1068" t="s">
        <v>395</v>
      </c>
      <c r="C8" s="2554"/>
      <c r="D8" s="1069"/>
      <c r="E8" s="2554"/>
      <c r="F8" s="2554"/>
      <c r="G8" s="2555"/>
      <c r="H8" s="1068" t="s">
        <v>396</v>
      </c>
      <c r="I8" s="1069"/>
      <c r="J8" s="2554"/>
      <c r="K8" s="2554"/>
      <c r="L8" s="2556" t="s">
        <v>47</v>
      </c>
      <c r="M8" s="1070"/>
      <c r="N8" s="1070"/>
      <c r="O8" s="2557"/>
      <c r="P8" s="693"/>
      <c r="Q8" s="693"/>
      <c r="R8" s="1071" t="s">
        <v>1937</v>
      </c>
      <c r="S8" s="1072">
        <f>スコア表示!AN8</f>
        <v>3.0168750000000002</v>
      </c>
      <c r="T8" s="1073">
        <f>スコア表示!AO8</f>
        <v>3.0000000000000004</v>
      </c>
      <c r="U8" s="1074"/>
      <c r="V8" s="729" t="s">
        <v>887</v>
      </c>
      <c r="W8" s="730" t="s">
        <v>1938</v>
      </c>
      <c r="X8" s="730">
        <v>4</v>
      </c>
      <c r="Y8" s="1075">
        <v>2</v>
      </c>
      <c r="Z8" s="1076" t="s">
        <v>1933</v>
      </c>
      <c r="AA8" s="1077" t="s">
        <v>1934</v>
      </c>
      <c r="AB8" s="1078" t="s">
        <v>1939</v>
      </c>
    </row>
    <row r="9" spans="1:28" s="702" customFormat="1" ht="18" customHeight="1">
      <c r="A9" s="693"/>
      <c r="B9" s="2558" t="s">
        <v>885</v>
      </c>
      <c r="C9" s="2559"/>
      <c r="D9" s="2560" t="str">
        <f>メイン!C11</f>
        <v>旧ビル</v>
      </c>
      <c r="E9" s="2561"/>
      <c r="F9" s="2560"/>
      <c r="G9" s="2562"/>
      <c r="H9" s="2563" t="s">
        <v>885</v>
      </c>
      <c r="I9" s="2564" t="str">
        <f>メイン!H11</f>
        <v>新ビル</v>
      </c>
      <c r="J9" s="2565"/>
      <c r="K9" s="2566"/>
      <c r="L9" s="2567" t="s">
        <v>1940</v>
      </c>
      <c r="M9" s="2568"/>
      <c r="N9" s="2789" t="str">
        <f>IF(メイン!H27=0,"",メイン!H27)</f>
        <v>○○○</v>
      </c>
      <c r="O9" s="2790"/>
      <c r="P9" s="693"/>
      <c r="Q9" s="693"/>
      <c r="R9" s="1071" t="s">
        <v>1941</v>
      </c>
      <c r="S9" s="1072" t="e">
        <f>スコア表示!AN116</f>
        <v>#VALUE!</v>
      </c>
      <c r="T9" s="1073" t="e">
        <f>スコア表示!AO116</f>
        <v>#VALUE!</v>
      </c>
      <c r="U9" s="1079" t="s">
        <v>1942</v>
      </c>
      <c r="V9" s="729" t="s">
        <v>1943</v>
      </c>
      <c r="W9" s="730">
        <v>5</v>
      </c>
      <c r="X9" s="730">
        <v>4</v>
      </c>
      <c r="Y9" s="1075">
        <v>2</v>
      </c>
      <c r="Z9" s="1080">
        <f>X48</f>
        <v>3</v>
      </c>
      <c r="AA9" s="1081">
        <f>Z48</f>
        <v>3</v>
      </c>
      <c r="AB9" s="1078">
        <v>3</v>
      </c>
    </row>
    <row r="10" spans="1:28" s="702" customFormat="1" ht="18" customHeight="1">
      <c r="A10" s="693"/>
      <c r="B10" s="2569" t="s">
        <v>888</v>
      </c>
      <c r="C10" s="2570"/>
      <c r="D10" s="2571" t="str">
        <f>メイン!H12</f>
        <v>大阪市○○区○○</v>
      </c>
      <c r="E10" s="2571"/>
      <c r="F10" s="2571"/>
      <c r="G10" s="2572"/>
      <c r="H10" s="2573" t="s">
        <v>888</v>
      </c>
      <c r="I10" s="2574" t="str">
        <f>メイン!H12</f>
        <v>大阪市○○区○○</v>
      </c>
      <c r="J10" s="2575"/>
      <c r="K10" s="2576"/>
      <c r="L10" s="2577"/>
      <c r="M10" s="2578"/>
      <c r="N10" s="2791"/>
      <c r="O10" s="2792"/>
      <c r="P10" s="693"/>
      <c r="Q10" s="693"/>
      <c r="R10" s="1082" t="s">
        <v>1944</v>
      </c>
      <c r="S10" s="1083">
        <f>25*(S8-1)</f>
        <v>50.421875000000007</v>
      </c>
      <c r="T10" s="1084">
        <f>25*(T8-1)</f>
        <v>50.000000000000014</v>
      </c>
      <c r="U10" s="1079" t="s">
        <v>1945</v>
      </c>
      <c r="V10" s="741" t="s">
        <v>1946</v>
      </c>
      <c r="W10" s="730">
        <v>5</v>
      </c>
      <c r="X10" s="730">
        <v>4</v>
      </c>
      <c r="Y10" s="1075">
        <v>2</v>
      </c>
      <c r="Z10" s="1080">
        <f>AC48</f>
        <v>3</v>
      </c>
      <c r="AA10" s="1081">
        <f>AE48</f>
        <v>3</v>
      </c>
      <c r="AB10" s="1078">
        <v>3</v>
      </c>
    </row>
    <row r="11" spans="1:28" s="702" customFormat="1" ht="18" customHeight="1">
      <c r="A11" s="693"/>
      <c r="B11" s="2569" t="s">
        <v>890</v>
      </c>
      <c r="C11" s="2570"/>
      <c r="D11" s="2571" t="str">
        <f>メイン!C20</f>
        <v>○○</v>
      </c>
      <c r="E11" s="2457"/>
      <c r="F11" s="2457"/>
      <c r="G11" s="2572"/>
      <c r="H11" s="2573" t="s">
        <v>890</v>
      </c>
      <c r="I11" s="2574" t="str">
        <f>メイン!H20</f>
        <v>○○</v>
      </c>
      <c r="J11" s="2575"/>
      <c r="K11" s="2576"/>
      <c r="L11" s="2577"/>
      <c r="M11" s="2579"/>
      <c r="N11" s="2722"/>
      <c r="O11" s="2723"/>
      <c r="P11" s="693"/>
      <c r="Q11" s="693"/>
      <c r="R11" s="1082" t="s">
        <v>1947</v>
      </c>
      <c r="S11" s="1083" t="e">
        <f>25*(5-S9)</f>
        <v>#VALUE!</v>
      </c>
      <c r="T11" s="1084" t="e">
        <f>25*(5-T9)</f>
        <v>#VALUE!</v>
      </c>
      <c r="U11" s="1079" t="s">
        <v>1948</v>
      </c>
      <c r="V11" s="743" t="s">
        <v>509</v>
      </c>
      <c r="W11" s="730">
        <v>5</v>
      </c>
      <c r="X11" s="730">
        <v>4</v>
      </c>
      <c r="Y11" s="1075">
        <v>2</v>
      </c>
      <c r="Z11" s="1080" t="e">
        <f>AC59</f>
        <v>#VALUE!</v>
      </c>
      <c r="AA11" s="1081" t="e">
        <f>AE59</f>
        <v>#VALUE!</v>
      </c>
      <c r="AB11" s="1078">
        <v>3</v>
      </c>
    </row>
    <row r="12" spans="1:28" s="702" customFormat="1" ht="18" customHeight="1">
      <c r="A12" s="693"/>
      <c r="B12" s="2573" t="s">
        <v>895</v>
      </c>
      <c r="C12" s="2580"/>
      <c r="D12" s="2581"/>
      <c r="E12" s="2582">
        <f>メイン!H17</f>
        <v>2000</v>
      </c>
      <c r="F12" s="2571" t="s">
        <v>412</v>
      </c>
      <c r="G12" s="2572"/>
      <c r="H12" s="2573" t="s">
        <v>1949</v>
      </c>
      <c r="I12" s="2583"/>
      <c r="J12" s="2582">
        <f>メイン!H17</f>
        <v>2000</v>
      </c>
      <c r="K12" s="2576" t="s">
        <v>412</v>
      </c>
      <c r="L12" s="2577"/>
      <c r="M12" s="2584"/>
      <c r="N12" s="2722"/>
      <c r="O12" s="2723"/>
      <c r="P12" s="693"/>
      <c r="Q12" s="693"/>
      <c r="R12" s="1082" t="s">
        <v>1950</v>
      </c>
      <c r="S12" s="1083" t="e">
        <f>S10/S11</f>
        <v>#VALUE!</v>
      </c>
      <c r="T12" s="1085" t="e">
        <f>T10/T11</f>
        <v>#VALUE!</v>
      </c>
      <c r="U12" s="1079" t="s">
        <v>1951</v>
      </c>
      <c r="V12" s="743" t="s">
        <v>893</v>
      </c>
      <c r="W12" s="730">
        <v>5</v>
      </c>
      <c r="X12" s="730">
        <v>4</v>
      </c>
      <c r="Y12" s="1075">
        <v>2</v>
      </c>
      <c r="Z12" s="1080">
        <f>X59</f>
        <v>3</v>
      </c>
      <c r="AA12" s="1081">
        <f>Z59</f>
        <v>3</v>
      </c>
      <c r="AB12" s="1078">
        <v>3</v>
      </c>
    </row>
    <row r="13" spans="1:28" s="702" customFormat="1" ht="18" customHeight="1">
      <c r="A13" s="693"/>
      <c r="B13" s="2573" t="s">
        <v>896</v>
      </c>
      <c r="C13" s="2570"/>
      <c r="D13" s="2571"/>
      <c r="E13" s="2582">
        <f>メイン!C18</f>
        <v>1400</v>
      </c>
      <c r="F13" s="2571" t="s">
        <v>412</v>
      </c>
      <c r="G13" s="2572"/>
      <c r="H13" s="2573" t="s">
        <v>48</v>
      </c>
      <c r="I13" s="2583"/>
      <c r="J13" s="2582">
        <f>メイン!H18</f>
        <v>1400</v>
      </c>
      <c r="K13" s="2576" t="s">
        <v>412</v>
      </c>
      <c r="L13" s="2585" t="s">
        <v>1952</v>
      </c>
      <c r="M13" s="2586"/>
      <c r="N13" s="2587" t="str">
        <f>メイン!H26</f>
        <v>○○</v>
      </c>
      <c r="O13" s="2588" t="s">
        <v>892</v>
      </c>
      <c r="P13" s="693"/>
      <c r="Q13" s="693"/>
      <c r="R13" s="1086" t="s">
        <v>1953</v>
      </c>
      <c r="S13" s="1087" t="e">
        <f>ROUNDDOWN(S12,1)</f>
        <v>#VALUE!</v>
      </c>
      <c r="T13" s="1088" t="e">
        <f>ROUNDDOWN(T12,1)</f>
        <v>#VALUE!</v>
      </c>
      <c r="U13" s="1079" t="s">
        <v>1954</v>
      </c>
      <c r="V13" s="743" t="s">
        <v>1955</v>
      </c>
      <c r="W13" s="730">
        <v>5</v>
      </c>
      <c r="X13" s="730">
        <v>4</v>
      </c>
      <c r="Y13" s="1075">
        <v>2</v>
      </c>
      <c r="Z13" s="1080">
        <f>S59</f>
        <v>1.4</v>
      </c>
      <c r="AA13" s="1081">
        <f>U59</f>
        <v>1.5</v>
      </c>
      <c r="AB13" s="1078">
        <v>3</v>
      </c>
    </row>
    <row r="14" spans="1:28" s="702" customFormat="1" ht="18" customHeight="1" thickBot="1">
      <c r="A14" s="693"/>
      <c r="B14" s="2569" t="s">
        <v>897</v>
      </c>
      <c r="C14" s="2589"/>
      <c r="D14" s="2571"/>
      <c r="E14" s="2582">
        <f>メイン!C19</f>
        <v>15320</v>
      </c>
      <c r="F14" s="2571" t="s">
        <v>412</v>
      </c>
      <c r="G14" s="2572"/>
      <c r="H14" s="2573" t="s">
        <v>49</v>
      </c>
      <c r="I14" s="2583"/>
      <c r="J14" s="2582">
        <f>メイン!H19</f>
        <v>15320</v>
      </c>
      <c r="K14" s="2576" t="s">
        <v>412</v>
      </c>
      <c r="L14" s="2590" t="s">
        <v>50</v>
      </c>
      <c r="M14" s="2591"/>
      <c r="N14" s="2591"/>
      <c r="O14" s="2592"/>
      <c r="P14" s="693"/>
      <c r="Q14" s="693"/>
      <c r="S14" s="1089"/>
      <c r="T14" s="1090"/>
      <c r="U14" s="1079" t="s">
        <v>1956</v>
      </c>
      <c r="V14" s="741" t="s">
        <v>1957</v>
      </c>
      <c r="W14" s="730">
        <v>5</v>
      </c>
      <c r="X14" s="730">
        <v>4</v>
      </c>
      <c r="Y14" s="1075">
        <v>2</v>
      </c>
      <c r="Z14" s="1091">
        <f>IF(S48=0,1,S48)</f>
        <v>3</v>
      </c>
      <c r="AA14" s="1092">
        <f>IF(U48=0,1,U48)</f>
        <v>3</v>
      </c>
      <c r="AB14" s="1078">
        <v>3</v>
      </c>
    </row>
    <row r="15" spans="1:28" s="702" customFormat="1" ht="18" customHeight="1">
      <c r="A15" s="693"/>
      <c r="B15" s="2573" t="s">
        <v>889</v>
      </c>
      <c r="C15" s="2570"/>
      <c r="D15" s="2459" t="str">
        <f>メイン!C23&amp;メイン!D23</f>
        <v>S造一部○○</v>
      </c>
      <c r="E15" s="2549"/>
      <c r="F15" s="2549"/>
      <c r="G15" s="2392"/>
      <c r="H15" s="2573" t="s">
        <v>51</v>
      </c>
      <c r="I15" s="2459" t="str">
        <f>メイン!H23&amp;メイン!I23</f>
        <v>S造一部○○</v>
      </c>
      <c r="J15" s="2571"/>
      <c r="K15" s="2392"/>
      <c r="L15" s="2593" t="s">
        <v>899</v>
      </c>
      <c r="M15" s="2594"/>
      <c r="N15" s="2595" t="str">
        <f>IF(メイン!H33=0,"",メイン!H33)</f>
        <v>○○○</v>
      </c>
      <c r="O15" s="2596"/>
      <c r="P15" s="693"/>
      <c r="Q15" s="693"/>
      <c r="R15" s="1082" t="s">
        <v>1958</v>
      </c>
      <c r="S15" s="1093" t="e">
        <f>IF(AND($S$10&gt;=50,$S$12&gt;=3),1,IF(S13&lt;0.5,1,IF(S13&lt;1,2,IF(S13&lt;1.5,3,IF(S13&lt;3,4,4))))/5)</f>
        <v>#VALUE!</v>
      </c>
      <c r="T15" s="1094" t="e">
        <f>IF(AND($T$10&gt;=50,$T$12&gt;=3),1,IF(T13&lt;0.5,1,IF(T13&lt;1,2,IF(T13&lt;1.5,3,IF(T13&lt;3,4,4))))/5)</f>
        <v>#VALUE!</v>
      </c>
      <c r="V15" s="755"/>
      <c r="Z15" s="755"/>
    </row>
    <row r="16" spans="1:28" s="702" customFormat="1" ht="18" customHeight="1" thickBot="1">
      <c r="A16" s="693"/>
      <c r="B16" s="2573" t="s">
        <v>886</v>
      </c>
      <c r="C16" s="2570"/>
      <c r="D16" s="2597" t="str">
        <f>メイン!C22</f>
        <v>地上12F</v>
      </c>
      <c r="E16" s="2575"/>
      <c r="F16" s="2571"/>
      <c r="G16" s="2572"/>
      <c r="H16" s="2573" t="s">
        <v>1959</v>
      </c>
      <c r="I16" s="2459" t="str">
        <f>メイン!H22</f>
        <v>地上12F</v>
      </c>
      <c r="J16" s="2571"/>
      <c r="K16" s="2598"/>
      <c r="L16" s="2599" t="s">
        <v>902</v>
      </c>
      <c r="M16" s="2600"/>
      <c r="N16" s="2595" t="str">
        <f>IF(メイン!H34=0,"",メイン!H34)</f>
        <v>○○○</v>
      </c>
      <c r="O16" s="2601"/>
      <c r="P16" s="693"/>
      <c r="Q16" s="693"/>
      <c r="R16" s="1082" t="s">
        <v>1960</v>
      </c>
      <c r="S16" s="1095" t="e">
        <f>1-S15</f>
        <v>#VALUE!</v>
      </c>
      <c r="T16" s="1096" t="e">
        <f>1-T15</f>
        <v>#VALUE!</v>
      </c>
      <c r="U16" s="756"/>
      <c r="V16" s="755"/>
      <c r="W16" s="755"/>
      <c r="X16" s="755"/>
      <c r="Y16" s="755"/>
      <c r="Z16" s="755"/>
      <c r="AA16" s="755"/>
      <c r="AB16" s="755"/>
    </row>
    <row r="17" spans="1:35" s="702" customFormat="1" ht="18" customHeight="1" thickBot="1">
      <c r="A17" s="693"/>
      <c r="B17" s="2602" t="s">
        <v>2022</v>
      </c>
      <c r="C17" s="2603"/>
      <c r="D17" s="2793">
        <f>メイン!C15</f>
        <v>21976</v>
      </c>
      <c r="E17" s="2794"/>
      <c r="F17" s="2604"/>
      <c r="G17" s="2605"/>
      <c r="H17" s="2606" t="s">
        <v>2019</v>
      </c>
      <c r="I17" s="2795">
        <f>メイン!H15</f>
        <v>42339</v>
      </c>
      <c r="J17" s="2796"/>
      <c r="K17" s="2607"/>
      <c r="L17" s="2573" t="s">
        <v>903</v>
      </c>
      <c r="M17" s="2608"/>
      <c r="N17" s="2595" t="str">
        <f>IF(メイン!H35=0,"",メイン!H35)</f>
        <v>○○○</v>
      </c>
      <c r="O17" s="2572"/>
      <c r="P17" s="693"/>
      <c r="Q17" s="693"/>
      <c r="R17" s="755"/>
      <c r="S17" s="755"/>
      <c r="T17" s="755"/>
      <c r="U17" s="755"/>
      <c r="V17" s="755"/>
      <c r="W17" s="755"/>
      <c r="X17" s="755"/>
      <c r="Y17" s="755"/>
      <c r="Z17" s="755"/>
      <c r="AA17" s="755"/>
      <c r="AB17" s="755"/>
    </row>
    <row r="18" spans="1:35" s="702" customFormat="1" ht="18" customHeight="1">
      <c r="A18" s="693"/>
      <c r="B18" s="2609" t="s">
        <v>1961</v>
      </c>
      <c r="C18" s="2610"/>
      <c r="D18" s="2797" t="str">
        <f>メイン!C45</f>
        <v>○○○㈱</v>
      </c>
      <c r="E18" s="2798"/>
      <c r="F18" s="2798"/>
      <c r="G18" s="2798"/>
      <c r="H18" s="2798"/>
      <c r="I18" s="2798"/>
      <c r="J18" s="2798"/>
      <c r="K18" s="2799"/>
      <c r="L18" s="2611" t="s">
        <v>904</v>
      </c>
      <c r="M18" s="2608"/>
      <c r="N18" s="2595" t="str">
        <f>IF(メイン!H36=0,"",メイン!H36)</f>
        <v>○○○</v>
      </c>
      <c r="O18" s="2572"/>
      <c r="P18" s="693"/>
      <c r="Q18" s="693"/>
      <c r="R18" s="762"/>
      <c r="S18" s="763"/>
      <c r="T18" s="755"/>
      <c r="U18" s="755"/>
      <c r="V18" s="763"/>
      <c r="W18" s="764"/>
      <c r="X18" s="755"/>
      <c r="Y18" s="755"/>
      <c r="Z18" s="755"/>
      <c r="AA18" s="755"/>
      <c r="AB18" s="755"/>
    </row>
    <row r="19" spans="1:35" s="702" customFormat="1" ht="18" customHeight="1" thickBot="1">
      <c r="A19" s="693"/>
      <c r="B19" s="2612" t="s">
        <v>1962</v>
      </c>
      <c r="C19" s="2613"/>
      <c r="D19" s="2800" t="str">
        <f>メイン!C47</f>
        <v>㈱○○○設計</v>
      </c>
      <c r="E19" s="2801"/>
      <c r="F19" s="2801"/>
      <c r="G19" s="2801"/>
      <c r="H19" s="2801"/>
      <c r="I19" s="2801"/>
      <c r="J19" s="2801"/>
      <c r="K19" s="2802"/>
      <c r="L19" s="2614" t="s">
        <v>894</v>
      </c>
      <c r="M19" s="2615"/>
      <c r="N19" s="2803" t="str">
        <f>メイン!H37</f>
        <v>2015年9月1日～2015年12月10日</v>
      </c>
      <c r="O19" s="2804"/>
      <c r="P19" s="693"/>
      <c r="Q19" s="693"/>
      <c r="R19" s="762"/>
      <c r="S19" s="763"/>
      <c r="T19" s="755"/>
      <c r="U19" s="755"/>
      <c r="V19" s="763"/>
      <c r="W19" s="764"/>
      <c r="X19" s="755"/>
      <c r="Y19" s="755"/>
      <c r="Z19" s="755"/>
      <c r="AA19" s="755"/>
      <c r="AB19" s="755"/>
    </row>
    <row r="20" spans="1:35" s="702" customFormat="1" ht="18" hidden="1" customHeight="1" thickBot="1">
      <c r="A20" s="693"/>
      <c r="B20" s="1097"/>
      <c r="C20" s="1098"/>
      <c r="D20" s="1099"/>
      <c r="E20" s="1099"/>
      <c r="F20" s="1099"/>
      <c r="G20" s="1100"/>
      <c r="H20" s="1097"/>
      <c r="I20" s="1101"/>
      <c r="J20" s="1099"/>
      <c r="K20" s="1100"/>
      <c r="L20" s="1097"/>
      <c r="M20" s="1102"/>
      <c r="N20" s="1103"/>
      <c r="O20" s="1104"/>
      <c r="P20" s="693"/>
      <c r="Q20" s="693"/>
      <c r="R20" s="762"/>
      <c r="S20" s="763"/>
      <c r="T20" s="755"/>
      <c r="U20" s="755"/>
      <c r="V20" s="763"/>
      <c r="W20" s="764"/>
      <c r="X20" s="755"/>
      <c r="Y20" s="755"/>
      <c r="Z20" s="755"/>
      <c r="AA20" s="755"/>
      <c r="AB20" s="755"/>
    </row>
    <row r="21" spans="1:35" s="702" customFormat="1" ht="6.75" customHeight="1" thickBot="1">
      <c r="A21" s="693"/>
      <c r="B21" s="769"/>
      <c r="C21" s="770"/>
      <c r="D21" s="769"/>
      <c r="E21" s="771"/>
      <c r="F21" s="771"/>
      <c r="G21" s="771"/>
      <c r="H21" s="771"/>
      <c r="I21" s="772"/>
      <c r="J21" s="773"/>
      <c r="K21" s="774"/>
      <c r="L21" s="771"/>
      <c r="M21" s="771"/>
      <c r="N21" s="771"/>
      <c r="O21" s="771"/>
      <c r="P21" s="693"/>
      <c r="Q21" s="693"/>
      <c r="R21" s="762"/>
      <c r="S21" s="1105" t="s">
        <v>1933</v>
      </c>
      <c r="T21" s="1106"/>
      <c r="U21" s="1107"/>
      <c r="W21" s="1105" t="s">
        <v>1934</v>
      </c>
      <c r="X21" s="1108"/>
      <c r="Y21" s="1109"/>
      <c r="AA21" s="729" t="s">
        <v>909</v>
      </c>
      <c r="AB21" s="729"/>
      <c r="AC21" s="755"/>
      <c r="AD21" s="729" t="s">
        <v>910</v>
      </c>
      <c r="AE21" s="729"/>
      <c r="AF21" s="755"/>
      <c r="AG21" s="755"/>
      <c r="AH21" s="755"/>
      <c r="AI21" s="755"/>
    </row>
    <row r="22" spans="1:35" s="702" customFormat="1" ht="19.5" thickBot="1">
      <c r="A22" s="693"/>
      <c r="B22" s="775" t="s">
        <v>905</v>
      </c>
      <c r="C22" s="776"/>
      <c r="D22" s="777"/>
      <c r="E22" s="778"/>
      <c r="F22" s="778"/>
      <c r="G22" s="778"/>
      <c r="H22" s="720" t="s">
        <v>292</v>
      </c>
      <c r="I22" s="780"/>
      <c r="J22" s="781"/>
      <c r="K22" s="781"/>
      <c r="L22" s="779" t="s">
        <v>293</v>
      </c>
      <c r="M22" s="780"/>
      <c r="N22" s="781"/>
      <c r="O22" s="782"/>
      <c r="P22" s="693"/>
      <c r="Q22" s="693"/>
      <c r="R22" s="1082" t="s">
        <v>1963</v>
      </c>
      <c r="S22" s="1110" t="s">
        <v>906</v>
      </c>
      <c r="T22" s="729" t="s">
        <v>907</v>
      </c>
      <c r="U22" s="1111" t="s">
        <v>908</v>
      </c>
      <c r="W22" s="1110" t="s">
        <v>906</v>
      </c>
      <c r="X22" s="729" t="s">
        <v>907</v>
      </c>
      <c r="Y22" s="1111" t="s">
        <v>908</v>
      </c>
      <c r="AA22" s="736">
        <v>50</v>
      </c>
      <c r="AB22" s="736">
        <v>50</v>
      </c>
      <c r="AC22" s="755"/>
      <c r="AD22" s="736">
        <v>0</v>
      </c>
      <c r="AE22" s="736">
        <v>100</v>
      </c>
    </row>
    <row r="23" spans="1:35" s="702" customFormat="1" ht="11.25" customHeight="1">
      <c r="A23" s="693"/>
      <c r="B23" s="733"/>
      <c r="H23" s="783"/>
      <c r="I23" s="784"/>
      <c r="J23" s="784"/>
      <c r="K23" s="784"/>
      <c r="L23" s="785"/>
      <c r="M23" s="786"/>
      <c r="O23" s="787"/>
      <c r="R23" s="1082" t="s">
        <v>1964</v>
      </c>
      <c r="S23" s="1112"/>
      <c r="T23" s="788" t="e">
        <f>S11</f>
        <v>#VALUE!</v>
      </c>
      <c r="U23" s="1113">
        <v>0</v>
      </c>
      <c r="W23" s="1112"/>
      <c r="X23" s="788" t="e">
        <f>T11</f>
        <v>#VALUE!</v>
      </c>
      <c r="Y23" s="1113">
        <v>0</v>
      </c>
      <c r="AA23" s="736">
        <v>0</v>
      </c>
      <c r="AB23" s="736">
        <v>100</v>
      </c>
      <c r="AC23" s="755"/>
      <c r="AD23" s="736">
        <v>50</v>
      </c>
      <c r="AE23" s="736">
        <v>50</v>
      </c>
    </row>
    <row r="24" spans="1:35" s="702" customFormat="1" ht="26.25" customHeight="1">
      <c r="A24" s="693"/>
      <c r="B24" s="733"/>
      <c r="C24" s="2616" t="e">
        <f>IF(S13&lt;0.5,"C",IF(S13&lt;1,"B-",IF(S13&lt;1.5,"B+",IF(S13&lt;3,"A","S"))))</f>
        <v>#VALUE!</v>
      </c>
      <c r="D24" s="1114" t="e">
        <f>S13</f>
        <v>#VALUE!</v>
      </c>
      <c r="H24" s="789"/>
      <c r="I24" s="784"/>
      <c r="J24" s="784"/>
      <c r="K24" s="784"/>
      <c r="L24" s="785"/>
      <c r="M24" s="786"/>
      <c r="N24" s="790"/>
      <c r="O24" s="791"/>
      <c r="R24" s="1082" t="s">
        <v>1965</v>
      </c>
      <c r="S24" s="1112"/>
      <c r="T24" s="788">
        <f>S10</f>
        <v>50.421875000000007</v>
      </c>
      <c r="U24" s="1113">
        <v>0</v>
      </c>
      <c r="W24" s="1112"/>
      <c r="X24" s="788">
        <f>T10</f>
        <v>50.000000000000014</v>
      </c>
      <c r="Y24" s="1113">
        <v>0</v>
      </c>
      <c r="AC24" s="755"/>
    </row>
    <row r="25" spans="1:35" s="702" customFormat="1" ht="21" customHeight="1">
      <c r="A25" s="693"/>
      <c r="B25" s="733"/>
      <c r="C25" s="2617" t="e">
        <f>IF(T13&lt;0.5,"C",IF(T13&lt;1,"B-",IF(T13&lt;1.5,"B+",IF(T13&lt;3,"A","S"))))</f>
        <v>#VALUE!</v>
      </c>
      <c r="D25" s="1115" t="e">
        <f>T13</f>
        <v>#VALUE!</v>
      </c>
      <c r="H25" s="789"/>
      <c r="I25" s="784"/>
      <c r="J25" s="784"/>
      <c r="K25" s="784"/>
      <c r="L25" s="785"/>
      <c r="N25" s="790"/>
      <c r="O25" s="791"/>
      <c r="R25" s="1116">
        <v>0</v>
      </c>
      <c r="S25" s="1117" t="e">
        <f>T23</f>
        <v>#VALUE!</v>
      </c>
      <c r="T25" s="792" t="e">
        <f>T23</f>
        <v>#VALUE!</v>
      </c>
      <c r="U25" s="1118">
        <v>0.1</v>
      </c>
      <c r="V25" s="1119">
        <v>0</v>
      </c>
      <c r="W25" s="1117" t="e">
        <f>X23</f>
        <v>#VALUE!</v>
      </c>
      <c r="X25" s="792" t="e">
        <f>X23</f>
        <v>#VALUE!</v>
      </c>
      <c r="Y25" s="1118">
        <v>0.1</v>
      </c>
      <c r="AC25" s="755"/>
    </row>
    <row r="26" spans="1:35" s="702" customFormat="1" ht="24" customHeight="1" thickBot="1">
      <c r="A26" s="693"/>
      <c r="B26" s="793"/>
      <c r="C26" s="794"/>
      <c r="D26" s="794"/>
      <c r="E26" s="794"/>
      <c r="F26" s="794"/>
      <c r="G26" s="795"/>
      <c r="H26" s="796"/>
      <c r="I26" s="784"/>
      <c r="J26" s="726"/>
      <c r="K26" s="784"/>
      <c r="L26" s="785"/>
      <c r="M26" s="786"/>
      <c r="N26" s="790"/>
      <c r="O26" s="791"/>
      <c r="R26" s="1116">
        <v>0</v>
      </c>
      <c r="S26" s="1120">
        <v>0</v>
      </c>
      <c r="T26" s="1121">
        <f>T24</f>
        <v>50.421875000000007</v>
      </c>
      <c r="U26" s="1122">
        <f>T24</f>
        <v>50.421875000000007</v>
      </c>
      <c r="V26" s="1119">
        <v>0</v>
      </c>
      <c r="W26" s="1120">
        <v>0</v>
      </c>
      <c r="X26" s="1121">
        <f>X24</f>
        <v>50.000000000000014</v>
      </c>
      <c r="Y26" s="1122">
        <f>X24</f>
        <v>50.000000000000014</v>
      </c>
      <c r="AC26" s="755"/>
      <c r="AF26" s="755"/>
      <c r="AG26" s="755"/>
      <c r="AH26" s="755"/>
      <c r="AI26" s="755"/>
    </row>
    <row r="27" spans="1:35" s="702" customFormat="1" ht="15.75" customHeight="1">
      <c r="A27" s="693"/>
      <c r="B27" s="733"/>
      <c r="H27" s="2003" t="str">
        <f>V36</f>
        <v>標準計算</v>
      </c>
      <c r="I27" s="1716"/>
      <c r="J27" s="1716"/>
      <c r="K27" s="1716"/>
      <c r="L27" s="785"/>
      <c r="N27" s="790"/>
      <c r="O27" s="791"/>
      <c r="T27" s="2548"/>
      <c r="V27" s="755"/>
      <c r="W27" s="755"/>
      <c r="X27" s="2548"/>
      <c r="Y27" s="755"/>
      <c r="Z27" s="755"/>
      <c r="AA27" s="755"/>
      <c r="AB27" s="755"/>
    </row>
    <row r="28" spans="1:35" s="702" customFormat="1" ht="15.75" customHeight="1">
      <c r="A28" s="693"/>
      <c r="B28" s="733"/>
      <c r="H28" s="2007"/>
      <c r="I28" s="798"/>
      <c r="J28" s="799"/>
      <c r="K28" s="1717"/>
      <c r="L28" s="785"/>
      <c r="N28" s="790"/>
      <c r="O28" s="791"/>
      <c r="R28" s="801" t="s">
        <v>1950</v>
      </c>
      <c r="S28" s="729" t="s">
        <v>1966</v>
      </c>
      <c r="T28" s="802">
        <v>0</v>
      </c>
      <c r="U28" s="802">
        <f>100/6</f>
        <v>16.666666666666668</v>
      </c>
      <c r="V28" s="803">
        <f>U28*2</f>
        <v>33.333333333333336</v>
      </c>
      <c r="W28" s="802">
        <f>U28*3</f>
        <v>50</v>
      </c>
      <c r="X28" s="802">
        <f>U28*4</f>
        <v>66.666666666666671</v>
      </c>
      <c r="Y28" s="802">
        <f>U28*5</f>
        <v>83.333333333333343</v>
      </c>
      <c r="Z28" s="802">
        <v>100</v>
      </c>
      <c r="AA28" s="755"/>
      <c r="AB28" s="755"/>
    </row>
    <row r="29" spans="1:35" s="702" customFormat="1" ht="15.75" customHeight="1">
      <c r="A29" s="693"/>
      <c r="B29" s="733"/>
      <c r="H29" s="2007"/>
      <c r="I29" s="798"/>
      <c r="J29" s="799"/>
      <c r="K29" s="800"/>
      <c r="L29" s="785"/>
      <c r="N29" s="790"/>
      <c r="O29" s="791"/>
      <c r="R29" s="801"/>
      <c r="S29" s="729" t="s">
        <v>911</v>
      </c>
      <c r="T29" s="802">
        <v>100</v>
      </c>
      <c r="U29" s="802">
        <v>100</v>
      </c>
      <c r="V29" s="802">
        <v>100</v>
      </c>
      <c r="W29" s="802">
        <v>100</v>
      </c>
      <c r="X29" s="802">
        <v>100</v>
      </c>
      <c r="Y29" s="802">
        <v>100</v>
      </c>
      <c r="Z29" s="802">
        <v>100</v>
      </c>
      <c r="AA29" s="755"/>
      <c r="AB29" s="755"/>
    </row>
    <row r="30" spans="1:35" s="702" customFormat="1" ht="15.75" customHeight="1">
      <c r="A30" s="693"/>
      <c r="B30" s="733"/>
      <c r="H30" s="2007"/>
      <c r="I30" s="798"/>
      <c r="J30" s="799"/>
      <c r="K30" s="1714"/>
      <c r="L30" s="804"/>
      <c r="M30" s="805"/>
      <c r="N30" s="806"/>
      <c r="O30" s="807"/>
      <c r="R30" s="801">
        <v>3</v>
      </c>
      <c r="S30" s="729" t="s">
        <v>912</v>
      </c>
      <c r="T30" s="802">
        <v>50</v>
      </c>
      <c r="U30" s="802">
        <f t="shared" ref="U30:X33" si="0">U$28*$R30</f>
        <v>50</v>
      </c>
      <c r="V30" s="802">
        <f t="shared" si="0"/>
        <v>100</v>
      </c>
      <c r="W30" s="802">
        <v>100</v>
      </c>
      <c r="X30" s="802">
        <v>100</v>
      </c>
      <c r="Y30" s="802">
        <v>100</v>
      </c>
      <c r="Z30" s="802">
        <v>100</v>
      </c>
      <c r="AA30" s="755"/>
      <c r="AB30" s="755"/>
    </row>
    <row r="31" spans="1:35" s="702" customFormat="1" ht="15.75" customHeight="1">
      <c r="A31" s="693"/>
      <c r="B31" s="733"/>
      <c r="H31" s="2007"/>
      <c r="I31" s="798"/>
      <c r="J31" s="799"/>
      <c r="K31" s="1714"/>
      <c r="L31" s="797"/>
      <c r="M31" s="798"/>
      <c r="N31" s="799"/>
      <c r="O31" s="1715"/>
      <c r="R31" s="801">
        <v>1.5</v>
      </c>
      <c r="S31" s="729" t="s">
        <v>913</v>
      </c>
      <c r="T31" s="802">
        <v>0</v>
      </c>
      <c r="U31" s="802">
        <f t="shared" si="0"/>
        <v>25</v>
      </c>
      <c r="V31" s="802">
        <f t="shared" si="0"/>
        <v>50</v>
      </c>
      <c r="W31" s="802">
        <f t="shared" si="0"/>
        <v>75</v>
      </c>
      <c r="X31" s="802">
        <f t="shared" si="0"/>
        <v>100</v>
      </c>
      <c r="Y31" s="802">
        <v>100</v>
      </c>
      <c r="Z31" s="802">
        <v>100</v>
      </c>
      <c r="AA31" s="755"/>
      <c r="AB31" s="755"/>
    </row>
    <row r="32" spans="1:35" s="702" customFormat="1" ht="15.75" customHeight="1">
      <c r="A32" s="693"/>
      <c r="B32" s="733"/>
      <c r="H32" s="2007"/>
      <c r="I32" s="798"/>
      <c r="J32" s="799"/>
      <c r="K32" s="800"/>
      <c r="L32" s="785"/>
      <c r="N32" s="790"/>
      <c r="O32" s="791"/>
      <c r="R32" s="801">
        <v>1</v>
      </c>
      <c r="S32" s="729" t="s">
        <v>914</v>
      </c>
      <c r="T32" s="802">
        <v>0</v>
      </c>
      <c r="U32" s="802">
        <f t="shared" si="0"/>
        <v>16.666666666666668</v>
      </c>
      <c r="V32" s="802">
        <f t="shared" si="0"/>
        <v>33.333333333333336</v>
      </c>
      <c r="W32" s="802">
        <f t="shared" si="0"/>
        <v>50</v>
      </c>
      <c r="X32" s="802">
        <f t="shared" si="0"/>
        <v>66.666666666666671</v>
      </c>
      <c r="Y32" s="802">
        <f>Y$28*$R32</f>
        <v>83.333333333333343</v>
      </c>
      <c r="Z32" s="802">
        <f>Z$28*$R32</f>
        <v>100</v>
      </c>
      <c r="AA32" s="755"/>
      <c r="AB32" s="755"/>
    </row>
    <row r="33" spans="1:44" s="702" customFormat="1" ht="15.75" customHeight="1">
      <c r="A33" s="693"/>
      <c r="B33" s="733"/>
      <c r="H33" s="2007"/>
      <c r="I33" s="798"/>
      <c r="J33" s="799"/>
      <c r="K33" s="800"/>
      <c r="L33" s="785"/>
      <c r="N33" s="790"/>
      <c r="O33" s="791"/>
      <c r="R33" s="801">
        <v>0.5</v>
      </c>
      <c r="S33" s="729" t="s">
        <v>1967</v>
      </c>
      <c r="T33" s="802">
        <v>0</v>
      </c>
      <c r="U33" s="802">
        <f t="shared" si="0"/>
        <v>8.3333333333333339</v>
      </c>
      <c r="V33" s="802">
        <f t="shared" si="0"/>
        <v>16.666666666666668</v>
      </c>
      <c r="W33" s="802">
        <f t="shared" si="0"/>
        <v>25</v>
      </c>
      <c r="X33" s="802">
        <f t="shared" si="0"/>
        <v>33.333333333333336</v>
      </c>
      <c r="Y33" s="802">
        <f>Y$28*$R33</f>
        <v>41.666666666666671</v>
      </c>
      <c r="Z33" s="802">
        <f>Z$28*$R33</f>
        <v>50</v>
      </c>
      <c r="AA33" s="755"/>
      <c r="AB33" s="755"/>
    </row>
    <row r="34" spans="1:44" s="702" customFormat="1" ht="15.75" customHeight="1" thickBot="1">
      <c r="A34" s="693"/>
      <c r="B34" s="733"/>
      <c r="H34" s="796"/>
      <c r="I34" s="784"/>
      <c r="J34" s="784"/>
      <c r="K34" s="784"/>
      <c r="L34" s="785"/>
      <c r="M34" s="786"/>
      <c r="N34" s="790"/>
      <c r="O34" s="791"/>
      <c r="AA34" s="755"/>
      <c r="AB34" s="755"/>
    </row>
    <row r="35" spans="1:44" s="702" customFormat="1" ht="15.75" customHeight="1">
      <c r="A35" s="760"/>
      <c r="B35" s="733"/>
      <c r="H35" s="796"/>
      <c r="I35" s="784"/>
      <c r="J35" s="784"/>
      <c r="K35" s="784"/>
      <c r="L35" s="2441"/>
      <c r="M35" s="534"/>
      <c r="N35" s="534"/>
      <c r="O35" s="2442"/>
      <c r="S35" s="1732" t="s">
        <v>45</v>
      </c>
      <c r="T35" s="1732" t="s">
        <v>779</v>
      </c>
      <c r="AA35" s="755"/>
      <c r="AB35" s="755"/>
    </row>
    <row r="36" spans="1:44" s="702" customFormat="1" ht="15.75" customHeight="1">
      <c r="A36" s="760"/>
      <c r="B36" s="733"/>
      <c r="H36" s="2550"/>
      <c r="I36" s="2551"/>
      <c r="J36" s="2551"/>
      <c r="K36" s="2552"/>
      <c r="L36" s="2441"/>
      <c r="M36" s="534"/>
      <c r="N36" s="534"/>
      <c r="O36" s="2442"/>
      <c r="R36" s="1086" t="s">
        <v>780</v>
      </c>
      <c r="S36" s="1733" t="e">
        <f>IF(S38&lt;=0.3,1,IF(S38&lt;=0.6,0.8,IF(S38&lt;=0.8,0.6,IF(S38&lt;=1,0.4,0.2))))</f>
        <v>#VALUE!</v>
      </c>
      <c r="T36" s="1733" t="e">
        <f>IF(T38&lt;=0.3,1,IF(T38&lt;=0.6,0.8,IF(T38&lt;=0.8,0.6,IF(T38&lt;=1,0.4,0.2))))</f>
        <v>#VALUE!</v>
      </c>
      <c r="U36" s="813"/>
      <c r="V36" s="813" t="str">
        <f>メイン!H44</f>
        <v>標準計算</v>
      </c>
      <c r="W36" s="1735" t="s">
        <v>1968</v>
      </c>
      <c r="X36" s="813" t="s">
        <v>446</v>
      </c>
      <c r="Y36" s="813" t="s">
        <v>919</v>
      </c>
      <c r="AA36" s="755"/>
      <c r="AB36" s="755"/>
    </row>
    <row r="37" spans="1:44" s="702" customFormat="1" ht="27" customHeight="1" thickBot="1">
      <c r="A37" s="760"/>
      <c r="B37" s="733"/>
      <c r="C37" s="814"/>
      <c r="H37" s="2805" t="str">
        <f>IF(V36=X36,Y36,Y37)</f>
        <v>このグラフは、LR3中の「地球温暖化への配慮」の内容を、一般的な建物（参照値）と比べたライフサイクルCO2 排出量の目安で示したものです</v>
      </c>
      <c r="I37" s="2806"/>
      <c r="J37" s="2806"/>
      <c r="K37" s="2807"/>
      <c r="L37" s="2441"/>
      <c r="M37" s="534"/>
      <c r="N37" s="534"/>
      <c r="O37" s="2442"/>
      <c r="R37" s="1086" t="s">
        <v>781</v>
      </c>
      <c r="S37" s="1734" t="e">
        <f>1-S36</f>
        <v>#VALUE!</v>
      </c>
      <c r="T37" s="1734" t="e">
        <f>1-T36</f>
        <v>#VALUE!</v>
      </c>
      <c r="U37" s="813"/>
      <c r="V37" s="813" t="s">
        <v>922</v>
      </c>
      <c r="W37" s="760" t="str">
        <f>IF(V36=X37,W36,"")</f>
        <v/>
      </c>
      <c r="X37" s="813" t="s">
        <v>448</v>
      </c>
      <c r="Y37" s="813" t="s">
        <v>921</v>
      </c>
      <c r="AA37" s="755"/>
      <c r="AB37" s="755"/>
    </row>
    <row r="38" spans="1:44" s="702" customFormat="1" ht="15.75" customHeight="1" thickBot="1">
      <c r="A38" s="760"/>
      <c r="B38" s="765"/>
      <c r="C38" s="766"/>
      <c r="E38" s="1123" t="e">
        <f>TEXT(ROUNDDOWN(T13,1),"0.0")&amp;"－"&amp;TEXT(ROUNDDOWN(S13,1),"0.0")&amp;"＝"</f>
        <v>#VALUE!</v>
      </c>
      <c r="F38" s="1124" t="e">
        <f>T13-S13</f>
        <v>#VALUE!</v>
      </c>
      <c r="G38" s="1040"/>
      <c r="H38" s="2808"/>
      <c r="I38" s="2781"/>
      <c r="J38" s="2781"/>
      <c r="K38" s="2809"/>
      <c r="L38" s="2618" t="s">
        <v>1785</v>
      </c>
      <c r="M38" s="820"/>
      <c r="N38" s="2444" t="str">
        <f>メイン!I41</f>
        <v>無</v>
      </c>
      <c r="O38" s="2445"/>
      <c r="R38" s="755"/>
      <c r="S38" s="760" t="e">
        <f>'計画概要書(改修前)'!T35</f>
        <v>#VALUE!</v>
      </c>
      <c r="T38" s="760" t="e">
        <f>'計画概要書(改修後)'!T35</f>
        <v>#VALUE!</v>
      </c>
      <c r="U38" s="813"/>
      <c r="AA38" s="755"/>
      <c r="AB38" s="755"/>
      <c r="AQ38" s="755"/>
      <c r="AR38" s="755"/>
    </row>
    <row r="39" spans="1:44" s="702" customFormat="1" ht="18" customHeight="1" thickBot="1">
      <c r="A39" s="693"/>
      <c r="B39" s="815" t="s">
        <v>923</v>
      </c>
      <c r="C39" s="816"/>
      <c r="D39" s="817"/>
      <c r="E39" s="816"/>
      <c r="F39" s="816"/>
      <c r="G39" s="816"/>
      <c r="H39" s="818"/>
      <c r="I39" s="819"/>
      <c r="J39" s="816"/>
      <c r="K39" s="816"/>
      <c r="L39" s="816"/>
      <c r="M39" s="820"/>
      <c r="N39" s="820"/>
      <c r="O39" s="821"/>
      <c r="P39" s="693"/>
      <c r="Q39" s="693"/>
      <c r="AA39" s="755"/>
      <c r="AB39" s="755"/>
      <c r="AQ39" s="755"/>
      <c r="AR39" s="755"/>
    </row>
    <row r="40" spans="1:44" s="702" customFormat="1" ht="19.5" thickBot="1">
      <c r="A40" s="693"/>
      <c r="B40" s="822" t="s">
        <v>924</v>
      </c>
      <c r="C40" s="823"/>
      <c r="D40" s="823"/>
      <c r="E40" s="824"/>
      <c r="F40" s="823"/>
      <c r="G40" s="823"/>
      <c r="H40" s="823"/>
      <c r="I40" s="823"/>
      <c r="J40" s="823"/>
      <c r="K40" s="825"/>
      <c r="L40" s="826"/>
      <c r="M40" s="827" t="s">
        <v>43</v>
      </c>
      <c r="N40" s="1125" t="str">
        <f>TEXT(ROUNDDOWN(S8,1),"0.0")&amp;"→"&amp;TEXT(ROUNDDOWN(T8,1),"0.0")</f>
        <v>3.0→3.0</v>
      </c>
      <c r="O40" s="1126"/>
      <c r="P40" s="693"/>
      <c r="Q40" s="693"/>
      <c r="R40" s="808" t="s">
        <v>915</v>
      </c>
      <c r="S40" s="1724" t="s">
        <v>775</v>
      </c>
      <c r="T40" s="1724" t="s">
        <v>776</v>
      </c>
      <c r="U40" s="1724" t="s">
        <v>777</v>
      </c>
      <c r="V40" s="1725" t="s">
        <v>778</v>
      </c>
      <c r="AA40" s="755"/>
      <c r="AB40" s="755"/>
    </row>
    <row r="41" spans="1:44" s="702" customFormat="1" ht="15">
      <c r="A41" s="693"/>
      <c r="B41" s="733"/>
      <c r="C41" s="830" t="str">
        <f>スコア表示!B9&amp;" "&amp;スコア表示!D9</f>
        <v>Q1 室内環境</v>
      </c>
      <c r="D41" s="831"/>
      <c r="E41" s="831"/>
      <c r="F41" s="831"/>
      <c r="G41" s="831"/>
      <c r="H41" s="831" t="str">
        <f>"     "&amp;スコア表示!B61&amp;" "&amp;スコア表示!D61</f>
        <v xml:space="preserve">     Q2 サービス性能</v>
      </c>
      <c r="I41" s="831"/>
      <c r="J41" s="760"/>
      <c r="K41" s="760"/>
      <c r="L41" s="832" t="str">
        <f>スコア表示!B109&amp;" "&amp;スコア表示!D109</f>
        <v>Q3 室外環境（敷地内）</v>
      </c>
      <c r="M41" s="832"/>
      <c r="N41" s="760"/>
      <c r="O41" s="833"/>
      <c r="P41" s="693"/>
      <c r="Q41" s="813"/>
      <c r="R41" s="728" t="s">
        <v>1969</v>
      </c>
      <c r="S41" s="1736" t="e">
        <f>'計画概要書(改修前)'!V41</f>
        <v>#VALUE!</v>
      </c>
      <c r="T41" s="1726"/>
      <c r="U41" s="1727">
        <v>1</v>
      </c>
      <c r="V41" s="1728" t="e">
        <f>IF(COUNTIF(S41:T41,W42)&gt;0,W42,SUM(S41:T41))</f>
        <v>#VALUE!</v>
      </c>
      <c r="W41" s="702" t="str">
        <f>排出係数!D5</f>
        <v>N.A.</v>
      </c>
      <c r="AA41" s="755"/>
      <c r="AB41" s="755"/>
    </row>
    <row r="42" spans="1:44" s="702" customFormat="1" ht="15" customHeight="1" thickBot="1">
      <c r="A42" s="693"/>
      <c r="B42" s="733"/>
      <c r="C42" s="834"/>
      <c r="D42" s="835"/>
      <c r="E42" s="836"/>
      <c r="G42" s="831" t="str">
        <f>TEXT(ROUNDDOWN(S48,1),"0.0")&amp;"→"&amp;TEXT(ROUNDDOWN(U48,1),"0.0")</f>
        <v>3.0→3.0</v>
      </c>
      <c r="I42" s="836"/>
      <c r="K42" s="831" t="str">
        <f>TEXT(ROUNDDOWN(X48,1),"0.0")&amp;"→"&amp;TEXT(ROUNDDOWN(Z48,1),"0.0")</f>
        <v>3.0→3.0</v>
      </c>
      <c r="M42" s="837"/>
      <c r="N42" s="836"/>
      <c r="O42" s="838" t="str">
        <f>TEXT(ROUNDDOWN(AC48,1),"0.0")&amp;"→"&amp;TEXT(ROUNDDOWN(AE48,1),"0.0")</f>
        <v>3.0→3.0</v>
      </c>
      <c r="P42" s="693"/>
      <c r="Q42" s="1720"/>
      <c r="R42" s="728" t="s">
        <v>1970</v>
      </c>
      <c r="S42" s="1737" t="e">
        <f>'計画概要書(改修後)'!V41</f>
        <v>#VALUE!</v>
      </c>
      <c r="T42" s="1729"/>
      <c r="U42" s="1730" t="e">
        <f>IF(OR($V$41=W42,V42=W42),W42,V42/$V$41)</f>
        <v>#VALUE!</v>
      </c>
      <c r="V42" s="1731" t="e">
        <f>IF(COUNTIF(S42:T42,W42)&gt;0,W42,SUM(S42:T42))</f>
        <v>#VALUE!</v>
      </c>
      <c r="W42" s="702" t="s">
        <v>1971</v>
      </c>
      <c r="AA42" s="755"/>
      <c r="AB42" s="755"/>
    </row>
    <row r="43" spans="1:44" s="702" customFormat="1" ht="15" customHeight="1">
      <c r="A43" s="693"/>
      <c r="B43" s="733"/>
      <c r="G43" s="711"/>
      <c r="H43" s="711"/>
      <c r="I43" s="712"/>
      <c r="J43" s="712"/>
      <c r="K43" s="711"/>
      <c r="L43" s="760"/>
      <c r="M43" s="760"/>
      <c r="N43" s="760"/>
      <c r="O43" s="833"/>
      <c r="P43" s="693"/>
      <c r="Q43" s="693"/>
      <c r="R43" s="728" t="s">
        <v>1972</v>
      </c>
      <c r="S43" s="1726"/>
      <c r="T43" s="1726" t="e">
        <f>'計画概要書(改修前)'!W42</f>
        <v>#VALUE!</v>
      </c>
      <c r="U43" s="1727">
        <v>1</v>
      </c>
      <c r="V43" s="1728" t="e">
        <f>IF(COUNTIF(S43:T43,W43)&gt;0,W43,SUM(S43:T43))</f>
        <v>#VALUE!</v>
      </c>
      <c r="W43" s="702" t="s">
        <v>881</v>
      </c>
    </row>
    <row r="44" spans="1:44" s="702" customFormat="1" ht="15" customHeight="1" thickBot="1">
      <c r="A44" s="693"/>
      <c r="B44" s="733"/>
      <c r="G44" s="711"/>
      <c r="H44" s="711"/>
      <c r="I44" s="712"/>
      <c r="J44" s="712"/>
      <c r="K44" s="711"/>
      <c r="L44" s="760"/>
      <c r="M44" s="760"/>
      <c r="N44" s="760"/>
      <c r="O44" s="833"/>
      <c r="P44" s="693"/>
      <c r="Q44" s="693"/>
      <c r="R44" s="728" t="s">
        <v>1973</v>
      </c>
      <c r="S44" s="1729"/>
      <c r="T44" s="1729" t="e">
        <f>'計画概要書(改修後)'!$W$42</f>
        <v>#VALUE!</v>
      </c>
      <c r="U44" s="1730" t="e">
        <f>IF(OR($V$43=W44,V44=W44),W44,V44/$V$43)</f>
        <v>#VALUE!</v>
      </c>
      <c r="V44" s="1731" t="e">
        <f>IF(COUNTIF(S44:T44,W44)&gt;0,W44,SUM(S44:T44))</f>
        <v>#VALUE!</v>
      </c>
      <c r="W44" s="702" t="s">
        <v>881</v>
      </c>
      <c r="Y44" s="813"/>
    </row>
    <row r="45" spans="1:44" s="702" customFormat="1" ht="15" customHeight="1" thickBot="1">
      <c r="A45" s="693"/>
      <c r="B45" s="733"/>
      <c r="G45" s="711"/>
      <c r="H45" s="711"/>
      <c r="I45" s="712"/>
      <c r="J45" s="712"/>
      <c r="K45" s="711"/>
      <c r="L45" s="760"/>
      <c r="M45" s="760"/>
      <c r="N45" s="760"/>
      <c r="O45" s="833"/>
      <c r="P45" s="693"/>
      <c r="Q45" s="693"/>
      <c r="AA45" s="755"/>
      <c r="AB45" s="755"/>
    </row>
    <row r="46" spans="1:44" s="702" customFormat="1" ht="15" customHeight="1">
      <c r="A46" s="693"/>
      <c r="B46" s="733"/>
      <c r="G46" s="711"/>
      <c r="H46" s="711"/>
      <c r="I46" s="712"/>
      <c r="J46" s="712"/>
      <c r="K46" s="711"/>
      <c r="L46" s="760"/>
      <c r="M46" s="760"/>
      <c r="N46" s="760"/>
      <c r="O46" s="833"/>
      <c r="P46" s="693"/>
      <c r="Q46" s="693"/>
      <c r="S46" s="1127" t="s">
        <v>52</v>
      </c>
      <c r="T46" s="1128"/>
      <c r="U46" s="1127" t="s">
        <v>53</v>
      </c>
      <c r="V46" s="1128"/>
      <c r="X46" s="1127" t="s">
        <v>52</v>
      </c>
      <c r="Y46" s="1128"/>
      <c r="Z46" s="1127" t="s">
        <v>53</v>
      </c>
      <c r="AA46" s="1128"/>
      <c r="AB46" s="755"/>
      <c r="AC46" s="1127" t="s">
        <v>52</v>
      </c>
      <c r="AD46" s="1128"/>
      <c r="AE46" s="1127" t="s">
        <v>53</v>
      </c>
      <c r="AF46" s="1128"/>
    </row>
    <row r="47" spans="1:44" s="702" customFormat="1" ht="15" customHeight="1">
      <c r="A47" s="693"/>
      <c r="B47" s="733"/>
      <c r="G47" s="711"/>
      <c r="H47" s="711"/>
      <c r="I47" s="712"/>
      <c r="J47" s="712"/>
      <c r="K47" s="711"/>
      <c r="L47" s="760"/>
      <c r="M47" s="760"/>
      <c r="N47" s="760"/>
      <c r="O47" s="833"/>
      <c r="P47" s="693"/>
      <c r="Q47" s="693"/>
      <c r="R47" s="1082"/>
      <c r="S47" s="1129" t="s">
        <v>54</v>
      </c>
      <c r="T47" s="1130" t="s">
        <v>55</v>
      </c>
      <c r="U47" s="1129" t="s">
        <v>54</v>
      </c>
      <c r="V47" s="1130" t="s">
        <v>55</v>
      </c>
      <c r="W47" s="1131"/>
      <c r="X47" s="1083" t="s">
        <v>54</v>
      </c>
      <c r="Y47" s="1085" t="s">
        <v>55</v>
      </c>
      <c r="Z47" s="1083" t="s">
        <v>54</v>
      </c>
      <c r="AA47" s="1085" t="s">
        <v>55</v>
      </c>
      <c r="AB47" s="1131"/>
      <c r="AC47" s="1083" t="s">
        <v>54</v>
      </c>
      <c r="AD47" s="1085" t="s">
        <v>55</v>
      </c>
      <c r="AE47" s="1083" t="s">
        <v>54</v>
      </c>
      <c r="AF47" s="1085" t="s">
        <v>55</v>
      </c>
    </row>
    <row r="48" spans="1:44" s="702" customFormat="1" ht="15" customHeight="1">
      <c r="A48" s="693"/>
      <c r="B48" s="733"/>
      <c r="G48" s="843"/>
      <c r="H48" s="843"/>
      <c r="I48" s="712"/>
      <c r="J48" s="712"/>
      <c r="K48" s="711"/>
      <c r="L48" s="760"/>
      <c r="M48" s="760"/>
      <c r="N48" s="760"/>
      <c r="O48" s="833"/>
      <c r="P48" s="693"/>
      <c r="Q48" s="693"/>
      <c r="R48" s="1132" t="s">
        <v>1974</v>
      </c>
      <c r="S48" s="1133">
        <f>スコア表示!T9</f>
        <v>3</v>
      </c>
      <c r="T48" s="1134">
        <f>スコア表示!AN9</f>
        <v>3</v>
      </c>
      <c r="U48" s="1133">
        <f>スコア表示!U9</f>
        <v>3</v>
      </c>
      <c r="V48" s="1134">
        <f>スコア表示!AO9</f>
        <v>3</v>
      </c>
      <c r="W48" s="1135" t="s">
        <v>56</v>
      </c>
      <c r="X48" s="1133">
        <f>スコア表示!T61</f>
        <v>3</v>
      </c>
      <c r="Y48" s="1134">
        <f>スコア表示!AN61</f>
        <v>3.0562499999999999</v>
      </c>
      <c r="Z48" s="1133">
        <f>スコア表示!U61</f>
        <v>3</v>
      </c>
      <c r="AA48" s="1134">
        <f>スコア表示!AO61</f>
        <v>3.0000000000000009</v>
      </c>
      <c r="AB48" s="1136" t="s">
        <v>1975</v>
      </c>
      <c r="AC48" s="1133">
        <f>スコア表示!T109</f>
        <v>3</v>
      </c>
      <c r="AD48" s="1134">
        <f>スコア表示!AN109</f>
        <v>3</v>
      </c>
      <c r="AE48" s="1133">
        <f>スコア表示!U109</f>
        <v>3</v>
      </c>
      <c r="AF48" s="1134">
        <f>スコア表示!AO109</f>
        <v>3</v>
      </c>
    </row>
    <row r="49" spans="1:32" s="702" customFormat="1" ht="15" customHeight="1">
      <c r="A49" s="760"/>
      <c r="B49" s="733"/>
      <c r="G49" s="843"/>
      <c r="H49" s="843"/>
      <c r="I49" s="712"/>
      <c r="J49" s="712"/>
      <c r="K49" s="711"/>
      <c r="L49" s="760"/>
      <c r="M49" s="760"/>
      <c r="N49" s="760"/>
      <c r="O49" s="833"/>
      <c r="P49" s="760"/>
      <c r="Q49" s="693"/>
      <c r="S49" s="733"/>
      <c r="T49" s="734"/>
      <c r="U49" s="733"/>
      <c r="V49" s="734"/>
      <c r="X49" s="733"/>
      <c r="Y49" s="734"/>
      <c r="Z49" s="733"/>
      <c r="AA49" s="734"/>
      <c r="AC49" s="733"/>
      <c r="AD49" s="734"/>
      <c r="AE49" s="733"/>
      <c r="AF49" s="734"/>
    </row>
    <row r="50" spans="1:32" s="702" customFormat="1" ht="15" customHeight="1">
      <c r="A50" s="760"/>
      <c r="B50" s="733"/>
      <c r="G50" s="844"/>
      <c r="H50" s="845"/>
      <c r="I50" s="846"/>
      <c r="J50" s="846"/>
      <c r="K50" s="847"/>
      <c r="L50" s="848"/>
      <c r="M50" s="848"/>
      <c r="N50" s="848"/>
      <c r="O50" s="849"/>
      <c r="P50" s="760"/>
      <c r="Q50" s="693"/>
      <c r="R50" s="1082"/>
      <c r="S50" s="1083" t="s">
        <v>54</v>
      </c>
      <c r="T50" s="1085" t="s">
        <v>57</v>
      </c>
      <c r="U50" s="1083" t="s">
        <v>54</v>
      </c>
      <c r="V50" s="1085" t="s">
        <v>57</v>
      </c>
      <c r="W50" s="1131"/>
      <c r="X50" s="1083" t="s">
        <v>54</v>
      </c>
      <c r="Y50" s="1085" t="s">
        <v>57</v>
      </c>
      <c r="Z50" s="1083" t="s">
        <v>54</v>
      </c>
      <c r="AA50" s="1085" t="s">
        <v>57</v>
      </c>
      <c r="AB50" s="1131"/>
      <c r="AC50" s="1083" t="s">
        <v>54</v>
      </c>
      <c r="AD50" s="1085" t="s">
        <v>57</v>
      </c>
      <c r="AE50" s="1083" t="s">
        <v>54</v>
      </c>
      <c r="AF50" s="1085" t="s">
        <v>57</v>
      </c>
    </row>
    <row r="51" spans="1:32" s="702" customFormat="1" ht="18" customHeight="1">
      <c r="A51" s="850"/>
      <c r="B51" s="851" t="s">
        <v>1051</v>
      </c>
      <c r="C51" s="852"/>
      <c r="D51" s="853"/>
      <c r="E51" s="852"/>
      <c r="F51" s="852"/>
      <c r="G51" s="852"/>
      <c r="H51" s="823"/>
      <c r="I51" s="823"/>
      <c r="J51" s="823"/>
      <c r="K51" s="825"/>
      <c r="L51" s="826"/>
      <c r="M51" s="827" t="s">
        <v>1976</v>
      </c>
      <c r="N51" s="1125" t="e">
        <f>TEXT(ROUNDDOWN(S9,1),"0.0")&amp;"→"&amp;TEXT(ROUNDDOWN(T9,1),"0.0")</f>
        <v>#VALUE!</v>
      </c>
      <c r="O51" s="1126"/>
      <c r="P51" s="693"/>
      <c r="Q51" s="693"/>
      <c r="R51" s="1137" t="s">
        <v>925</v>
      </c>
      <c r="S51" s="1133">
        <f>スコア表示!T10</f>
        <v>3</v>
      </c>
      <c r="T51" s="1138" t="str">
        <f>IF(S51=0,"N.A.","")</f>
        <v/>
      </c>
      <c r="U51" s="1133">
        <f>スコア表示!U10</f>
        <v>3</v>
      </c>
      <c r="V51" s="1138" t="str">
        <f>IF(U51=0,"N.A.","")</f>
        <v/>
      </c>
      <c r="W51" s="1135" t="s">
        <v>926</v>
      </c>
      <c r="X51" s="1133">
        <f>スコア表示!T62</f>
        <v>3</v>
      </c>
      <c r="Y51" s="1138" t="str">
        <f>IF(X51=0,"N.A.","")</f>
        <v/>
      </c>
      <c r="Z51" s="1133">
        <f>スコア表示!U62</f>
        <v>3</v>
      </c>
      <c r="AA51" s="1138" t="str">
        <f>IF(Z51=0,"N.A.","")</f>
        <v/>
      </c>
      <c r="AB51" s="1139" t="s">
        <v>927</v>
      </c>
      <c r="AC51" s="1133">
        <f>スコア表示!T110</f>
        <v>3</v>
      </c>
      <c r="AD51" s="1138" t="str">
        <f>IF(AC51=0,"N.A.","")</f>
        <v/>
      </c>
      <c r="AE51" s="1133">
        <f>スコア表示!U110</f>
        <v>3</v>
      </c>
      <c r="AF51" s="1138" t="str">
        <f>IF(AE51=0,"N.A.","")</f>
        <v/>
      </c>
    </row>
    <row r="52" spans="1:32" s="702" customFormat="1" ht="15">
      <c r="A52" s="693"/>
      <c r="B52" s="855"/>
      <c r="C52" s="832" t="str">
        <f>スコア表示!B117&amp;" "&amp;スコア表示!D117</f>
        <v>LR1 エネルギー</v>
      </c>
      <c r="D52" s="832"/>
      <c r="E52" s="856"/>
      <c r="F52" s="832"/>
      <c r="G52" s="832"/>
      <c r="H52" s="832" t="str">
        <f>"     "&amp;スコア表示!B140&amp;" "&amp;スコア表示!D140</f>
        <v xml:space="preserve">     LR2 資源・マテリアル</v>
      </c>
      <c r="I52" s="832"/>
      <c r="J52" s="832"/>
      <c r="K52" s="832"/>
      <c r="L52" s="830" t="str">
        <f>スコア表示!B159&amp;" "&amp;スコア表示!D159</f>
        <v>LR3 敷地外環境</v>
      </c>
      <c r="M52" s="832"/>
      <c r="N52" s="832"/>
      <c r="O52" s="857"/>
      <c r="P52" s="693"/>
      <c r="Q52" s="693"/>
      <c r="R52" s="1137" t="s">
        <v>928</v>
      </c>
      <c r="S52" s="1133">
        <f>スコア表示!T20</f>
        <v>3</v>
      </c>
      <c r="T52" s="1138" t="str">
        <f>IF(S52=0,"N.A.","")</f>
        <v/>
      </c>
      <c r="U52" s="1133">
        <f>スコア表示!U20</f>
        <v>3</v>
      </c>
      <c r="V52" s="1138" t="str">
        <f>IF(U52=0,"N.A.","")</f>
        <v/>
      </c>
      <c r="W52" s="1135" t="s">
        <v>1046</v>
      </c>
      <c r="X52" s="1133">
        <f>スコア表示!T75</f>
        <v>3.1</v>
      </c>
      <c r="Y52" s="1138" t="str">
        <f>IF(X52=0,"N.A.","")</f>
        <v/>
      </c>
      <c r="Z52" s="1133">
        <f>スコア表示!U75</f>
        <v>3</v>
      </c>
      <c r="AA52" s="1138" t="str">
        <f>IF(Z52=0,"N.A.","")</f>
        <v/>
      </c>
      <c r="AB52" s="1139" t="s">
        <v>58</v>
      </c>
      <c r="AC52" s="1133">
        <f>スコア表示!T111</f>
        <v>3</v>
      </c>
      <c r="AD52" s="1138" t="str">
        <f>IF(AC52=0,"N.A.","")</f>
        <v/>
      </c>
      <c r="AE52" s="1133">
        <f>スコア表示!U111</f>
        <v>3</v>
      </c>
      <c r="AF52" s="1138" t="str">
        <f>IF(AE52=0,"N.A.","")</f>
        <v/>
      </c>
    </row>
    <row r="53" spans="1:32" s="702" customFormat="1" ht="15">
      <c r="A53" s="760"/>
      <c r="B53" s="725"/>
      <c r="C53" s="834"/>
      <c r="D53" s="835"/>
      <c r="E53" s="836"/>
      <c r="G53" s="831" t="str">
        <f>TEXT(ROUNDDOWN(S59,1),"0.0")&amp;"→"&amp;TEXT(ROUNDDOWN(U59,1),"0.0")</f>
        <v>1.4→1.5</v>
      </c>
      <c r="I53" s="836"/>
      <c r="K53" s="831" t="str">
        <f>TEXT(ROUNDDOWN(X59,1),"0.0")&amp;"→"&amp;TEXT(ROUNDDOWN(Z59,1),"0.0")</f>
        <v>3.0→3.0</v>
      </c>
      <c r="L53" s="836"/>
      <c r="N53" s="858"/>
      <c r="O53" s="838" t="e">
        <f>TEXT(ROUNDDOWN(AC59,1),"0.0")&amp;"→"&amp;TEXT(ROUNDDOWN(AE59,1),"0.0")</f>
        <v>#VALUE!</v>
      </c>
      <c r="P53" s="760"/>
      <c r="Q53" s="693"/>
      <c r="R53" s="1137" t="s">
        <v>1047</v>
      </c>
      <c r="S53" s="1133">
        <f>スコア表示!T34</f>
        <v>3</v>
      </c>
      <c r="T53" s="1138" t="str">
        <f>IF(S53=0,"N.A.","")</f>
        <v/>
      </c>
      <c r="U53" s="1133">
        <f>スコア表示!U34</f>
        <v>3</v>
      </c>
      <c r="V53" s="1138" t="str">
        <f>IF(U53=0,"N.A.","")</f>
        <v/>
      </c>
      <c r="W53" s="1135" t="s">
        <v>1048</v>
      </c>
      <c r="X53" s="1133">
        <f>スコア表示!T97</f>
        <v>3</v>
      </c>
      <c r="Y53" s="1138" t="str">
        <f>IF(X53=0,"N.A.","")</f>
        <v/>
      </c>
      <c r="Z53" s="1133">
        <f>スコア表示!U97</f>
        <v>3</v>
      </c>
      <c r="AA53" s="1138" t="str">
        <f>IF(Z53=0,"N.A.","")</f>
        <v/>
      </c>
      <c r="AB53" s="1139" t="s">
        <v>1049</v>
      </c>
      <c r="AC53" s="1133">
        <f>スコア表示!T112</f>
        <v>3</v>
      </c>
      <c r="AD53" s="1138" t="str">
        <f>IF(AC53=0,"N.A.","")</f>
        <v/>
      </c>
      <c r="AE53" s="1133">
        <f>スコア表示!U112</f>
        <v>3</v>
      </c>
      <c r="AF53" s="1138" t="str">
        <f>IF(AE53=0,"N.A.","")</f>
        <v/>
      </c>
    </row>
    <row r="54" spans="1:32" s="702" customFormat="1" ht="14.25">
      <c r="A54" s="760"/>
      <c r="B54" s="725"/>
      <c r="C54" s="859"/>
      <c r="D54" s="859"/>
      <c r="E54" s="860"/>
      <c r="F54" s="844"/>
      <c r="G54" s="844"/>
      <c r="H54" s="844"/>
      <c r="I54" s="712"/>
      <c r="J54" s="712"/>
      <c r="K54" s="711"/>
      <c r="L54" s="711"/>
      <c r="M54" s="726"/>
      <c r="N54" s="726"/>
      <c r="O54" s="727"/>
      <c r="P54" s="760"/>
      <c r="Q54" s="693"/>
      <c r="R54" s="1137" t="s">
        <v>1050</v>
      </c>
      <c r="S54" s="1133">
        <f>スコア表示!T47</f>
        <v>3</v>
      </c>
      <c r="T54" s="1138" t="str">
        <f>IF(S54=0,"N.A.","")</f>
        <v/>
      </c>
      <c r="U54" s="1133">
        <f>スコア表示!U47</f>
        <v>3</v>
      </c>
      <c r="V54" s="1138" t="str">
        <f>IF(U54=0,"N.A.","")</f>
        <v/>
      </c>
      <c r="W54" s="755"/>
      <c r="X54" s="1140"/>
      <c r="Y54" s="1141"/>
      <c r="Z54" s="1140"/>
      <c r="AA54" s="1141"/>
      <c r="AB54" s="755"/>
      <c r="AC54" s="1140"/>
      <c r="AD54" s="1141"/>
      <c r="AE54" s="1140"/>
      <c r="AF54" s="1141"/>
    </row>
    <row r="55" spans="1:32" s="702" customFormat="1" ht="15.75" customHeight="1">
      <c r="A55" s="693"/>
      <c r="B55" s="725"/>
      <c r="C55" s="726"/>
      <c r="D55" s="862"/>
      <c r="E55" s="710"/>
      <c r="F55" s="711"/>
      <c r="G55" s="711"/>
      <c r="H55" s="711"/>
      <c r="I55" s="863"/>
      <c r="J55" s="712"/>
      <c r="K55" s="711"/>
      <c r="L55" s="711"/>
      <c r="M55" s="726"/>
      <c r="N55" s="726"/>
      <c r="O55" s="727"/>
      <c r="P55" s="693"/>
      <c r="Q55" s="693"/>
      <c r="R55" s="755"/>
      <c r="S55" s="1140"/>
      <c r="T55" s="1142"/>
      <c r="U55" s="1140"/>
      <c r="V55" s="1142"/>
      <c r="W55" s="755"/>
      <c r="X55" s="1140"/>
      <c r="Y55" s="1141"/>
      <c r="Z55" s="1140"/>
      <c r="AA55" s="1141"/>
      <c r="AB55" s="755"/>
      <c r="AC55" s="1140"/>
      <c r="AD55" s="1141"/>
      <c r="AE55" s="1140"/>
      <c r="AF55" s="1141"/>
    </row>
    <row r="56" spans="1:32" s="702" customFormat="1" ht="15.75" customHeight="1">
      <c r="A56" s="693"/>
      <c r="B56" s="725"/>
      <c r="C56" s="708"/>
      <c r="D56" s="709"/>
      <c r="E56" s="710"/>
      <c r="F56" s="711"/>
      <c r="G56" s="711"/>
      <c r="H56" s="711"/>
      <c r="I56" s="863"/>
      <c r="J56" s="712"/>
      <c r="K56" s="711"/>
      <c r="L56" s="711"/>
      <c r="M56" s="726"/>
      <c r="N56" s="726"/>
      <c r="O56" s="727"/>
      <c r="P56" s="693"/>
      <c r="Q56" s="693"/>
      <c r="R56" s="755"/>
      <c r="S56" s="1140"/>
      <c r="T56" s="1141"/>
      <c r="U56" s="1140"/>
      <c r="V56" s="1141"/>
      <c r="W56" s="755"/>
      <c r="X56" s="1140"/>
      <c r="Y56" s="1141"/>
      <c r="Z56" s="1140"/>
      <c r="AA56" s="1141"/>
      <c r="AB56" s="755"/>
      <c r="AC56" s="1140"/>
      <c r="AD56" s="1141"/>
      <c r="AE56" s="1140"/>
      <c r="AF56" s="1141"/>
    </row>
    <row r="57" spans="1:32" s="702" customFormat="1" ht="15.75" customHeight="1">
      <c r="A57" s="693"/>
      <c r="B57" s="865"/>
      <c r="C57" s="708"/>
      <c r="D57" s="709"/>
      <c r="E57" s="710"/>
      <c r="F57" s="711"/>
      <c r="G57" s="711"/>
      <c r="H57" s="711"/>
      <c r="I57" s="863"/>
      <c r="J57" s="712"/>
      <c r="K57" s="711"/>
      <c r="L57" s="711"/>
      <c r="M57" s="726"/>
      <c r="N57" s="726"/>
      <c r="O57" s="727"/>
      <c r="P57" s="693"/>
      <c r="Q57" s="693"/>
      <c r="S57" s="733"/>
      <c r="T57" s="734"/>
      <c r="U57" s="733"/>
      <c r="V57" s="734"/>
      <c r="X57" s="733"/>
      <c r="Y57" s="734"/>
      <c r="Z57" s="733"/>
      <c r="AA57" s="734"/>
      <c r="AC57" s="733"/>
      <c r="AD57" s="734"/>
      <c r="AE57" s="733"/>
      <c r="AF57" s="734"/>
    </row>
    <row r="58" spans="1:32" s="702" customFormat="1" ht="15.75" customHeight="1">
      <c r="A58" s="693"/>
      <c r="B58" s="865"/>
      <c r="C58" s="708"/>
      <c r="D58" s="709"/>
      <c r="E58" s="710"/>
      <c r="F58" s="711"/>
      <c r="G58" s="711"/>
      <c r="H58" s="711"/>
      <c r="I58" s="863"/>
      <c r="J58" s="712"/>
      <c r="K58" s="711"/>
      <c r="L58" s="711"/>
      <c r="M58" s="726"/>
      <c r="N58" s="726"/>
      <c r="O58" s="727"/>
      <c r="P58" s="693"/>
      <c r="Q58" s="693"/>
      <c r="R58" s="1082"/>
      <c r="S58" s="1083" t="s">
        <v>54</v>
      </c>
      <c r="T58" s="1085" t="s">
        <v>55</v>
      </c>
      <c r="U58" s="1083" t="s">
        <v>54</v>
      </c>
      <c r="V58" s="1085" t="s">
        <v>55</v>
      </c>
      <c r="W58" s="1131"/>
      <c r="X58" s="1083" t="s">
        <v>54</v>
      </c>
      <c r="Y58" s="1085" t="s">
        <v>55</v>
      </c>
      <c r="Z58" s="1083" t="s">
        <v>54</v>
      </c>
      <c r="AA58" s="1085" t="s">
        <v>55</v>
      </c>
      <c r="AB58" s="1131"/>
      <c r="AC58" s="1083" t="s">
        <v>54</v>
      </c>
      <c r="AD58" s="1085" t="s">
        <v>55</v>
      </c>
      <c r="AE58" s="1083" t="s">
        <v>54</v>
      </c>
      <c r="AF58" s="1085" t="s">
        <v>55</v>
      </c>
    </row>
    <row r="59" spans="1:32" s="702" customFormat="1" ht="15.75" customHeight="1">
      <c r="A59" s="693"/>
      <c r="B59" s="865"/>
      <c r="C59" s="708"/>
      <c r="D59" s="709"/>
      <c r="E59" s="710"/>
      <c r="F59" s="711"/>
      <c r="G59" s="711"/>
      <c r="H59" s="711"/>
      <c r="I59" s="863"/>
      <c r="J59" s="712"/>
      <c r="K59" s="711"/>
      <c r="L59" s="711"/>
      <c r="M59" s="726"/>
      <c r="N59" s="726"/>
      <c r="O59" s="727"/>
      <c r="P59" s="693"/>
      <c r="Q59" s="693"/>
      <c r="R59" s="1143" t="s">
        <v>59</v>
      </c>
      <c r="S59" s="1133">
        <f>スコア表示!T117</f>
        <v>1.4</v>
      </c>
      <c r="T59" s="1134">
        <f>スコア表示!AN117</f>
        <v>1.4104438642297648</v>
      </c>
      <c r="U59" s="1133">
        <f>スコア表示!U117</f>
        <v>1.5</v>
      </c>
      <c r="V59" s="1134">
        <f>スコア表示!AO117</f>
        <v>1.5012941284421262</v>
      </c>
      <c r="W59" s="1135" t="s">
        <v>1052</v>
      </c>
      <c r="X59" s="1133">
        <f>スコア表示!T140</f>
        <v>3</v>
      </c>
      <c r="Y59" s="1134">
        <f>スコア表示!AN140</f>
        <v>3</v>
      </c>
      <c r="Z59" s="1133">
        <f>スコア表示!U140</f>
        <v>3</v>
      </c>
      <c r="AA59" s="1134">
        <f>スコア表示!AO140</f>
        <v>3.0000000000000004</v>
      </c>
      <c r="AB59" s="1135" t="s">
        <v>1053</v>
      </c>
      <c r="AC59" s="1133" t="e">
        <f>スコア表示!T159</f>
        <v>#VALUE!</v>
      </c>
      <c r="AD59" s="1134" t="e">
        <f>スコア表示!AN159</f>
        <v>#VALUE!</v>
      </c>
      <c r="AE59" s="1133" t="e">
        <f>スコア表示!U159</f>
        <v>#VALUE!</v>
      </c>
      <c r="AF59" s="1134" t="e">
        <f>スコア表示!AO159</f>
        <v>#VALUE!</v>
      </c>
    </row>
    <row r="60" spans="1:32" s="702" customFormat="1" ht="15.75" customHeight="1">
      <c r="A60" s="693"/>
      <c r="B60" s="865"/>
      <c r="C60" s="708"/>
      <c r="D60" s="709"/>
      <c r="E60" s="710"/>
      <c r="F60" s="711"/>
      <c r="G60" s="711"/>
      <c r="H60" s="711"/>
      <c r="I60" s="863"/>
      <c r="J60" s="712"/>
      <c r="K60" s="711"/>
      <c r="L60" s="711"/>
      <c r="M60" s="726"/>
      <c r="N60" s="726"/>
      <c r="O60" s="727"/>
      <c r="P60" s="693"/>
      <c r="Q60" s="693"/>
      <c r="S60" s="733"/>
      <c r="T60" s="734"/>
      <c r="U60" s="733"/>
      <c r="V60" s="734"/>
      <c r="X60" s="733"/>
      <c r="Y60" s="734"/>
      <c r="Z60" s="733"/>
      <c r="AA60" s="734"/>
      <c r="AC60" s="1144"/>
      <c r="AD60" s="734"/>
      <c r="AE60" s="1144"/>
      <c r="AF60" s="734"/>
    </row>
    <row r="61" spans="1:32" s="702" customFormat="1" ht="15.75" customHeight="1" thickBot="1">
      <c r="A61" s="693"/>
      <c r="B61" s="869"/>
      <c r="C61" s="870"/>
      <c r="D61" s="871"/>
      <c r="E61" s="870"/>
      <c r="F61" s="872"/>
      <c r="G61" s="872"/>
      <c r="H61" s="872"/>
      <c r="I61" s="873"/>
      <c r="J61" s="767"/>
      <c r="K61" s="767"/>
      <c r="L61" s="767"/>
      <c r="M61" s="874"/>
      <c r="N61" s="874"/>
      <c r="O61" s="875"/>
      <c r="P61" s="693"/>
      <c r="Q61" s="693"/>
      <c r="R61" s="1082"/>
      <c r="S61" s="1083" t="s">
        <v>54</v>
      </c>
      <c r="T61" s="1085" t="s">
        <v>57</v>
      </c>
      <c r="U61" s="1083" t="s">
        <v>54</v>
      </c>
      <c r="V61" s="1085" t="s">
        <v>57</v>
      </c>
      <c r="W61" s="1131"/>
      <c r="X61" s="1083" t="s">
        <v>54</v>
      </c>
      <c r="Y61" s="1085" t="s">
        <v>57</v>
      </c>
      <c r="Z61" s="1083" t="s">
        <v>54</v>
      </c>
      <c r="AA61" s="1085" t="s">
        <v>57</v>
      </c>
      <c r="AB61" s="1131"/>
      <c r="AC61" s="1083" t="s">
        <v>54</v>
      </c>
      <c r="AD61" s="1085" t="s">
        <v>57</v>
      </c>
      <c r="AE61" s="1083" t="s">
        <v>54</v>
      </c>
      <c r="AF61" s="1085" t="s">
        <v>57</v>
      </c>
    </row>
    <row r="62" spans="1:32" s="702" customFormat="1" ht="6" customHeight="1" thickBot="1">
      <c r="A62" s="693"/>
      <c r="B62" s="877"/>
      <c r="C62" s="863"/>
      <c r="D62" s="878"/>
      <c r="E62" s="710"/>
      <c r="F62" s="711"/>
      <c r="G62" s="711"/>
      <c r="H62" s="711"/>
      <c r="I62" s="712"/>
      <c r="J62" s="712"/>
      <c r="K62" s="711"/>
      <c r="L62" s="711"/>
      <c r="M62" s="726"/>
      <c r="N62" s="726"/>
      <c r="O62" s="726"/>
      <c r="P62" s="693"/>
      <c r="Q62" s="760"/>
      <c r="R62" s="1143" t="s">
        <v>1054</v>
      </c>
      <c r="S62" s="1133">
        <f>スコア表示!T118</f>
        <v>0.1</v>
      </c>
      <c r="T62" s="1138" t="str">
        <f>IF(S62=0,"N.A.","")</f>
        <v/>
      </c>
      <c r="U62" s="1133">
        <f>スコア表示!U118</f>
        <v>0.1</v>
      </c>
      <c r="V62" s="1138" t="str">
        <f>IF(U62=0,"N.A.","")</f>
        <v/>
      </c>
      <c r="W62" s="1145" t="s">
        <v>1055</v>
      </c>
      <c r="X62" s="1133">
        <f>スコア表示!T141</f>
        <v>3</v>
      </c>
      <c r="Y62" s="1138" t="str">
        <f>IF(X62=0,"N.A.","")</f>
        <v/>
      </c>
      <c r="Z62" s="1133">
        <f>スコア表示!U141</f>
        <v>3</v>
      </c>
      <c r="AA62" s="1138" t="str">
        <f>IF(Z62=0,"N.A.","")</f>
        <v/>
      </c>
      <c r="AB62" s="1135" t="s">
        <v>1056</v>
      </c>
      <c r="AC62" s="1133" t="e">
        <f>スコア表示!T160</f>
        <v>#VALUE!</v>
      </c>
      <c r="AD62" s="1138" t="e">
        <f>IF(AC62=0,"N.A.","")</f>
        <v>#VALUE!</v>
      </c>
      <c r="AE62" s="1133" t="e">
        <f>スコア表示!U160</f>
        <v>#VALUE!</v>
      </c>
      <c r="AF62" s="1138" t="e">
        <f>IF(AE62=0,"N.A.","")</f>
        <v>#VALUE!</v>
      </c>
    </row>
    <row r="63" spans="1:32" s="702" customFormat="1" ht="15.75">
      <c r="A63" s="693"/>
      <c r="B63" s="775" t="s">
        <v>6</v>
      </c>
      <c r="C63" s="879"/>
      <c r="D63" s="880"/>
      <c r="E63" s="879"/>
      <c r="F63" s="879"/>
      <c r="G63" s="879"/>
      <c r="H63" s="881"/>
      <c r="I63" s="882"/>
      <c r="J63" s="879"/>
      <c r="K63" s="879"/>
      <c r="L63" s="879"/>
      <c r="M63" s="883"/>
      <c r="N63" s="883"/>
      <c r="O63" s="884"/>
      <c r="P63" s="693"/>
      <c r="Q63" s="760"/>
      <c r="R63" s="1143" t="s">
        <v>1057</v>
      </c>
      <c r="S63" s="1133">
        <f>スコア表示!T119</f>
        <v>3</v>
      </c>
      <c r="T63" s="1138" t="str">
        <f>IF(S63=0,"N.A.","")</f>
        <v/>
      </c>
      <c r="U63" s="1133">
        <f>スコア表示!U119</f>
        <v>3</v>
      </c>
      <c r="V63" s="1138" t="str">
        <f>IF(U63=0,"N.A.","")</f>
        <v/>
      </c>
      <c r="W63" s="1145" t="s">
        <v>0</v>
      </c>
      <c r="X63" s="1133">
        <f>スコア表示!T146</f>
        <v>3</v>
      </c>
      <c r="Y63" s="1138" t="str">
        <f>IF(X63=0,"N.A.","")</f>
        <v/>
      </c>
      <c r="Z63" s="1133">
        <f>スコア表示!U146</f>
        <v>3</v>
      </c>
      <c r="AA63" s="1138" t="str">
        <f>IF(Z63=0,"N.A.","")</f>
        <v/>
      </c>
      <c r="AB63" s="1135" t="s">
        <v>1</v>
      </c>
      <c r="AC63" s="1133">
        <f>スコア表示!T161</f>
        <v>3</v>
      </c>
      <c r="AD63" s="1138" t="str">
        <f>IF(AC63=0,"N.A.","")</f>
        <v/>
      </c>
      <c r="AE63" s="1133">
        <f>スコア表示!U161</f>
        <v>3</v>
      </c>
      <c r="AF63" s="1138" t="str">
        <f>IF(AE63=0,"N.A.","")</f>
        <v/>
      </c>
    </row>
    <row r="64" spans="1:32" s="702" customFormat="1" ht="15" thickBot="1">
      <c r="A64" s="693"/>
      <c r="B64" s="885" t="s">
        <v>7</v>
      </c>
      <c r="C64" s="886"/>
      <c r="D64" s="887"/>
      <c r="E64" s="886"/>
      <c r="F64" s="886"/>
      <c r="G64" s="886"/>
      <c r="H64" s="886"/>
      <c r="I64" s="886"/>
      <c r="J64" s="886"/>
      <c r="K64" s="888"/>
      <c r="L64" s="889" t="s">
        <v>8</v>
      </c>
      <c r="M64" s="890"/>
      <c r="N64" s="890"/>
      <c r="O64" s="891"/>
      <c r="P64" s="693"/>
      <c r="Q64" s="760"/>
      <c r="R64" s="1143" t="s">
        <v>2</v>
      </c>
      <c r="S64" s="1133">
        <f>スコア表示!T124</f>
        <v>0.9</v>
      </c>
      <c r="T64" s="1138" t="str">
        <f>IF(S64=0,"N.A.","")</f>
        <v/>
      </c>
      <c r="U64" s="1133">
        <f>スコア表示!U124</f>
        <v>0.9</v>
      </c>
      <c r="V64" s="1138" t="str">
        <f>IF(U64=0,"N.A.","")</f>
        <v/>
      </c>
      <c r="W64" s="1146" t="s">
        <v>3</v>
      </c>
      <c r="X64" s="1147">
        <f>スコア表示!T153</f>
        <v>3</v>
      </c>
      <c r="Y64" s="1148" t="str">
        <f>IF(X64=0,"N.A.","")</f>
        <v/>
      </c>
      <c r="Z64" s="1147">
        <f>スコア表示!U153</f>
        <v>3</v>
      </c>
      <c r="AA64" s="1148" t="str">
        <f>IF(Z64=0,"N.A.","")</f>
        <v/>
      </c>
      <c r="AB64" s="1135" t="s">
        <v>4</v>
      </c>
      <c r="AC64" s="1149">
        <f>スコア表示!T169</f>
        <v>3</v>
      </c>
      <c r="AD64" s="1148" t="str">
        <f>IF(AC64=0,"N.A.","")</f>
        <v/>
      </c>
      <c r="AE64" s="1149">
        <f>スコア表示!U169</f>
        <v>3</v>
      </c>
      <c r="AF64" s="1148" t="str">
        <f>IF(AE64=0,"N.A.","")</f>
        <v/>
      </c>
    </row>
    <row r="65" spans="1:42" s="702" customFormat="1" ht="54.95" customHeight="1" thickBot="1">
      <c r="A65" s="693"/>
      <c r="B65" s="2747" t="str">
        <f>IF(配慮事項!C7=0,"",配慮事項!C7)</f>
        <v>注）　改修における総合的なコンセプトを簡潔に記載してください。
　（省エネ改修、室内環境改善、外装の更新、高耐久化、情報化対応、コンバージョンなど）</v>
      </c>
      <c r="C65" s="2748"/>
      <c r="D65" s="2748"/>
      <c r="E65" s="2748"/>
      <c r="F65" s="2748"/>
      <c r="G65" s="2748"/>
      <c r="H65" s="2748"/>
      <c r="I65" s="2748"/>
      <c r="J65" s="2748"/>
      <c r="K65" s="2749"/>
      <c r="L65" s="2750" t="str">
        <f>IF(配慮事項!C14=0,"",配慮事項!C14)</f>
        <v>注）　上記の６つのカテゴリー以外に、改修工事における廃棄物削減・リサイクル、改修による歴史的建造物の延命など、建物自体の環境性能としてＣＡＳＢＥＥで評価し難い環境配慮の取組みがあれば、ここに記載してください。</v>
      </c>
      <c r="M65" s="2751"/>
      <c r="N65" s="2751"/>
      <c r="O65" s="2752"/>
      <c r="P65" s="693"/>
      <c r="Q65" s="760"/>
      <c r="R65" s="1143" t="s">
        <v>5</v>
      </c>
      <c r="S65" s="1149">
        <f>スコア表示!T133</f>
        <v>3</v>
      </c>
      <c r="T65" s="1148" t="str">
        <f>IF(S65=0,"N.A.","")</f>
        <v/>
      </c>
      <c r="U65" s="1149">
        <f>スコア表示!U133</f>
        <v>3</v>
      </c>
      <c r="V65" s="1148" t="str">
        <f>IF(U65=0,"N.A.","")</f>
        <v/>
      </c>
      <c r="W65" s="755"/>
      <c r="X65" s="868"/>
      <c r="Y65" s="868"/>
      <c r="Z65" s="868"/>
      <c r="AA65" s="868"/>
      <c r="AB65" s="868"/>
    </row>
    <row r="66" spans="1:42" s="702" customFormat="1" ht="15">
      <c r="A66" s="693"/>
      <c r="B66" s="892" t="str">
        <f>配慮事項!B8</f>
        <v>Q1 
室内環境</v>
      </c>
      <c r="C66" s="890"/>
      <c r="D66" s="890"/>
      <c r="E66" s="890"/>
      <c r="F66" s="890"/>
      <c r="G66" s="893"/>
      <c r="H66" s="894" t="str">
        <f>配慮事項!B9</f>
        <v>Q2 
サービス性能</v>
      </c>
      <c r="I66" s="895"/>
      <c r="J66" s="895"/>
      <c r="K66" s="896"/>
      <c r="L66" s="897" t="str">
        <f>配慮事項!B10</f>
        <v>Q3 
室外環境（敷地内）</v>
      </c>
      <c r="M66" s="898"/>
      <c r="N66" s="899"/>
      <c r="O66" s="900"/>
      <c r="P66" s="693"/>
      <c r="Q66" s="760"/>
      <c r="R66" s="755"/>
      <c r="S66" s="755"/>
      <c r="T66" s="755"/>
      <c r="U66" s="755"/>
      <c r="V66" s="868"/>
    </row>
    <row r="67" spans="1:42" s="702" customFormat="1" ht="54.95" customHeight="1">
      <c r="A67" s="693"/>
      <c r="B67" s="2753" t="str">
        <f>IF(配慮事項!C8=0,"",配慮事項!C8)</f>
        <v>注）　改修における「Q1　室内環境」に対する配慮事項を簡潔に記載してください。</v>
      </c>
      <c r="C67" s="2754"/>
      <c r="D67" s="2754"/>
      <c r="E67" s="2754"/>
      <c r="F67" s="2754"/>
      <c r="G67" s="2755"/>
      <c r="H67" s="2756" t="str">
        <f>IF(配慮事項!C9=0,"",配慮事項!C9)</f>
        <v>注）　改修における「Q2　サービス性能」に対する配慮事項を簡潔に記載してください。</v>
      </c>
      <c r="I67" s="2754"/>
      <c r="J67" s="2754"/>
      <c r="K67" s="2755"/>
      <c r="L67" s="2756" t="str">
        <f>IF(配慮事項!C10=0,"",配慮事項!C10)</f>
        <v>注）　改修における「Q3　室外環境（敷地内）」に対する配慮事項を簡潔に記載してください。</v>
      </c>
      <c r="M67" s="2751"/>
      <c r="N67" s="2751"/>
      <c r="O67" s="2752"/>
      <c r="P67" s="693"/>
      <c r="Q67" s="760"/>
      <c r="R67" s="876"/>
      <c r="S67" s="755"/>
      <c r="T67" s="755"/>
      <c r="U67" s="755"/>
      <c r="V67" s="868"/>
      <c r="W67" s="868"/>
      <c r="X67" s="868"/>
      <c r="Y67" s="868"/>
      <c r="Z67" s="868"/>
      <c r="AA67" s="755"/>
      <c r="AB67" s="755"/>
    </row>
    <row r="68" spans="1:42" s="702" customFormat="1" ht="15.75" customHeight="1">
      <c r="A68" s="693"/>
      <c r="B68" s="901" t="str">
        <f>配慮事項!B11</f>
        <v>LR1 
エネルギー</v>
      </c>
      <c r="C68" s="902"/>
      <c r="D68" s="887"/>
      <c r="E68" s="887"/>
      <c r="F68" s="887"/>
      <c r="G68" s="903"/>
      <c r="H68" s="904" t="str">
        <f>配慮事項!B12</f>
        <v>LR2 
資源・マテリアル</v>
      </c>
      <c r="I68" s="890"/>
      <c r="J68" s="890"/>
      <c r="K68" s="893"/>
      <c r="L68" s="905" t="str">
        <f>配慮事項!B13</f>
        <v>LR3 
敷地外環境</v>
      </c>
      <c r="M68" s="902"/>
      <c r="N68" s="887"/>
      <c r="O68" s="906"/>
      <c r="P68" s="693"/>
      <c r="Q68" s="760"/>
      <c r="R68" s="755"/>
      <c r="S68" s="755"/>
      <c r="T68" s="755"/>
      <c r="U68" s="755"/>
      <c r="V68" s="868"/>
      <c r="W68" s="868"/>
      <c r="X68" s="868"/>
      <c r="Y68" s="868"/>
      <c r="Z68" s="868"/>
      <c r="AA68" s="755"/>
      <c r="AB68" s="755"/>
    </row>
    <row r="69" spans="1:42" s="702" customFormat="1" ht="54.95" customHeight="1" thickBot="1">
      <c r="A69" s="693"/>
      <c r="B69" s="2732" t="str">
        <f>IF(配慮事項!C11=0,"",配慮事項!C11)</f>
        <v>注）　改修における「LR1　エネルギー」に対する配慮事項を簡潔に記載してください。</v>
      </c>
      <c r="C69" s="2781"/>
      <c r="D69" s="2781"/>
      <c r="E69" s="2781"/>
      <c r="F69" s="2781"/>
      <c r="G69" s="2782"/>
      <c r="H69" s="2735" t="str">
        <f>IF(配慮事項!C12=0,"",配慮事項!C12)</f>
        <v>注）　改修における「LR2　資源・マテリアル」に対する配慮事項を簡潔に記載してください。</v>
      </c>
      <c r="I69" s="2781"/>
      <c r="J69" s="2781"/>
      <c r="K69" s="2782"/>
      <c r="L69" s="2735" t="str">
        <f>IF(配慮事項!C13=0,"",配慮事項!C13)</f>
        <v>注）　改修における「LR3　敷地外環境」に対する配慮事項を簡潔に記載してください。</v>
      </c>
      <c r="M69" s="2736"/>
      <c r="N69" s="2736"/>
      <c r="O69" s="2738"/>
      <c r="P69" s="693"/>
      <c r="Q69" s="760"/>
      <c r="R69" s="755"/>
      <c r="S69" s="755"/>
      <c r="T69" s="755"/>
      <c r="U69" s="755"/>
      <c r="V69" s="755"/>
      <c r="W69" s="755"/>
      <c r="X69" s="755"/>
      <c r="Y69" s="755"/>
      <c r="Z69" s="755"/>
      <c r="AA69" s="755"/>
      <c r="AB69" s="755"/>
    </row>
    <row r="70" spans="1:42" s="702" customFormat="1" ht="7.5" customHeight="1" thickBot="1">
      <c r="A70" s="693"/>
      <c r="B70" s="693"/>
      <c r="C70" s="693"/>
      <c r="D70" s="693"/>
      <c r="E70" s="693"/>
      <c r="F70" s="693"/>
      <c r="G70" s="693"/>
      <c r="H70" s="693"/>
      <c r="I70" s="693"/>
      <c r="J70" s="693"/>
      <c r="K70" s="693"/>
      <c r="L70" s="693"/>
      <c r="M70" s="693"/>
      <c r="N70" s="693"/>
      <c r="O70" s="693"/>
      <c r="P70" s="693"/>
      <c r="Q70" s="693"/>
      <c r="R70" s="755"/>
      <c r="S70" s="755"/>
      <c r="T70" s="755"/>
      <c r="U70" s="755"/>
      <c r="V70" s="755"/>
      <c r="W70" s="755"/>
      <c r="X70" s="755"/>
      <c r="Y70" s="755"/>
      <c r="Z70" s="755"/>
      <c r="AA70" s="755"/>
      <c r="AB70" s="755"/>
    </row>
    <row r="71" spans="1:42" ht="17.25" customHeight="1">
      <c r="B71" s="775" t="s">
        <v>60</v>
      </c>
      <c r="C71" s="879"/>
      <c r="D71" s="880"/>
      <c r="E71" s="879"/>
      <c r="F71" s="879"/>
      <c r="G71" s="879"/>
      <c r="H71" s="879"/>
      <c r="I71" s="882"/>
      <c r="J71" s="879"/>
      <c r="K71" s="879"/>
      <c r="L71" s="879"/>
      <c r="M71" s="879"/>
      <c r="N71" s="879"/>
      <c r="O71" s="1150"/>
      <c r="P71" s="987"/>
      <c r="R71" s="755"/>
      <c r="S71" s="755"/>
      <c r="T71" s="755"/>
      <c r="U71" s="755"/>
      <c r="V71" s="755"/>
      <c r="W71" s="755"/>
      <c r="X71" s="755"/>
      <c r="Y71" s="755"/>
      <c r="Z71" s="755"/>
      <c r="AA71" s="755"/>
      <c r="AB71" s="755"/>
      <c r="AC71" s="702"/>
      <c r="AD71" s="702"/>
      <c r="AE71" s="702"/>
      <c r="AF71" s="702"/>
      <c r="AG71" s="702"/>
      <c r="AH71" s="702"/>
      <c r="AI71" s="702"/>
      <c r="AJ71" s="702"/>
      <c r="AK71" s="702"/>
      <c r="AL71" s="702"/>
      <c r="AM71" s="702"/>
      <c r="AN71" s="702"/>
      <c r="AO71" s="702"/>
      <c r="AP71" s="702"/>
    </row>
    <row r="72" spans="1:42" ht="15" customHeight="1">
      <c r="B72" s="1154"/>
      <c r="C72" s="1155"/>
      <c r="D72" s="1155"/>
      <c r="E72" s="1155"/>
      <c r="F72" s="1155"/>
      <c r="G72" s="1155"/>
      <c r="H72" s="1155"/>
      <c r="I72" s="1155"/>
      <c r="J72" s="1155"/>
      <c r="K72" s="1155"/>
      <c r="L72" s="1155"/>
      <c r="M72" s="1155"/>
      <c r="N72" s="1155"/>
      <c r="O72" s="1156"/>
      <c r="P72" s="987"/>
      <c r="R72" s="755"/>
      <c r="S72" s="755"/>
      <c r="T72" s="755"/>
      <c r="U72" s="755"/>
      <c r="V72" s="755"/>
      <c r="W72" s="755"/>
      <c r="X72" s="755"/>
      <c r="Y72" s="755"/>
      <c r="Z72" s="755"/>
      <c r="AA72" s="755"/>
      <c r="AB72" s="755"/>
      <c r="AC72" s="702"/>
      <c r="AD72" s="702"/>
      <c r="AE72" s="702"/>
      <c r="AF72" s="702"/>
      <c r="AG72" s="702"/>
      <c r="AH72" s="702"/>
      <c r="AI72" s="702"/>
      <c r="AJ72" s="702"/>
      <c r="AK72" s="702"/>
      <c r="AL72" s="702"/>
      <c r="AM72" s="702"/>
      <c r="AN72" s="702"/>
      <c r="AO72" s="702"/>
      <c r="AP72" s="702"/>
    </row>
    <row r="73" spans="1:42" ht="15" customHeight="1">
      <c r="B73" s="1157"/>
      <c r="E73" s="710"/>
      <c r="F73" s="711"/>
      <c r="G73" s="711"/>
      <c r="H73" s="2783" t="s">
        <v>1977</v>
      </c>
      <c r="I73" s="2784"/>
      <c r="J73" s="2777" t="s">
        <v>1978</v>
      </c>
      <c r="K73" s="1158" t="s">
        <v>1979</v>
      </c>
      <c r="L73" s="1159"/>
      <c r="M73" s="1160"/>
      <c r="N73" s="847"/>
      <c r="O73" s="1161"/>
      <c r="P73" s="987"/>
      <c r="R73" s="755"/>
      <c r="S73" s="755"/>
      <c r="T73" s="755"/>
      <c r="U73" s="755"/>
      <c r="V73" s="755"/>
      <c r="W73" s="755"/>
      <c r="X73" s="755"/>
      <c r="Y73" s="755"/>
      <c r="Z73" s="755"/>
      <c r="AA73" s="755"/>
      <c r="AB73" s="755"/>
      <c r="AC73" s="702"/>
      <c r="AD73" s="702"/>
      <c r="AE73" s="702"/>
      <c r="AF73" s="702"/>
      <c r="AG73" s="702"/>
    </row>
    <row r="74" spans="1:42" ht="15" customHeight="1">
      <c r="B74" s="1157"/>
      <c r="E74" s="710"/>
      <c r="F74" s="711"/>
      <c r="G74" s="711"/>
      <c r="H74" s="2784"/>
      <c r="I74" s="2784"/>
      <c r="J74" s="2785"/>
      <c r="K74" s="1165" t="s">
        <v>1980</v>
      </c>
      <c r="L74" s="1166"/>
      <c r="M74" s="1167"/>
      <c r="N74" s="711"/>
      <c r="O74" s="1161"/>
      <c r="P74" s="987"/>
      <c r="R74" s="755"/>
      <c r="S74" s="755"/>
      <c r="T74" s="755"/>
      <c r="U74" s="755"/>
      <c r="V74" s="755"/>
      <c r="W74" s="755"/>
      <c r="X74" s="755"/>
      <c r="Y74" s="755"/>
      <c r="Z74" s="755"/>
      <c r="AA74" s="755"/>
      <c r="AB74" s="755"/>
      <c r="AC74" s="702"/>
      <c r="AD74" s="702"/>
      <c r="AE74" s="702"/>
      <c r="AF74" s="702"/>
      <c r="AG74" s="702"/>
    </row>
    <row r="75" spans="1:42" ht="15" customHeight="1">
      <c r="B75" s="1157"/>
      <c r="E75" s="710"/>
      <c r="F75" s="711"/>
      <c r="G75" s="711"/>
      <c r="H75" s="1168"/>
      <c r="I75" s="1169"/>
      <c r="J75" s="2777" t="s">
        <v>1978</v>
      </c>
      <c r="K75" s="1170" t="s">
        <v>1981</v>
      </c>
      <c r="L75" s="1171"/>
      <c r="M75" s="1169"/>
      <c r="N75" s="1169"/>
      <c r="O75" s="1161"/>
      <c r="P75" s="987"/>
      <c r="R75" s="755"/>
      <c r="S75" s="755"/>
      <c r="T75" s="755"/>
      <c r="U75" s="755"/>
      <c r="V75" s="755"/>
      <c r="W75" s="755"/>
      <c r="X75" s="755"/>
      <c r="Y75" s="755"/>
      <c r="Z75" s="755"/>
      <c r="AA75" s="755"/>
      <c r="AB75" s="755"/>
      <c r="AC75" s="702"/>
      <c r="AD75" s="702"/>
      <c r="AE75" s="702"/>
      <c r="AF75" s="702"/>
      <c r="AG75" s="702"/>
    </row>
    <row r="76" spans="1:42" ht="15" customHeight="1" thickBot="1">
      <c r="B76" s="1157"/>
      <c r="E76" s="710"/>
      <c r="F76" s="711"/>
      <c r="G76" s="711"/>
      <c r="H76" s="1168"/>
      <c r="I76" s="1175"/>
      <c r="J76" s="2785"/>
      <c r="K76" s="1176" t="s">
        <v>1982</v>
      </c>
      <c r="L76" s="1177"/>
      <c r="M76" s="1177"/>
      <c r="N76" s="1177"/>
      <c r="O76" s="1161"/>
      <c r="P76" s="987"/>
      <c r="R76" s="755"/>
      <c r="S76" s="755"/>
      <c r="T76" s="755"/>
      <c r="U76" s="755"/>
      <c r="V76" s="755"/>
      <c r="W76" s="755"/>
      <c r="X76" s="755"/>
      <c r="Y76" s="755"/>
      <c r="Z76" s="755"/>
      <c r="AA76" s="755"/>
      <c r="AB76" s="755"/>
      <c r="AC76" s="702"/>
      <c r="AD76" s="702"/>
      <c r="AE76" s="702"/>
      <c r="AF76" s="702"/>
      <c r="AG76" s="702"/>
    </row>
    <row r="77" spans="1:42" ht="15" customHeight="1">
      <c r="B77" s="1157"/>
      <c r="E77" s="710"/>
      <c r="F77" s="711"/>
      <c r="G77" s="711"/>
      <c r="H77" s="1175"/>
      <c r="I77" s="1175"/>
      <c r="J77" s="1179"/>
      <c r="K77" s="1180"/>
      <c r="L77" s="1177"/>
      <c r="M77" s="1169"/>
      <c r="N77" s="726"/>
      <c r="O77" s="1161"/>
      <c r="P77" s="987"/>
      <c r="R77" s="762"/>
      <c r="S77" s="1151" t="s">
        <v>395</v>
      </c>
      <c r="T77" s="1106"/>
      <c r="U77" s="1152"/>
      <c r="W77" s="1153" t="s">
        <v>396</v>
      </c>
      <c r="X77" s="1108"/>
      <c r="Y77" s="1152"/>
    </row>
    <row r="78" spans="1:42" ht="15" customHeight="1">
      <c r="B78" s="1157"/>
      <c r="E78" s="710"/>
      <c r="F78" s="711"/>
      <c r="G78" s="711"/>
      <c r="H78" s="2786" t="s">
        <v>1983</v>
      </c>
      <c r="I78" s="2786"/>
      <c r="J78" s="1181" t="s">
        <v>1984</v>
      </c>
      <c r="K78" s="1182"/>
      <c r="L78" s="1183"/>
      <c r="M78" s="1184">
        <f>M80-M83</f>
        <v>1.4467983573073551E-2</v>
      </c>
      <c r="N78" s="726"/>
      <c r="O78" s="1161"/>
      <c r="P78" s="987"/>
      <c r="R78" s="1082" t="s">
        <v>1985</v>
      </c>
      <c r="S78" s="1110" t="s">
        <v>906</v>
      </c>
      <c r="T78" s="729" t="s">
        <v>907</v>
      </c>
      <c r="U78" s="1111" t="s">
        <v>908</v>
      </c>
      <c r="W78" s="1110" t="s">
        <v>906</v>
      </c>
      <c r="X78" s="729" t="s">
        <v>907</v>
      </c>
      <c r="Y78" s="1111" t="s">
        <v>908</v>
      </c>
    </row>
    <row r="79" spans="1:42" ht="15" customHeight="1">
      <c r="B79" s="1157"/>
      <c r="E79" s="710"/>
      <c r="F79" s="711"/>
      <c r="G79" s="711"/>
      <c r="H79" s="712"/>
      <c r="I79" s="724"/>
      <c r="J79" s="844"/>
      <c r="K79" s="1169"/>
      <c r="L79" s="1185"/>
      <c r="M79" s="1177"/>
      <c r="N79" s="1177"/>
      <c r="O79" s="1161"/>
      <c r="P79" s="987"/>
      <c r="R79" s="1082" t="s">
        <v>1964</v>
      </c>
      <c r="S79" s="1162"/>
      <c r="T79" s="1163">
        <f>K84</f>
        <v>89.738903394255871</v>
      </c>
      <c r="U79" s="1164">
        <v>0</v>
      </c>
      <c r="W79" s="1162"/>
      <c r="X79" s="788">
        <f>K81</f>
        <v>87.467646788946851</v>
      </c>
      <c r="Y79" s="1164">
        <v>0</v>
      </c>
    </row>
    <row r="80" spans="1:42" ht="15" customHeight="1">
      <c r="B80" s="1157"/>
      <c r="E80" s="710"/>
      <c r="F80" s="711"/>
      <c r="G80" s="711"/>
      <c r="H80" s="2774" t="s">
        <v>2025</v>
      </c>
      <c r="I80" s="2775"/>
      <c r="J80" s="2777" t="s">
        <v>1986</v>
      </c>
      <c r="K80" s="1186">
        <f>25*(V48-1)</f>
        <v>50</v>
      </c>
      <c r="L80" s="2777" t="s">
        <v>1986</v>
      </c>
      <c r="M80" s="2787">
        <f>K80/K81</f>
        <v>0.5716399358570422</v>
      </c>
      <c r="N80" s="726"/>
      <c r="O80" s="1161"/>
      <c r="P80" s="987"/>
      <c r="R80" s="1082" t="s">
        <v>1965</v>
      </c>
      <c r="S80" s="1162"/>
      <c r="T80" s="1163">
        <f>K83</f>
        <v>50</v>
      </c>
      <c r="U80" s="1164">
        <v>0</v>
      </c>
      <c r="W80" s="1162"/>
      <c r="X80" s="788">
        <f>K80</f>
        <v>50</v>
      </c>
      <c r="Y80" s="1164">
        <v>0</v>
      </c>
    </row>
    <row r="81" spans="2:25" ht="15" customHeight="1">
      <c r="B81" s="1157"/>
      <c r="E81" s="710"/>
      <c r="F81" s="711"/>
      <c r="G81" s="711"/>
      <c r="H81" s="2775"/>
      <c r="I81" s="2775"/>
      <c r="J81" s="2785"/>
      <c r="K81" s="1187">
        <f>25*(5-V59)</f>
        <v>87.467646788946851</v>
      </c>
      <c r="L81" s="2785"/>
      <c r="M81" s="2788"/>
      <c r="N81" s="726"/>
      <c r="O81" s="1161"/>
      <c r="P81" s="987"/>
      <c r="R81" s="1116">
        <v>0</v>
      </c>
      <c r="S81" s="1172">
        <f>T79</f>
        <v>89.738903394255871</v>
      </c>
      <c r="T81" s="1173">
        <f>T79</f>
        <v>89.738903394255871</v>
      </c>
      <c r="U81" s="1111">
        <v>0.1</v>
      </c>
      <c r="V81" s="1174">
        <v>0</v>
      </c>
      <c r="W81" s="1117">
        <f>X79</f>
        <v>87.467646788946851</v>
      </c>
      <c r="X81" s="1173">
        <f>X79</f>
        <v>87.467646788946851</v>
      </c>
      <c r="Y81" s="1111">
        <v>0.1</v>
      </c>
    </row>
    <row r="82" spans="2:25" ht="15" customHeight="1" thickBot="1">
      <c r="B82" s="1157"/>
      <c r="E82" s="710"/>
      <c r="F82" s="711"/>
      <c r="G82" s="711"/>
      <c r="H82" s="1188"/>
      <c r="I82" s="1189"/>
      <c r="J82" s="1190"/>
      <c r="K82" s="1191"/>
      <c r="L82" s="1190"/>
      <c r="M82" s="1192" t="s">
        <v>1987</v>
      </c>
      <c r="N82" s="726"/>
      <c r="O82" s="1161"/>
      <c r="P82" s="987"/>
      <c r="R82" s="1116">
        <v>0</v>
      </c>
      <c r="S82" s="1178">
        <v>0</v>
      </c>
      <c r="T82" s="1121">
        <f>T80</f>
        <v>50</v>
      </c>
      <c r="U82" s="1122">
        <f>T80</f>
        <v>50</v>
      </c>
      <c r="V82" s="1174">
        <v>0</v>
      </c>
      <c r="W82" s="1178">
        <v>0</v>
      </c>
      <c r="X82" s="1121">
        <f>X80</f>
        <v>50</v>
      </c>
      <c r="Y82" s="1122">
        <f>X80</f>
        <v>50</v>
      </c>
    </row>
    <row r="83" spans="2:25" ht="15" customHeight="1">
      <c r="B83" s="1157"/>
      <c r="E83" s="710"/>
      <c r="F83" s="711"/>
      <c r="G83" s="711"/>
      <c r="H83" s="2774" t="s">
        <v>61</v>
      </c>
      <c r="I83" s="2775"/>
      <c r="J83" s="2777" t="s">
        <v>1988</v>
      </c>
      <c r="K83" s="1186">
        <f>25*(T48-1)</f>
        <v>50</v>
      </c>
      <c r="L83" s="2777" t="s">
        <v>1988</v>
      </c>
      <c r="M83" s="2779">
        <f>K83/K84</f>
        <v>0.55717195228396865</v>
      </c>
      <c r="N83" s="726"/>
      <c r="O83" s="1161"/>
      <c r="P83" s="987"/>
    </row>
    <row r="84" spans="2:25" ht="15" customHeight="1" thickBot="1">
      <c r="B84" s="1193"/>
      <c r="C84" s="1194"/>
      <c r="D84" s="1195"/>
      <c r="E84" s="1196"/>
      <c r="F84" s="872"/>
      <c r="G84" s="872"/>
      <c r="H84" s="2776"/>
      <c r="I84" s="2776"/>
      <c r="J84" s="2778"/>
      <c r="K84" s="1197">
        <f>25*(5-T59)</f>
        <v>89.738903394255871</v>
      </c>
      <c r="L84" s="2778"/>
      <c r="M84" s="2780"/>
      <c r="N84" s="874"/>
      <c r="O84" s="1198"/>
      <c r="P84" s="987"/>
    </row>
    <row r="85" spans="2:25" ht="8.25" customHeight="1"/>
    <row r="86" spans="2:25" ht="15" hidden="1" customHeight="1"/>
    <row r="87" spans="2:25" ht="15" hidden="1" customHeight="1"/>
    <row r="88" spans="2:25" ht="19.5" hidden="1" customHeight="1"/>
    <row r="89" spans="2:25" ht="15.75" hidden="1" customHeight="1"/>
    <row r="90" spans="2:25" ht="15" hidden="1" customHeight="1"/>
    <row r="91" spans="2:25" ht="15" hidden="1" customHeight="1"/>
    <row r="92" spans="2:25" ht="15" hidden="1" customHeight="1"/>
    <row r="93" spans="2:25" ht="15" hidden="1" customHeight="1"/>
    <row r="94" spans="2:25" ht="15" hidden="1" customHeight="1"/>
    <row r="95" spans="2:25" ht="0" hidden="1" customHeight="1"/>
    <row r="96" spans="2:25"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row r="106" ht="0" hidden="1" customHeight="1"/>
    <row r="107" ht="0" hidden="1" customHeight="1"/>
  </sheetData>
  <sheetProtection password="82B4" sheet="1" objects="1" scenarios="1" selectLockedCells="1" selectUnlockedCells="1"/>
  <mergeCells count="29">
    <mergeCell ref="B67:G67"/>
    <mergeCell ref="H67:K67"/>
    <mergeCell ref="L67:O67"/>
    <mergeCell ref="Q2:Q5"/>
    <mergeCell ref="F5:O5"/>
    <mergeCell ref="N9:O12"/>
    <mergeCell ref="D17:E17"/>
    <mergeCell ref="I17:J17"/>
    <mergeCell ref="D18:K18"/>
    <mergeCell ref="D19:K19"/>
    <mergeCell ref="N19:O19"/>
    <mergeCell ref="H37:K38"/>
    <mergeCell ref="B65:K65"/>
    <mergeCell ref="L65:O65"/>
    <mergeCell ref="H83:I84"/>
    <mergeCell ref="J83:J84"/>
    <mergeCell ref="L83:L84"/>
    <mergeCell ref="M83:M84"/>
    <mergeCell ref="B69:G69"/>
    <mergeCell ref="H69:K69"/>
    <mergeCell ref="L69:O69"/>
    <mergeCell ref="H73:I74"/>
    <mergeCell ref="J73:J74"/>
    <mergeCell ref="J75:J76"/>
    <mergeCell ref="H78:I78"/>
    <mergeCell ref="H80:I81"/>
    <mergeCell ref="J80:J81"/>
    <mergeCell ref="L80:L81"/>
    <mergeCell ref="M80:M81"/>
  </mergeCells>
  <phoneticPr fontId="20"/>
  <conditionalFormatting sqref="H27:K35">
    <cfRule type="expression" dxfId="96" priority="1" stopIfTrue="1">
      <formula>$V$36=$X$37</formula>
    </cfRule>
  </conditionalFormatting>
  <hyperlinks>
    <hyperlink ref="Q2:Q5" location="メイン!A1" tooltip="[メイン]シート" display="→"/>
  </hyperlinks>
  <printOptions horizontalCentered="1"/>
  <pageMargins left="0.59055118110236227" right="0.59055118110236227" top="0.78740157480314965" bottom="0.59055118110236227" header="0.51181102362204722" footer="0.37"/>
  <pageSetup paperSize="9" scale="66" orientation="portrait" r:id="rId1"/>
  <headerFooter alignWithMargins="0">
    <oddHeader>&amp;L&amp;F&amp;R&amp;A</oddHeader>
    <oddFooter>&amp;C&amp;P/&amp;N&amp;R「CASBEE 大阪みらい 改修」2012年版</oddFooter>
  </headerFooter>
  <rowBreaks count="2" manualBreakCount="2">
    <brk id="69" min="1" max="14" man="1"/>
    <brk id="89"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dimension ref="B1:WVN34"/>
  <sheetViews>
    <sheetView showGridLines="0" workbookViewId="0">
      <selection activeCell="E3" sqref="E3"/>
    </sheetView>
  </sheetViews>
  <sheetFormatPr defaultColWidth="0" defaultRowHeight="13.5" zeroHeight="1"/>
  <cols>
    <col min="1" max="1" width="9" style="2553" customWidth="1"/>
    <col min="2" max="2" width="2.625" style="2553" customWidth="1"/>
    <col min="3" max="3" width="19.375" style="2553" customWidth="1"/>
    <col min="4" max="4" width="2.625" style="2553" customWidth="1"/>
    <col min="5" max="5" width="52.25" style="2553" customWidth="1"/>
    <col min="6" max="6" width="9" style="2553" customWidth="1"/>
    <col min="7" max="256" width="0" style="2553" hidden="1"/>
    <col min="257" max="257" width="9" style="2553" hidden="1" customWidth="1"/>
    <col min="258" max="258" width="2.625" style="2553" hidden="1" customWidth="1"/>
    <col min="259" max="259" width="19.375" style="2553" hidden="1" customWidth="1"/>
    <col min="260" max="260" width="2.625" style="2553" hidden="1" customWidth="1"/>
    <col min="261" max="261" width="32" style="2553" hidden="1" customWidth="1"/>
    <col min="262" max="262" width="9" style="2553" hidden="1" customWidth="1"/>
    <col min="263" max="512" width="0" style="2553" hidden="1"/>
    <col min="513" max="513" width="9" style="2553" hidden="1" customWidth="1"/>
    <col min="514" max="514" width="2.625" style="2553" hidden="1" customWidth="1"/>
    <col min="515" max="515" width="19.375" style="2553" hidden="1" customWidth="1"/>
    <col min="516" max="516" width="2.625" style="2553" hidden="1" customWidth="1"/>
    <col min="517" max="517" width="32" style="2553" hidden="1" customWidth="1"/>
    <col min="518" max="518" width="9" style="2553" hidden="1" customWidth="1"/>
    <col min="519" max="768" width="0" style="2553" hidden="1"/>
    <col min="769" max="769" width="9" style="2553" hidden="1" customWidth="1"/>
    <col min="770" max="770" width="2.625" style="2553" hidden="1" customWidth="1"/>
    <col min="771" max="771" width="19.375" style="2553" hidden="1" customWidth="1"/>
    <col min="772" max="772" width="2.625" style="2553" hidden="1" customWidth="1"/>
    <col min="773" max="773" width="32" style="2553" hidden="1" customWidth="1"/>
    <col min="774" max="774" width="9" style="2553" hidden="1" customWidth="1"/>
    <col min="775" max="1024" width="0" style="2553" hidden="1"/>
    <col min="1025" max="1025" width="9" style="2553" hidden="1" customWidth="1"/>
    <col min="1026" max="1026" width="2.625" style="2553" hidden="1" customWidth="1"/>
    <col min="1027" max="1027" width="19.375" style="2553" hidden="1" customWidth="1"/>
    <col min="1028" max="1028" width="2.625" style="2553" hidden="1" customWidth="1"/>
    <col min="1029" max="1029" width="32" style="2553" hidden="1" customWidth="1"/>
    <col min="1030" max="1030" width="9" style="2553" hidden="1" customWidth="1"/>
    <col min="1031" max="1280" width="0" style="2553" hidden="1"/>
    <col min="1281" max="1281" width="9" style="2553" hidden="1" customWidth="1"/>
    <col min="1282" max="1282" width="2.625" style="2553" hidden="1" customWidth="1"/>
    <col min="1283" max="1283" width="19.375" style="2553" hidden="1" customWidth="1"/>
    <col min="1284" max="1284" width="2.625" style="2553" hidden="1" customWidth="1"/>
    <col min="1285" max="1285" width="32" style="2553" hidden="1" customWidth="1"/>
    <col min="1286" max="1286" width="9" style="2553" hidden="1" customWidth="1"/>
    <col min="1287" max="1536" width="0" style="2553" hidden="1"/>
    <col min="1537" max="1537" width="9" style="2553" hidden="1" customWidth="1"/>
    <col min="1538" max="1538" width="2.625" style="2553" hidden="1" customWidth="1"/>
    <col min="1539" max="1539" width="19.375" style="2553" hidden="1" customWidth="1"/>
    <col min="1540" max="1540" width="2.625" style="2553" hidden="1" customWidth="1"/>
    <col min="1541" max="1541" width="32" style="2553" hidden="1" customWidth="1"/>
    <col min="1542" max="1542" width="9" style="2553" hidden="1" customWidth="1"/>
    <col min="1543" max="1792" width="0" style="2553" hidden="1"/>
    <col min="1793" max="1793" width="9" style="2553" hidden="1" customWidth="1"/>
    <col min="1794" max="1794" width="2.625" style="2553" hidden="1" customWidth="1"/>
    <col min="1795" max="1795" width="19.375" style="2553" hidden="1" customWidth="1"/>
    <col min="1796" max="1796" width="2.625" style="2553" hidden="1" customWidth="1"/>
    <col min="1797" max="1797" width="32" style="2553" hidden="1" customWidth="1"/>
    <col min="1798" max="1798" width="9" style="2553" hidden="1" customWidth="1"/>
    <col min="1799" max="2048" width="0" style="2553" hidden="1"/>
    <col min="2049" max="2049" width="9" style="2553" hidden="1" customWidth="1"/>
    <col min="2050" max="2050" width="2.625" style="2553" hidden="1" customWidth="1"/>
    <col min="2051" max="2051" width="19.375" style="2553" hidden="1" customWidth="1"/>
    <col min="2052" max="2052" width="2.625" style="2553" hidden="1" customWidth="1"/>
    <col min="2053" max="2053" width="32" style="2553" hidden="1" customWidth="1"/>
    <col min="2054" max="2054" width="9" style="2553" hidden="1" customWidth="1"/>
    <col min="2055" max="2304" width="0" style="2553" hidden="1"/>
    <col min="2305" max="2305" width="9" style="2553" hidden="1" customWidth="1"/>
    <col min="2306" max="2306" width="2.625" style="2553" hidden="1" customWidth="1"/>
    <col min="2307" max="2307" width="19.375" style="2553" hidden="1" customWidth="1"/>
    <col min="2308" max="2308" width="2.625" style="2553" hidden="1" customWidth="1"/>
    <col min="2309" max="2309" width="32" style="2553" hidden="1" customWidth="1"/>
    <col min="2310" max="2310" width="9" style="2553" hidden="1" customWidth="1"/>
    <col min="2311" max="2560" width="0" style="2553" hidden="1"/>
    <col min="2561" max="2561" width="9" style="2553" hidden="1" customWidth="1"/>
    <col min="2562" max="2562" width="2.625" style="2553" hidden="1" customWidth="1"/>
    <col min="2563" max="2563" width="19.375" style="2553" hidden="1" customWidth="1"/>
    <col min="2564" max="2564" width="2.625" style="2553" hidden="1" customWidth="1"/>
    <col min="2565" max="2565" width="32" style="2553" hidden="1" customWidth="1"/>
    <col min="2566" max="2566" width="9" style="2553" hidden="1" customWidth="1"/>
    <col min="2567" max="2816" width="0" style="2553" hidden="1"/>
    <col min="2817" max="2817" width="9" style="2553" hidden="1" customWidth="1"/>
    <col min="2818" max="2818" width="2.625" style="2553" hidden="1" customWidth="1"/>
    <col min="2819" max="2819" width="19.375" style="2553" hidden="1" customWidth="1"/>
    <col min="2820" max="2820" width="2.625" style="2553" hidden="1" customWidth="1"/>
    <col min="2821" max="2821" width="32" style="2553" hidden="1" customWidth="1"/>
    <col min="2822" max="2822" width="9" style="2553" hidden="1" customWidth="1"/>
    <col min="2823" max="3072" width="0" style="2553" hidden="1"/>
    <col min="3073" max="3073" width="9" style="2553" hidden="1" customWidth="1"/>
    <col min="3074" max="3074" width="2.625" style="2553" hidden="1" customWidth="1"/>
    <col min="3075" max="3075" width="19.375" style="2553" hidden="1" customWidth="1"/>
    <col min="3076" max="3076" width="2.625" style="2553" hidden="1" customWidth="1"/>
    <col min="3077" max="3077" width="32" style="2553" hidden="1" customWidth="1"/>
    <col min="3078" max="3078" width="9" style="2553" hidden="1" customWidth="1"/>
    <col min="3079" max="3328" width="0" style="2553" hidden="1"/>
    <col min="3329" max="3329" width="9" style="2553" hidden="1" customWidth="1"/>
    <col min="3330" max="3330" width="2.625" style="2553" hidden="1" customWidth="1"/>
    <col min="3331" max="3331" width="19.375" style="2553" hidden="1" customWidth="1"/>
    <col min="3332" max="3332" width="2.625" style="2553" hidden="1" customWidth="1"/>
    <col min="3333" max="3333" width="32" style="2553" hidden="1" customWidth="1"/>
    <col min="3334" max="3334" width="9" style="2553" hidden="1" customWidth="1"/>
    <col min="3335" max="3584" width="0" style="2553" hidden="1"/>
    <col min="3585" max="3585" width="9" style="2553" hidden="1" customWidth="1"/>
    <col min="3586" max="3586" width="2.625" style="2553" hidden="1" customWidth="1"/>
    <col min="3587" max="3587" width="19.375" style="2553" hidden="1" customWidth="1"/>
    <col min="3588" max="3588" width="2.625" style="2553" hidden="1" customWidth="1"/>
    <col min="3589" max="3589" width="32" style="2553" hidden="1" customWidth="1"/>
    <col min="3590" max="3590" width="9" style="2553" hidden="1" customWidth="1"/>
    <col min="3591" max="3840" width="0" style="2553" hidden="1"/>
    <col min="3841" max="3841" width="9" style="2553" hidden="1" customWidth="1"/>
    <col min="3842" max="3842" width="2.625" style="2553" hidden="1" customWidth="1"/>
    <col min="3843" max="3843" width="19.375" style="2553" hidden="1" customWidth="1"/>
    <col min="3844" max="3844" width="2.625" style="2553" hidden="1" customWidth="1"/>
    <col min="3845" max="3845" width="32" style="2553" hidden="1" customWidth="1"/>
    <col min="3846" max="3846" width="9" style="2553" hidden="1" customWidth="1"/>
    <col min="3847" max="4096" width="0" style="2553" hidden="1"/>
    <col min="4097" max="4097" width="9" style="2553" hidden="1" customWidth="1"/>
    <col min="4098" max="4098" width="2.625" style="2553" hidden="1" customWidth="1"/>
    <col min="4099" max="4099" width="19.375" style="2553" hidden="1" customWidth="1"/>
    <col min="4100" max="4100" width="2.625" style="2553" hidden="1" customWidth="1"/>
    <col min="4101" max="4101" width="32" style="2553" hidden="1" customWidth="1"/>
    <col min="4102" max="4102" width="9" style="2553" hidden="1" customWidth="1"/>
    <col min="4103" max="4352" width="0" style="2553" hidden="1"/>
    <col min="4353" max="4353" width="9" style="2553" hidden="1" customWidth="1"/>
    <col min="4354" max="4354" width="2.625" style="2553" hidden="1" customWidth="1"/>
    <col min="4355" max="4355" width="19.375" style="2553" hidden="1" customWidth="1"/>
    <col min="4356" max="4356" width="2.625" style="2553" hidden="1" customWidth="1"/>
    <col min="4357" max="4357" width="32" style="2553" hidden="1" customWidth="1"/>
    <col min="4358" max="4358" width="9" style="2553" hidden="1" customWidth="1"/>
    <col min="4359" max="4608" width="0" style="2553" hidden="1"/>
    <col min="4609" max="4609" width="9" style="2553" hidden="1" customWidth="1"/>
    <col min="4610" max="4610" width="2.625" style="2553" hidden="1" customWidth="1"/>
    <col min="4611" max="4611" width="19.375" style="2553" hidden="1" customWidth="1"/>
    <col min="4612" max="4612" width="2.625" style="2553" hidden="1" customWidth="1"/>
    <col min="4613" max="4613" width="32" style="2553" hidden="1" customWidth="1"/>
    <col min="4614" max="4614" width="9" style="2553" hidden="1" customWidth="1"/>
    <col min="4615" max="4864" width="0" style="2553" hidden="1"/>
    <col min="4865" max="4865" width="9" style="2553" hidden="1" customWidth="1"/>
    <col min="4866" max="4866" width="2.625" style="2553" hidden="1" customWidth="1"/>
    <col min="4867" max="4867" width="19.375" style="2553" hidden="1" customWidth="1"/>
    <col min="4868" max="4868" width="2.625" style="2553" hidden="1" customWidth="1"/>
    <col min="4869" max="4869" width="32" style="2553" hidden="1" customWidth="1"/>
    <col min="4870" max="4870" width="9" style="2553" hidden="1" customWidth="1"/>
    <col min="4871" max="5120" width="0" style="2553" hidden="1"/>
    <col min="5121" max="5121" width="9" style="2553" hidden="1" customWidth="1"/>
    <col min="5122" max="5122" width="2.625" style="2553" hidden="1" customWidth="1"/>
    <col min="5123" max="5123" width="19.375" style="2553" hidden="1" customWidth="1"/>
    <col min="5124" max="5124" width="2.625" style="2553" hidden="1" customWidth="1"/>
    <col min="5125" max="5125" width="32" style="2553" hidden="1" customWidth="1"/>
    <col min="5126" max="5126" width="9" style="2553" hidden="1" customWidth="1"/>
    <col min="5127" max="5376" width="0" style="2553" hidden="1"/>
    <col min="5377" max="5377" width="9" style="2553" hidden="1" customWidth="1"/>
    <col min="5378" max="5378" width="2.625" style="2553" hidden="1" customWidth="1"/>
    <col min="5379" max="5379" width="19.375" style="2553" hidden="1" customWidth="1"/>
    <col min="5380" max="5380" width="2.625" style="2553" hidden="1" customWidth="1"/>
    <col min="5381" max="5381" width="32" style="2553" hidden="1" customWidth="1"/>
    <col min="5382" max="5382" width="9" style="2553" hidden="1" customWidth="1"/>
    <col min="5383" max="5632" width="0" style="2553" hidden="1"/>
    <col min="5633" max="5633" width="9" style="2553" hidden="1" customWidth="1"/>
    <col min="5634" max="5634" width="2.625" style="2553" hidden="1" customWidth="1"/>
    <col min="5635" max="5635" width="19.375" style="2553" hidden="1" customWidth="1"/>
    <col min="5636" max="5636" width="2.625" style="2553" hidden="1" customWidth="1"/>
    <col min="5637" max="5637" width="32" style="2553" hidden="1" customWidth="1"/>
    <col min="5638" max="5638" width="9" style="2553" hidden="1" customWidth="1"/>
    <col min="5639" max="5888" width="0" style="2553" hidden="1"/>
    <col min="5889" max="5889" width="9" style="2553" hidden="1" customWidth="1"/>
    <col min="5890" max="5890" width="2.625" style="2553" hidden="1" customWidth="1"/>
    <col min="5891" max="5891" width="19.375" style="2553" hidden="1" customWidth="1"/>
    <col min="5892" max="5892" width="2.625" style="2553" hidden="1" customWidth="1"/>
    <col min="5893" max="5893" width="32" style="2553" hidden="1" customWidth="1"/>
    <col min="5894" max="5894" width="9" style="2553" hidden="1" customWidth="1"/>
    <col min="5895" max="6144" width="0" style="2553" hidden="1"/>
    <col min="6145" max="6145" width="9" style="2553" hidden="1" customWidth="1"/>
    <col min="6146" max="6146" width="2.625" style="2553" hidden="1" customWidth="1"/>
    <col min="6147" max="6147" width="19.375" style="2553" hidden="1" customWidth="1"/>
    <col min="6148" max="6148" width="2.625" style="2553" hidden="1" customWidth="1"/>
    <col min="6149" max="6149" width="32" style="2553" hidden="1" customWidth="1"/>
    <col min="6150" max="6150" width="9" style="2553" hidden="1" customWidth="1"/>
    <col min="6151" max="6400" width="0" style="2553" hidden="1"/>
    <col min="6401" max="6401" width="9" style="2553" hidden="1" customWidth="1"/>
    <col min="6402" max="6402" width="2.625" style="2553" hidden="1" customWidth="1"/>
    <col min="6403" max="6403" width="19.375" style="2553" hidden="1" customWidth="1"/>
    <col min="6404" max="6404" width="2.625" style="2553" hidden="1" customWidth="1"/>
    <col min="6405" max="6405" width="32" style="2553" hidden="1" customWidth="1"/>
    <col min="6406" max="6406" width="9" style="2553" hidden="1" customWidth="1"/>
    <col min="6407" max="6656" width="0" style="2553" hidden="1"/>
    <col min="6657" max="6657" width="9" style="2553" hidden="1" customWidth="1"/>
    <col min="6658" max="6658" width="2.625" style="2553" hidden="1" customWidth="1"/>
    <col min="6659" max="6659" width="19.375" style="2553" hidden="1" customWidth="1"/>
    <col min="6660" max="6660" width="2.625" style="2553" hidden="1" customWidth="1"/>
    <col min="6661" max="6661" width="32" style="2553" hidden="1" customWidth="1"/>
    <col min="6662" max="6662" width="9" style="2553" hidden="1" customWidth="1"/>
    <col min="6663" max="6912" width="0" style="2553" hidden="1"/>
    <col min="6913" max="6913" width="9" style="2553" hidden="1" customWidth="1"/>
    <col min="6914" max="6914" width="2.625" style="2553" hidden="1" customWidth="1"/>
    <col min="6915" max="6915" width="19.375" style="2553" hidden="1" customWidth="1"/>
    <col min="6916" max="6916" width="2.625" style="2553" hidden="1" customWidth="1"/>
    <col min="6917" max="6917" width="32" style="2553" hidden="1" customWidth="1"/>
    <col min="6918" max="6918" width="9" style="2553" hidden="1" customWidth="1"/>
    <col min="6919" max="7168" width="0" style="2553" hidden="1"/>
    <col min="7169" max="7169" width="9" style="2553" hidden="1" customWidth="1"/>
    <col min="7170" max="7170" width="2.625" style="2553" hidden="1" customWidth="1"/>
    <col min="7171" max="7171" width="19.375" style="2553" hidden="1" customWidth="1"/>
    <col min="7172" max="7172" width="2.625" style="2553" hidden="1" customWidth="1"/>
    <col min="7173" max="7173" width="32" style="2553" hidden="1" customWidth="1"/>
    <col min="7174" max="7174" width="9" style="2553" hidden="1" customWidth="1"/>
    <col min="7175" max="7424" width="0" style="2553" hidden="1"/>
    <col min="7425" max="7425" width="9" style="2553" hidden="1" customWidth="1"/>
    <col min="7426" max="7426" width="2.625" style="2553" hidden="1" customWidth="1"/>
    <col min="7427" max="7427" width="19.375" style="2553" hidden="1" customWidth="1"/>
    <col min="7428" max="7428" width="2.625" style="2553" hidden="1" customWidth="1"/>
    <col min="7429" max="7429" width="32" style="2553" hidden="1" customWidth="1"/>
    <col min="7430" max="7430" width="9" style="2553" hidden="1" customWidth="1"/>
    <col min="7431" max="7680" width="0" style="2553" hidden="1"/>
    <col min="7681" max="7681" width="9" style="2553" hidden="1" customWidth="1"/>
    <col min="7682" max="7682" width="2.625" style="2553" hidden="1" customWidth="1"/>
    <col min="7683" max="7683" width="19.375" style="2553" hidden="1" customWidth="1"/>
    <col min="7684" max="7684" width="2.625" style="2553" hidden="1" customWidth="1"/>
    <col min="7685" max="7685" width="32" style="2553" hidden="1" customWidth="1"/>
    <col min="7686" max="7686" width="9" style="2553" hidden="1" customWidth="1"/>
    <col min="7687" max="7936" width="0" style="2553" hidden="1"/>
    <col min="7937" max="7937" width="9" style="2553" hidden="1" customWidth="1"/>
    <col min="7938" max="7938" width="2.625" style="2553" hidden="1" customWidth="1"/>
    <col min="7939" max="7939" width="19.375" style="2553" hidden="1" customWidth="1"/>
    <col min="7940" max="7940" width="2.625" style="2553" hidden="1" customWidth="1"/>
    <col min="7941" max="7941" width="32" style="2553" hidden="1" customWidth="1"/>
    <col min="7942" max="7942" width="9" style="2553" hidden="1" customWidth="1"/>
    <col min="7943" max="8192" width="0" style="2553" hidden="1"/>
    <col min="8193" max="8193" width="9" style="2553" hidden="1" customWidth="1"/>
    <col min="8194" max="8194" width="2.625" style="2553" hidden="1" customWidth="1"/>
    <col min="8195" max="8195" width="19.375" style="2553" hidden="1" customWidth="1"/>
    <col min="8196" max="8196" width="2.625" style="2553" hidden="1" customWidth="1"/>
    <col min="8197" max="8197" width="32" style="2553" hidden="1" customWidth="1"/>
    <col min="8198" max="8198" width="9" style="2553" hidden="1" customWidth="1"/>
    <col min="8199" max="8448" width="0" style="2553" hidden="1"/>
    <col min="8449" max="8449" width="9" style="2553" hidden="1" customWidth="1"/>
    <col min="8450" max="8450" width="2.625" style="2553" hidden="1" customWidth="1"/>
    <col min="8451" max="8451" width="19.375" style="2553" hidden="1" customWidth="1"/>
    <col min="8452" max="8452" width="2.625" style="2553" hidden="1" customWidth="1"/>
    <col min="8453" max="8453" width="32" style="2553" hidden="1" customWidth="1"/>
    <col min="8454" max="8454" width="9" style="2553" hidden="1" customWidth="1"/>
    <col min="8455" max="8704" width="0" style="2553" hidden="1"/>
    <col min="8705" max="8705" width="9" style="2553" hidden="1" customWidth="1"/>
    <col min="8706" max="8706" width="2.625" style="2553" hidden="1" customWidth="1"/>
    <col min="8707" max="8707" width="19.375" style="2553" hidden="1" customWidth="1"/>
    <col min="8708" max="8708" width="2.625" style="2553" hidden="1" customWidth="1"/>
    <col min="8709" max="8709" width="32" style="2553" hidden="1" customWidth="1"/>
    <col min="8710" max="8710" width="9" style="2553" hidden="1" customWidth="1"/>
    <col min="8711" max="8960" width="0" style="2553" hidden="1"/>
    <col min="8961" max="8961" width="9" style="2553" hidden="1" customWidth="1"/>
    <col min="8962" max="8962" width="2.625" style="2553" hidden="1" customWidth="1"/>
    <col min="8963" max="8963" width="19.375" style="2553" hidden="1" customWidth="1"/>
    <col min="8964" max="8964" width="2.625" style="2553" hidden="1" customWidth="1"/>
    <col min="8965" max="8965" width="32" style="2553" hidden="1" customWidth="1"/>
    <col min="8966" max="8966" width="9" style="2553" hidden="1" customWidth="1"/>
    <col min="8967" max="9216" width="0" style="2553" hidden="1"/>
    <col min="9217" max="9217" width="9" style="2553" hidden="1" customWidth="1"/>
    <col min="9218" max="9218" width="2.625" style="2553" hidden="1" customWidth="1"/>
    <col min="9219" max="9219" width="19.375" style="2553" hidden="1" customWidth="1"/>
    <col min="9220" max="9220" width="2.625" style="2553" hidden="1" customWidth="1"/>
    <col min="9221" max="9221" width="32" style="2553" hidden="1" customWidth="1"/>
    <col min="9222" max="9222" width="9" style="2553" hidden="1" customWidth="1"/>
    <col min="9223" max="9472" width="0" style="2553" hidden="1"/>
    <col min="9473" max="9473" width="9" style="2553" hidden="1" customWidth="1"/>
    <col min="9474" max="9474" width="2.625" style="2553" hidden="1" customWidth="1"/>
    <col min="9475" max="9475" width="19.375" style="2553" hidden="1" customWidth="1"/>
    <col min="9476" max="9476" width="2.625" style="2553" hidden="1" customWidth="1"/>
    <col min="9477" max="9477" width="32" style="2553" hidden="1" customWidth="1"/>
    <col min="9478" max="9478" width="9" style="2553" hidden="1" customWidth="1"/>
    <col min="9479" max="9728" width="0" style="2553" hidden="1"/>
    <col min="9729" max="9729" width="9" style="2553" hidden="1" customWidth="1"/>
    <col min="9730" max="9730" width="2.625" style="2553" hidden="1" customWidth="1"/>
    <col min="9731" max="9731" width="19.375" style="2553" hidden="1" customWidth="1"/>
    <col min="9732" max="9732" width="2.625" style="2553" hidden="1" customWidth="1"/>
    <col min="9733" max="9733" width="32" style="2553" hidden="1" customWidth="1"/>
    <col min="9734" max="9734" width="9" style="2553" hidden="1" customWidth="1"/>
    <col min="9735" max="9984" width="0" style="2553" hidden="1"/>
    <col min="9985" max="9985" width="9" style="2553" hidden="1" customWidth="1"/>
    <col min="9986" max="9986" width="2.625" style="2553" hidden="1" customWidth="1"/>
    <col min="9987" max="9987" width="19.375" style="2553" hidden="1" customWidth="1"/>
    <col min="9988" max="9988" width="2.625" style="2553" hidden="1" customWidth="1"/>
    <col min="9989" max="9989" width="32" style="2553" hidden="1" customWidth="1"/>
    <col min="9990" max="9990" width="9" style="2553" hidden="1" customWidth="1"/>
    <col min="9991" max="10240" width="0" style="2553" hidden="1"/>
    <col min="10241" max="10241" width="9" style="2553" hidden="1" customWidth="1"/>
    <col min="10242" max="10242" width="2.625" style="2553" hidden="1" customWidth="1"/>
    <col min="10243" max="10243" width="19.375" style="2553" hidden="1" customWidth="1"/>
    <col min="10244" max="10244" width="2.625" style="2553" hidden="1" customWidth="1"/>
    <col min="10245" max="10245" width="32" style="2553" hidden="1" customWidth="1"/>
    <col min="10246" max="10246" width="9" style="2553" hidden="1" customWidth="1"/>
    <col min="10247" max="10496" width="0" style="2553" hidden="1"/>
    <col min="10497" max="10497" width="9" style="2553" hidden="1" customWidth="1"/>
    <col min="10498" max="10498" width="2.625" style="2553" hidden="1" customWidth="1"/>
    <col min="10499" max="10499" width="19.375" style="2553" hidden="1" customWidth="1"/>
    <col min="10500" max="10500" width="2.625" style="2553" hidden="1" customWidth="1"/>
    <col min="10501" max="10501" width="32" style="2553" hidden="1" customWidth="1"/>
    <col min="10502" max="10502" width="9" style="2553" hidden="1" customWidth="1"/>
    <col min="10503" max="10752" width="0" style="2553" hidden="1"/>
    <col min="10753" max="10753" width="9" style="2553" hidden="1" customWidth="1"/>
    <col min="10754" max="10754" width="2.625" style="2553" hidden="1" customWidth="1"/>
    <col min="10755" max="10755" width="19.375" style="2553" hidden="1" customWidth="1"/>
    <col min="10756" max="10756" width="2.625" style="2553" hidden="1" customWidth="1"/>
    <col min="10757" max="10757" width="32" style="2553" hidden="1" customWidth="1"/>
    <col min="10758" max="10758" width="9" style="2553" hidden="1" customWidth="1"/>
    <col min="10759" max="11008" width="0" style="2553" hidden="1"/>
    <col min="11009" max="11009" width="9" style="2553" hidden="1" customWidth="1"/>
    <col min="11010" max="11010" width="2.625" style="2553" hidden="1" customWidth="1"/>
    <col min="11011" max="11011" width="19.375" style="2553" hidden="1" customWidth="1"/>
    <col min="11012" max="11012" width="2.625" style="2553" hidden="1" customWidth="1"/>
    <col min="11013" max="11013" width="32" style="2553" hidden="1" customWidth="1"/>
    <col min="11014" max="11014" width="9" style="2553" hidden="1" customWidth="1"/>
    <col min="11015" max="11264" width="0" style="2553" hidden="1"/>
    <col min="11265" max="11265" width="9" style="2553" hidden="1" customWidth="1"/>
    <col min="11266" max="11266" width="2.625" style="2553" hidden="1" customWidth="1"/>
    <col min="11267" max="11267" width="19.375" style="2553" hidden="1" customWidth="1"/>
    <col min="11268" max="11268" width="2.625" style="2553" hidden="1" customWidth="1"/>
    <col min="11269" max="11269" width="32" style="2553" hidden="1" customWidth="1"/>
    <col min="11270" max="11270" width="9" style="2553" hidden="1" customWidth="1"/>
    <col min="11271" max="11520" width="0" style="2553" hidden="1"/>
    <col min="11521" max="11521" width="9" style="2553" hidden="1" customWidth="1"/>
    <col min="11522" max="11522" width="2.625" style="2553" hidden="1" customWidth="1"/>
    <col min="11523" max="11523" width="19.375" style="2553" hidden="1" customWidth="1"/>
    <col min="11524" max="11524" width="2.625" style="2553" hidden="1" customWidth="1"/>
    <col min="11525" max="11525" width="32" style="2553" hidden="1" customWidth="1"/>
    <col min="11526" max="11526" width="9" style="2553" hidden="1" customWidth="1"/>
    <col min="11527" max="11776" width="0" style="2553" hidden="1"/>
    <col min="11777" max="11777" width="9" style="2553" hidden="1" customWidth="1"/>
    <col min="11778" max="11778" width="2.625" style="2553" hidden="1" customWidth="1"/>
    <col min="11779" max="11779" width="19.375" style="2553" hidden="1" customWidth="1"/>
    <col min="11780" max="11780" width="2.625" style="2553" hidden="1" customWidth="1"/>
    <col min="11781" max="11781" width="32" style="2553" hidden="1" customWidth="1"/>
    <col min="11782" max="11782" width="9" style="2553" hidden="1" customWidth="1"/>
    <col min="11783" max="12032" width="0" style="2553" hidden="1"/>
    <col min="12033" max="12033" width="9" style="2553" hidden="1" customWidth="1"/>
    <col min="12034" max="12034" width="2.625" style="2553" hidden="1" customWidth="1"/>
    <col min="12035" max="12035" width="19.375" style="2553" hidden="1" customWidth="1"/>
    <col min="12036" max="12036" width="2.625" style="2553" hidden="1" customWidth="1"/>
    <col min="12037" max="12037" width="32" style="2553" hidden="1" customWidth="1"/>
    <col min="12038" max="12038" width="9" style="2553" hidden="1" customWidth="1"/>
    <col min="12039" max="12288" width="0" style="2553" hidden="1"/>
    <col min="12289" max="12289" width="9" style="2553" hidden="1" customWidth="1"/>
    <col min="12290" max="12290" width="2.625" style="2553" hidden="1" customWidth="1"/>
    <col min="12291" max="12291" width="19.375" style="2553" hidden="1" customWidth="1"/>
    <col min="12292" max="12292" width="2.625" style="2553" hidden="1" customWidth="1"/>
    <col min="12293" max="12293" width="32" style="2553" hidden="1" customWidth="1"/>
    <col min="12294" max="12294" width="9" style="2553" hidden="1" customWidth="1"/>
    <col min="12295" max="12544" width="0" style="2553" hidden="1"/>
    <col min="12545" max="12545" width="9" style="2553" hidden="1" customWidth="1"/>
    <col min="12546" max="12546" width="2.625" style="2553" hidden="1" customWidth="1"/>
    <col min="12547" max="12547" width="19.375" style="2553" hidden="1" customWidth="1"/>
    <col min="12548" max="12548" width="2.625" style="2553" hidden="1" customWidth="1"/>
    <col min="12549" max="12549" width="32" style="2553" hidden="1" customWidth="1"/>
    <col min="12550" max="12550" width="9" style="2553" hidden="1" customWidth="1"/>
    <col min="12551" max="12800" width="0" style="2553" hidden="1"/>
    <col min="12801" max="12801" width="9" style="2553" hidden="1" customWidth="1"/>
    <col min="12802" max="12802" width="2.625" style="2553" hidden="1" customWidth="1"/>
    <col min="12803" max="12803" width="19.375" style="2553" hidden="1" customWidth="1"/>
    <col min="12804" max="12804" width="2.625" style="2553" hidden="1" customWidth="1"/>
    <col min="12805" max="12805" width="32" style="2553" hidden="1" customWidth="1"/>
    <col min="12806" max="12806" width="9" style="2553" hidden="1" customWidth="1"/>
    <col min="12807" max="13056" width="0" style="2553" hidden="1"/>
    <col min="13057" max="13057" width="9" style="2553" hidden="1" customWidth="1"/>
    <col min="13058" max="13058" width="2.625" style="2553" hidden="1" customWidth="1"/>
    <col min="13059" max="13059" width="19.375" style="2553" hidden="1" customWidth="1"/>
    <col min="13060" max="13060" width="2.625" style="2553" hidden="1" customWidth="1"/>
    <col min="13061" max="13061" width="32" style="2553" hidden="1" customWidth="1"/>
    <col min="13062" max="13062" width="9" style="2553" hidden="1" customWidth="1"/>
    <col min="13063" max="13312" width="0" style="2553" hidden="1"/>
    <col min="13313" max="13313" width="9" style="2553" hidden="1" customWidth="1"/>
    <col min="13314" max="13314" width="2.625" style="2553" hidden="1" customWidth="1"/>
    <col min="13315" max="13315" width="19.375" style="2553" hidden="1" customWidth="1"/>
    <col min="13316" max="13316" width="2.625" style="2553" hidden="1" customWidth="1"/>
    <col min="13317" max="13317" width="32" style="2553" hidden="1" customWidth="1"/>
    <col min="13318" max="13318" width="9" style="2553" hidden="1" customWidth="1"/>
    <col min="13319" max="13568" width="0" style="2553" hidden="1"/>
    <col min="13569" max="13569" width="9" style="2553" hidden="1" customWidth="1"/>
    <col min="13570" max="13570" width="2.625" style="2553" hidden="1" customWidth="1"/>
    <col min="13571" max="13571" width="19.375" style="2553" hidden="1" customWidth="1"/>
    <col min="13572" max="13572" width="2.625" style="2553" hidden="1" customWidth="1"/>
    <col min="13573" max="13573" width="32" style="2553" hidden="1" customWidth="1"/>
    <col min="13574" max="13574" width="9" style="2553" hidden="1" customWidth="1"/>
    <col min="13575" max="13824" width="0" style="2553" hidden="1"/>
    <col min="13825" max="13825" width="9" style="2553" hidden="1" customWidth="1"/>
    <col min="13826" max="13826" width="2.625" style="2553" hidden="1" customWidth="1"/>
    <col min="13827" max="13827" width="19.375" style="2553" hidden="1" customWidth="1"/>
    <col min="13828" max="13828" width="2.625" style="2553" hidden="1" customWidth="1"/>
    <col min="13829" max="13829" width="32" style="2553" hidden="1" customWidth="1"/>
    <col min="13830" max="13830" width="9" style="2553" hidden="1" customWidth="1"/>
    <col min="13831" max="14080" width="0" style="2553" hidden="1"/>
    <col min="14081" max="14081" width="9" style="2553" hidden="1" customWidth="1"/>
    <col min="14082" max="14082" width="2.625" style="2553" hidden="1" customWidth="1"/>
    <col min="14083" max="14083" width="19.375" style="2553" hidden="1" customWidth="1"/>
    <col min="14084" max="14084" width="2.625" style="2553" hidden="1" customWidth="1"/>
    <col min="14085" max="14085" width="32" style="2553" hidden="1" customWidth="1"/>
    <col min="14086" max="14086" width="9" style="2553" hidden="1" customWidth="1"/>
    <col min="14087" max="14336" width="0" style="2553" hidden="1"/>
    <col min="14337" max="14337" width="9" style="2553" hidden="1" customWidth="1"/>
    <col min="14338" max="14338" width="2.625" style="2553" hidden="1" customWidth="1"/>
    <col min="14339" max="14339" width="19.375" style="2553" hidden="1" customWidth="1"/>
    <col min="14340" max="14340" width="2.625" style="2553" hidden="1" customWidth="1"/>
    <col min="14341" max="14341" width="32" style="2553" hidden="1" customWidth="1"/>
    <col min="14342" max="14342" width="9" style="2553" hidden="1" customWidth="1"/>
    <col min="14343" max="14592" width="0" style="2553" hidden="1"/>
    <col min="14593" max="14593" width="9" style="2553" hidden="1" customWidth="1"/>
    <col min="14594" max="14594" width="2.625" style="2553" hidden="1" customWidth="1"/>
    <col min="14595" max="14595" width="19.375" style="2553" hidden="1" customWidth="1"/>
    <col min="14596" max="14596" width="2.625" style="2553" hidden="1" customWidth="1"/>
    <col min="14597" max="14597" width="32" style="2553" hidden="1" customWidth="1"/>
    <col min="14598" max="14598" width="9" style="2553" hidden="1" customWidth="1"/>
    <col min="14599" max="14848" width="0" style="2553" hidden="1"/>
    <col min="14849" max="14849" width="9" style="2553" hidden="1" customWidth="1"/>
    <col min="14850" max="14850" width="2.625" style="2553" hidden="1" customWidth="1"/>
    <col min="14851" max="14851" width="19.375" style="2553" hidden="1" customWidth="1"/>
    <col min="14852" max="14852" width="2.625" style="2553" hidden="1" customWidth="1"/>
    <col min="14853" max="14853" width="32" style="2553" hidden="1" customWidth="1"/>
    <col min="14854" max="14854" width="9" style="2553" hidden="1" customWidth="1"/>
    <col min="14855" max="15104" width="0" style="2553" hidden="1"/>
    <col min="15105" max="15105" width="9" style="2553" hidden="1" customWidth="1"/>
    <col min="15106" max="15106" width="2.625" style="2553" hidden="1" customWidth="1"/>
    <col min="15107" max="15107" width="19.375" style="2553" hidden="1" customWidth="1"/>
    <col min="15108" max="15108" width="2.625" style="2553" hidden="1" customWidth="1"/>
    <col min="15109" max="15109" width="32" style="2553" hidden="1" customWidth="1"/>
    <col min="15110" max="15110" width="9" style="2553" hidden="1" customWidth="1"/>
    <col min="15111" max="15360" width="0" style="2553" hidden="1"/>
    <col min="15361" max="15361" width="9" style="2553" hidden="1" customWidth="1"/>
    <col min="15362" max="15362" width="2.625" style="2553" hidden="1" customWidth="1"/>
    <col min="15363" max="15363" width="19.375" style="2553" hidden="1" customWidth="1"/>
    <col min="15364" max="15364" width="2.625" style="2553" hidden="1" customWidth="1"/>
    <col min="15365" max="15365" width="32" style="2553" hidden="1" customWidth="1"/>
    <col min="15366" max="15366" width="9" style="2553" hidden="1" customWidth="1"/>
    <col min="15367" max="15616" width="0" style="2553" hidden="1"/>
    <col min="15617" max="15617" width="9" style="2553" hidden="1" customWidth="1"/>
    <col min="15618" max="15618" width="2.625" style="2553" hidden="1" customWidth="1"/>
    <col min="15619" max="15619" width="19.375" style="2553" hidden="1" customWidth="1"/>
    <col min="15620" max="15620" width="2.625" style="2553" hidden="1" customWidth="1"/>
    <col min="15621" max="15621" width="32" style="2553" hidden="1" customWidth="1"/>
    <col min="15622" max="15622" width="9" style="2553" hidden="1" customWidth="1"/>
    <col min="15623" max="15872" width="0" style="2553" hidden="1"/>
    <col min="15873" max="15873" width="9" style="2553" hidden="1" customWidth="1"/>
    <col min="15874" max="15874" width="2.625" style="2553" hidden="1" customWidth="1"/>
    <col min="15875" max="15875" width="19.375" style="2553" hidden="1" customWidth="1"/>
    <col min="15876" max="15876" width="2.625" style="2553" hidden="1" customWidth="1"/>
    <col min="15877" max="15877" width="32" style="2553" hidden="1" customWidth="1"/>
    <col min="15878" max="15878" width="9" style="2553" hidden="1" customWidth="1"/>
    <col min="15879" max="16128" width="0" style="2553" hidden="1"/>
    <col min="16129" max="16129" width="9" style="2553" hidden="1" customWidth="1"/>
    <col min="16130" max="16130" width="2.625" style="2553" hidden="1" customWidth="1"/>
    <col min="16131" max="16131" width="19.375" style="2553" hidden="1" customWidth="1"/>
    <col min="16132" max="16132" width="2.625" style="2553" hidden="1" customWidth="1"/>
    <col min="16133" max="16133" width="32" style="2553" hidden="1" customWidth="1"/>
    <col min="16134" max="16134" width="9" style="2553" hidden="1" customWidth="1"/>
    <col min="16135" max="16384" width="0" style="2553" hidden="1"/>
  </cols>
  <sheetData>
    <row r="1" spans="2:5" ht="17.25" customHeight="1">
      <c r="B1" s="2619"/>
      <c r="C1" s="2620"/>
      <c r="D1" s="2620"/>
      <c r="E1" s="2621" t="s">
        <v>1989</v>
      </c>
    </row>
    <row r="2" spans="2:5" ht="26.25" customHeight="1">
      <c r="B2" s="2619"/>
      <c r="C2" s="2620" t="s">
        <v>1990</v>
      </c>
      <c r="D2" s="2620"/>
      <c r="E2" s="2635" t="str">
        <f>メイン!H11</f>
        <v>新ビル</v>
      </c>
    </row>
    <row r="3" spans="2:5" ht="26.25" customHeight="1">
      <c r="B3" s="2619"/>
      <c r="C3" s="2620" t="s">
        <v>1991</v>
      </c>
      <c r="D3" s="2620"/>
      <c r="E3" s="2622" t="str">
        <f>メイン!C45</f>
        <v>○○○㈱</v>
      </c>
    </row>
    <row r="4" spans="2:5" ht="26.25" customHeight="1">
      <c r="B4" s="2619"/>
      <c r="C4" s="2620" t="s">
        <v>1992</v>
      </c>
      <c r="D4" s="2620"/>
      <c r="E4" s="2622" t="str">
        <f>メイン!C47</f>
        <v>㈱○○○設計</v>
      </c>
    </row>
    <row r="5" spans="2:5" ht="3" customHeight="1">
      <c r="B5" s="2619"/>
      <c r="C5" s="2620"/>
      <c r="D5" s="2620"/>
      <c r="E5" s="2622"/>
    </row>
    <row r="6" spans="2:5" ht="26.25" customHeight="1">
      <c r="B6" s="2619"/>
      <c r="C6" s="2620" t="s">
        <v>1993</v>
      </c>
      <c r="D6" s="2620"/>
      <c r="E6" s="2622" t="str">
        <f>メイン!H12</f>
        <v>大阪市○○区○○</v>
      </c>
    </row>
    <row r="7" spans="2:5" ht="26.25" customHeight="1">
      <c r="B7" s="2619"/>
      <c r="C7" s="2620" t="s">
        <v>784</v>
      </c>
      <c r="D7" s="2620"/>
      <c r="E7" s="2623" t="str">
        <f>メイン!H20</f>
        <v>○○</v>
      </c>
    </row>
    <row r="8" spans="2:5" ht="26.25" customHeight="1">
      <c r="B8" s="2619"/>
      <c r="C8" s="2620" t="s">
        <v>1823</v>
      </c>
      <c r="D8" s="2620"/>
      <c r="E8" s="2624">
        <f>メイン!H17</f>
        <v>2000</v>
      </c>
    </row>
    <row r="9" spans="2:5" ht="26.25" customHeight="1">
      <c r="B9" s="2619"/>
      <c r="C9" s="2620" t="s">
        <v>1827</v>
      </c>
      <c r="D9" s="2620"/>
      <c r="E9" s="2624">
        <f>メイン!H18</f>
        <v>1400</v>
      </c>
    </row>
    <row r="10" spans="2:5" ht="26.25" customHeight="1">
      <c r="B10" s="2619"/>
      <c r="C10" s="2620" t="s">
        <v>1994</v>
      </c>
      <c r="D10" s="2620"/>
      <c r="E10" s="2624">
        <f>メイン!H19</f>
        <v>15320</v>
      </c>
    </row>
    <row r="11" spans="2:5" ht="26.25" customHeight="1">
      <c r="B11" s="2619"/>
      <c r="C11" s="2620" t="s">
        <v>1995</v>
      </c>
      <c r="D11" s="2620"/>
      <c r="E11" s="2622" t="str">
        <f>メイン!H22</f>
        <v>地上12F</v>
      </c>
    </row>
    <row r="12" spans="2:5" ht="26.25" customHeight="1">
      <c r="B12" s="2619" t="s">
        <v>1996</v>
      </c>
      <c r="C12" s="2620" t="s">
        <v>1997</v>
      </c>
      <c r="D12" s="2620"/>
      <c r="E12" s="2622" t="str">
        <f>メイン!H23&amp;メイン!I23</f>
        <v>S造一部○○</v>
      </c>
    </row>
    <row r="13" spans="2:5" ht="26.25" customHeight="1">
      <c r="B13" s="2619"/>
      <c r="C13" s="2620" t="s">
        <v>1998</v>
      </c>
      <c r="D13" s="2620"/>
      <c r="E13" s="2625">
        <f>メイン!H15</f>
        <v>42339</v>
      </c>
    </row>
    <row r="14" spans="2:5" ht="3" customHeight="1">
      <c r="B14" s="2619"/>
      <c r="C14" s="2620"/>
      <c r="D14" s="2620"/>
      <c r="E14" s="2622"/>
    </row>
    <row r="15" spans="2:5" ht="26.25" customHeight="1">
      <c r="B15" s="2626" t="s">
        <v>1999</v>
      </c>
      <c r="C15" s="2620"/>
      <c r="D15" s="2620"/>
      <c r="E15" s="2622" t="e">
        <f>'計画概要書（前後の比較）'!C25</f>
        <v>#VALUE!</v>
      </c>
    </row>
    <row r="16" spans="2:5" ht="26.25" customHeight="1">
      <c r="B16" s="2626" t="s">
        <v>2000</v>
      </c>
      <c r="C16" s="2620"/>
      <c r="D16" s="2620"/>
      <c r="E16" s="2627" t="e">
        <f>'計画概要書（前後の比較）'!D25</f>
        <v>#VALUE!</v>
      </c>
    </row>
    <row r="17" spans="2:5" ht="26.25" customHeight="1">
      <c r="B17" s="2626" t="s">
        <v>2001</v>
      </c>
      <c r="C17" s="2620"/>
      <c r="D17" s="2620"/>
      <c r="E17" s="2627">
        <f>スコア表示!U8</f>
        <v>3</v>
      </c>
    </row>
    <row r="18" spans="2:5" ht="26.25" customHeight="1">
      <c r="B18" s="2628"/>
      <c r="C18" s="2629" t="s">
        <v>2002</v>
      </c>
      <c r="D18" s="2620"/>
      <c r="E18" s="2627">
        <f>スコア表示!U9</f>
        <v>3</v>
      </c>
    </row>
    <row r="19" spans="2:5" ht="26.25" customHeight="1">
      <c r="B19" s="2628"/>
      <c r="C19" s="2629" t="s">
        <v>2003</v>
      </c>
      <c r="D19" s="2620"/>
      <c r="E19" s="2627">
        <f>スコア表示!U61</f>
        <v>3</v>
      </c>
    </row>
    <row r="20" spans="2:5" ht="26.25" customHeight="1">
      <c r="B20" s="2628"/>
      <c r="C20" s="2629" t="s">
        <v>2004</v>
      </c>
      <c r="D20" s="2620"/>
      <c r="E20" s="2627">
        <f>スコア表示!U109</f>
        <v>3</v>
      </c>
    </row>
    <row r="21" spans="2:5" ht="26.25" customHeight="1">
      <c r="B21" s="2626" t="s">
        <v>2005</v>
      </c>
      <c r="C21" s="2620"/>
      <c r="D21" s="2620"/>
      <c r="E21" s="2627" t="e">
        <f>スコア表示!U116</f>
        <v>#VALUE!</v>
      </c>
    </row>
    <row r="22" spans="2:5" ht="26.25" customHeight="1">
      <c r="B22" s="2619"/>
      <c r="C22" s="2629" t="s">
        <v>2006</v>
      </c>
      <c r="D22" s="2620"/>
      <c r="E22" s="2627">
        <f>スコア表示!U117</f>
        <v>1.5</v>
      </c>
    </row>
    <row r="23" spans="2:5" ht="26.25" customHeight="1">
      <c r="B23" s="2619"/>
      <c r="C23" s="2629" t="s">
        <v>2007</v>
      </c>
      <c r="D23" s="2620"/>
      <c r="E23" s="2627">
        <f>スコア表示!U140</f>
        <v>3</v>
      </c>
    </row>
    <row r="24" spans="2:5" ht="26.25" customHeight="1">
      <c r="B24" s="2619"/>
      <c r="C24" s="2629" t="s">
        <v>2008</v>
      </c>
      <c r="D24" s="2620"/>
      <c r="E24" s="2627" t="e">
        <f>スコア表示!U159</f>
        <v>#VALUE!</v>
      </c>
    </row>
    <row r="25" spans="2:5" ht="3" customHeight="1">
      <c r="B25" s="2619"/>
      <c r="C25" s="2620"/>
      <c r="D25" s="2620"/>
      <c r="E25" s="2622"/>
    </row>
    <row r="26" spans="2:5" ht="26.25" customHeight="1">
      <c r="B26" s="2619"/>
      <c r="C26" s="2629" t="s">
        <v>2009</v>
      </c>
      <c r="D26" s="2620"/>
      <c r="E26" s="2624" t="str">
        <f>IF(メイン!I41="有",メイン!I41,"無")</f>
        <v>無</v>
      </c>
    </row>
    <row r="27" spans="2:5" ht="26.25" customHeight="1">
      <c r="B27" s="2619"/>
      <c r="C27" s="2630" t="s">
        <v>2010</v>
      </c>
      <c r="D27" s="2620"/>
      <c r="E27" s="2631" t="e">
        <f>環境表示結果!AE12</f>
        <v>#VALUE!</v>
      </c>
    </row>
    <row r="28" spans="2:5" ht="26.25" customHeight="1">
      <c r="B28" s="2619"/>
      <c r="C28" s="2632" t="s">
        <v>2011</v>
      </c>
      <c r="D28" s="2620"/>
      <c r="E28" s="2631">
        <f>環境表示結果!AE19</f>
        <v>2</v>
      </c>
    </row>
    <row r="29" spans="2:5" ht="27.75" customHeight="1">
      <c r="B29" s="2619"/>
      <c r="C29" s="2633" t="s">
        <v>2012</v>
      </c>
      <c r="D29" s="2620"/>
      <c r="E29" s="2631">
        <f>環境表示結果!AE31</f>
        <v>3</v>
      </c>
    </row>
    <row r="30" spans="2:5" ht="3" customHeight="1">
      <c r="B30" s="2619"/>
      <c r="C30" s="2620"/>
      <c r="D30" s="2620"/>
      <c r="E30" s="2624"/>
    </row>
    <row r="31" spans="2:5" ht="26.25" customHeight="1">
      <c r="B31" s="2619"/>
      <c r="C31" s="2620"/>
      <c r="D31" s="2620"/>
      <c r="E31" s="2622"/>
    </row>
    <row r="32" spans="2:5" ht="26.25" customHeight="1">
      <c r="B32" s="2619"/>
      <c r="C32" s="2620" t="s">
        <v>2013</v>
      </c>
      <c r="D32" s="2620"/>
      <c r="E32" s="2634" t="s">
        <v>2014</v>
      </c>
    </row>
    <row r="33"/>
    <row r="34"/>
  </sheetData>
  <sheetProtection password="82B4" sheet="1" objects="1" scenarios="1" formatColumns="0"/>
  <phoneticPr fontId="20"/>
  <pageMargins left="0.78700000000000003" right="0.78700000000000003" top="0.98399999999999999" bottom="0.98399999999999999"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sheetPr codeName="Sheet1">
    <pageSetUpPr autoPageBreaks="0" fitToPage="1"/>
  </sheetPr>
  <dimension ref="A1:Z129"/>
  <sheetViews>
    <sheetView showGridLines="0" tabSelected="1" zoomScaleNormal="100" workbookViewId="0">
      <selection activeCell="C11" sqref="C11:F11"/>
    </sheetView>
  </sheetViews>
  <sheetFormatPr defaultColWidth="0" defaultRowHeight="13.5" zeroHeight="1"/>
  <cols>
    <col min="1" max="1" width="1.625" style="60" customWidth="1"/>
    <col min="2" max="2" width="15.125" style="60" customWidth="1"/>
    <col min="3" max="3" width="14.25" style="60" customWidth="1"/>
    <col min="4" max="4" width="16" style="60" customWidth="1"/>
    <col min="5" max="5" width="10.75" style="60" customWidth="1"/>
    <col min="6" max="6" width="4" style="60" customWidth="1"/>
    <col min="7" max="7" width="13.625" style="60" customWidth="1"/>
    <col min="8" max="8" width="13.375" style="60" customWidth="1"/>
    <col min="9" max="9" width="16.25" style="60" customWidth="1"/>
    <col min="10" max="10" width="9.125" style="60" customWidth="1"/>
    <col min="11" max="11" width="4.375" style="60" customWidth="1"/>
    <col min="12" max="12" width="18.375" style="60" customWidth="1"/>
    <col min="13" max="13" width="10.125" style="60" hidden="1" customWidth="1"/>
    <col min="14" max="16" width="10.625" style="60" hidden="1" customWidth="1"/>
    <col min="17" max="17" width="14" style="60" hidden="1" customWidth="1"/>
    <col min="18" max="18" width="5.375" style="60" hidden="1" customWidth="1"/>
    <col min="19" max="19" width="7.25" style="21" hidden="1" customWidth="1"/>
    <col min="20" max="20" width="8" style="6" hidden="1" customWidth="1"/>
    <col min="21" max="21" width="8.25" style="6" hidden="1" customWidth="1"/>
    <col min="22" max="22" width="9.5" style="21" hidden="1" customWidth="1"/>
    <col min="23" max="23" width="9.125" style="21" hidden="1" customWidth="1"/>
    <col min="24" max="24" width="10" style="21" hidden="1" customWidth="1"/>
    <col min="25" max="25" width="2.625" style="21" hidden="1" customWidth="1"/>
    <col min="26" max="16384" width="9" style="21" hidden="1"/>
  </cols>
  <sheetData>
    <row r="1" spans="1:22" s="6" customFormat="1">
      <c r="A1" s="2"/>
      <c r="B1" s="3"/>
      <c r="C1" s="2"/>
      <c r="D1" s="2"/>
      <c r="E1" s="2"/>
      <c r="F1" s="2"/>
      <c r="G1" s="2"/>
      <c r="H1" s="2"/>
      <c r="I1" s="2"/>
      <c r="J1" s="2"/>
      <c r="K1" s="2"/>
      <c r="L1" s="2"/>
      <c r="M1" s="2"/>
      <c r="N1" s="4"/>
      <c r="O1" s="4"/>
      <c r="P1" s="4"/>
      <c r="Q1" s="5"/>
      <c r="R1" s="4"/>
    </row>
    <row r="2" spans="1:22" s="6" customFormat="1">
      <c r="A2" s="2"/>
      <c r="B2" s="3"/>
      <c r="C2" s="2"/>
      <c r="D2" s="2"/>
      <c r="E2" s="2"/>
      <c r="F2" s="2"/>
      <c r="G2" s="2"/>
      <c r="H2" s="2"/>
      <c r="I2" s="2"/>
      <c r="J2" s="2"/>
      <c r="K2" s="2"/>
      <c r="L2" s="2"/>
      <c r="M2" s="2"/>
      <c r="N2"/>
      <c r="O2"/>
      <c r="P2" s="4"/>
      <c r="Q2" s="4"/>
      <c r="R2" s="4"/>
    </row>
    <row r="3" spans="1:22" s="11" customFormat="1" ht="34.5" customHeight="1">
      <c r="A3" s="2"/>
      <c r="B3" s="3"/>
      <c r="C3" s="2"/>
      <c r="D3" s="2"/>
      <c r="E3" s="2"/>
      <c r="F3" s="2"/>
      <c r="G3" s="2"/>
      <c r="H3" s="2"/>
      <c r="I3" s="2"/>
      <c r="J3" s="2"/>
      <c r="K3" s="2"/>
      <c r="L3" s="2"/>
      <c r="M3" s="2"/>
      <c r="N3" s="7"/>
      <c r="O3" s="8"/>
      <c r="P3" s="9"/>
      <c r="Q3" s="10"/>
      <c r="R3" s="4"/>
      <c r="S3" s="6"/>
    </row>
    <row r="4" spans="1:22" s="11" customFormat="1" ht="25.5">
      <c r="A4" s="2"/>
      <c r="B4" s="12" t="s">
        <v>390</v>
      </c>
      <c r="C4" s="13"/>
      <c r="D4" s="13"/>
      <c r="E4" s="13"/>
      <c r="F4" s="13"/>
      <c r="G4" s="13"/>
      <c r="H4" s="13"/>
      <c r="I4" s="13"/>
      <c r="J4" s="13"/>
      <c r="K4" s="12"/>
      <c r="L4" s="2"/>
      <c r="M4" s="2"/>
      <c r="N4" s="14"/>
      <c r="O4" s="14"/>
      <c r="P4" s="14"/>
      <c r="Q4" s="14"/>
      <c r="R4" s="14"/>
      <c r="S4" s="6"/>
    </row>
    <row r="5" spans="1:22" s="23" customFormat="1">
      <c r="A5" s="15"/>
      <c r="B5" s="16" t="s">
        <v>391</v>
      </c>
      <c r="C5" s="17" t="s">
        <v>2015</v>
      </c>
      <c r="D5" s="17"/>
      <c r="E5" s="17"/>
      <c r="F5" s="17"/>
      <c r="G5" s="17"/>
      <c r="H5" s="18"/>
      <c r="I5" s="2"/>
      <c r="J5" s="2"/>
      <c r="K5" s="2"/>
      <c r="L5" s="2"/>
      <c r="M5" s="19"/>
      <c r="N5" s="20"/>
      <c r="O5" s="20"/>
      <c r="P5" s="20"/>
      <c r="Q5" s="20"/>
      <c r="R5" s="20"/>
      <c r="S5" s="21"/>
      <c r="T5" s="22"/>
      <c r="U5" s="22"/>
      <c r="V5" s="22"/>
    </row>
    <row r="6" spans="1:22" s="23" customFormat="1">
      <c r="A6" s="15"/>
      <c r="B6" s="24" t="s">
        <v>392</v>
      </c>
      <c r="C6" s="24" t="s">
        <v>2056</v>
      </c>
      <c r="D6" s="25"/>
      <c r="E6" s="25"/>
      <c r="F6" s="25"/>
      <c r="G6" s="25"/>
      <c r="H6" s="18"/>
      <c r="I6" s="18"/>
      <c r="J6" s="18"/>
      <c r="K6" s="2"/>
      <c r="L6" s="2"/>
      <c r="M6" s="19"/>
      <c r="N6" t="s">
        <v>1186</v>
      </c>
      <c r="O6" t="s">
        <v>880</v>
      </c>
      <c r="P6">
        <v>1</v>
      </c>
      <c r="Q6" s="20"/>
      <c r="R6" s="20"/>
      <c r="S6" s="21"/>
      <c r="T6" s="22"/>
      <c r="U6" s="22"/>
      <c r="V6" s="22"/>
    </row>
    <row r="7" spans="1:22" s="23" customFormat="1" ht="14.25" thickBot="1">
      <c r="A7" s="15"/>
      <c r="B7" s="19"/>
      <c r="C7" s="19"/>
      <c r="D7" s="19"/>
      <c r="E7" s="19"/>
      <c r="F7" s="19"/>
      <c r="G7" s="19"/>
      <c r="H7" s="19"/>
      <c r="I7" s="19"/>
      <c r="J7" s="19"/>
      <c r="K7" s="19"/>
      <c r="L7" s="2"/>
      <c r="M7" s="19"/>
      <c r="N7" t="s">
        <v>1187</v>
      </c>
      <c r="O7" t="s">
        <v>397</v>
      </c>
      <c r="P7">
        <v>2</v>
      </c>
      <c r="Q7" s="20"/>
      <c r="R7" s="20"/>
      <c r="S7" s="21"/>
      <c r="T7" s="22"/>
      <c r="U7" s="22"/>
      <c r="V7" s="22"/>
    </row>
    <row r="8" spans="1:22" s="23" customFormat="1">
      <c r="A8" s="15"/>
      <c r="B8" s="26" t="s">
        <v>393</v>
      </c>
      <c r="C8" s="27"/>
      <c r="D8" s="27"/>
      <c r="E8" s="27"/>
      <c r="F8" s="27"/>
      <c r="G8" s="27"/>
      <c r="H8" s="27"/>
      <c r="I8" s="27"/>
      <c r="J8" s="27"/>
      <c r="K8" s="28"/>
      <c r="L8" s="2"/>
      <c r="M8" s="19"/>
      <c r="N8" t="s">
        <v>1188</v>
      </c>
      <c r="O8" t="s">
        <v>401</v>
      </c>
      <c r="P8">
        <v>3</v>
      </c>
      <c r="Q8" s="29"/>
      <c r="R8" s="30"/>
      <c r="S8" s="21"/>
    </row>
    <row r="9" spans="1:22" s="23" customFormat="1">
      <c r="A9" s="15"/>
      <c r="B9" s="31" t="s">
        <v>394</v>
      </c>
      <c r="C9" s="32"/>
      <c r="D9" s="32"/>
      <c r="E9" s="32"/>
      <c r="F9" s="32"/>
      <c r="G9" s="32"/>
      <c r="H9" s="32"/>
      <c r="I9" s="32"/>
      <c r="J9" s="32"/>
      <c r="K9" s="33"/>
      <c r="L9" s="2"/>
      <c r="M9" s="34"/>
      <c r="N9" t="s">
        <v>1189</v>
      </c>
      <c r="O9" t="s">
        <v>403</v>
      </c>
      <c r="P9">
        <v>4</v>
      </c>
      <c r="Q9" s="29"/>
      <c r="R9" s="30"/>
      <c r="S9" s="21"/>
    </row>
    <row r="10" spans="1:22" s="23" customFormat="1">
      <c r="A10" s="36"/>
      <c r="B10" s="37"/>
      <c r="C10" s="38" t="s">
        <v>395</v>
      </c>
      <c r="D10" s="38"/>
      <c r="E10" s="38"/>
      <c r="F10" s="39"/>
      <c r="G10" s="40"/>
      <c r="H10" s="41" t="s">
        <v>396</v>
      </c>
      <c r="I10" s="41"/>
      <c r="J10" s="41"/>
      <c r="K10" s="42"/>
      <c r="L10" s="2"/>
      <c r="M10" s="43"/>
      <c r="N10" t="s">
        <v>1190</v>
      </c>
      <c r="O10" t="s">
        <v>405</v>
      </c>
      <c r="P10">
        <v>5</v>
      </c>
      <c r="Q10" s="29"/>
      <c r="R10" s="30"/>
      <c r="S10" s="21"/>
    </row>
    <row r="11" spans="1:22">
      <c r="A11" s="36"/>
      <c r="B11" s="37" t="s">
        <v>398</v>
      </c>
      <c r="C11" s="2811" t="s">
        <v>399</v>
      </c>
      <c r="D11" s="2812"/>
      <c r="E11" s="2812"/>
      <c r="F11" s="2813"/>
      <c r="G11" s="44" t="s">
        <v>398</v>
      </c>
      <c r="H11" s="2811" t="s">
        <v>400</v>
      </c>
      <c r="I11" s="2812"/>
      <c r="J11" s="2812"/>
      <c r="K11" s="2814"/>
      <c r="L11" s="2"/>
      <c r="M11" s="43"/>
      <c r="N11" t="s">
        <v>1191</v>
      </c>
      <c r="O11" t="s">
        <v>408</v>
      </c>
      <c r="P11">
        <v>6</v>
      </c>
      <c r="Q11" s="30"/>
      <c r="R11" s="30"/>
      <c r="T11" s="21"/>
      <c r="U11" s="21"/>
    </row>
    <row r="12" spans="1:22">
      <c r="A12" s="36"/>
      <c r="B12" s="37"/>
      <c r="C12" s="36"/>
      <c r="D12" s="36"/>
      <c r="E12" s="36"/>
      <c r="F12" s="46"/>
      <c r="G12" s="47" t="s">
        <v>402</v>
      </c>
      <c r="H12" s="2815" t="s">
        <v>2058</v>
      </c>
      <c r="I12" s="2816"/>
      <c r="J12" s="2816"/>
      <c r="K12" s="2817"/>
      <c r="L12" s="2"/>
      <c r="M12" s="48"/>
      <c r="N12" t="s">
        <v>1192</v>
      </c>
      <c r="O12"/>
      <c r="P12">
        <v>7</v>
      </c>
      <c r="Q12" s="30"/>
      <c r="R12" s="30"/>
      <c r="T12" s="21"/>
      <c r="U12" s="21"/>
    </row>
    <row r="13" spans="1:22" s="50" customFormat="1">
      <c r="A13" s="36"/>
      <c r="B13" s="37"/>
      <c r="C13" s="36"/>
      <c r="D13" s="36"/>
      <c r="E13" s="36"/>
      <c r="F13" s="46"/>
      <c r="G13" s="47" t="s">
        <v>404</v>
      </c>
      <c r="H13" s="1691" t="s">
        <v>1191</v>
      </c>
      <c r="I13" s="53"/>
      <c r="J13" s="53"/>
      <c r="K13" s="42"/>
      <c r="L13" s="2"/>
      <c r="M13" s="48"/>
      <c r="N13" t="s">
        <v>1193</v>
      </c>
      <c r="O13"/>
      <c r="P13">
        <v>8</v>
      </c>
      <c r="Q13" s="45"/>
      <c r="R13" s="30"/>
      <c r="S13" s="21"/>
    </row>
    <row r="14" spans="1:22">
      <c r="A14" s="36"/>
      <c r="B14" s="47" t="s">
        <v>406</v>
      </c>
      <c r="C14" s="2815" t="s">
        <v>407</v>
      </c>
      <c r="D14" s="2816"/>
      <c r="E14" s="2816"/>
      <c r="F14" s="2817"/>
      <c r="G14" s="47" t="s">
        <v>406</v>
      </c>
      <c r="H14" s="2815" t="s">
        <v>407</v>
      </c>
      <c r="I14" s="2816"/>
      <c r="J14" s="2816"/>
      <c r="K14" s="2817"/>
      <c r="L14" s="2"/>
      <c r="M14" s="51"/>
      <c r="N14"/>
      <c r="O14"/>
      <c r="P14"/>
      <c r="Q14" s="30"/>
      <c r="R14" s="30"/>
      <c r="T14" s="21"/>
      <c r="U14" s="21"/>
    </row>
    <row r="15" spans="1:22">
      <c r="A15" s="36"/>
      <c r="B15" s="47" t="s">
        <v>2020</v>
      </c>
      <c r="C15" s="52">
        <v>21976</v>
      </c>
      <c r="D15" s="53"/>
      <c r="E15" s="53"/>
      <c r="F15" s="46"/>
      <c r="G15" s="2361" t="s">
        <v>2016</v>
      </c>
      <c r="H15" s="52">
        <v>42339</v>
      </c>
      <c r="I15" s="53"/>
      <c r="J15" s="53"/>
      <c r="K15" s="42"/>
      <c r="L15" s="2"/>
      <c r="M15" s="54"/>
      <c r="N15"/>
      <c r="O15"/>
      <c r="P15"/>
      <c r="Q15" s="30"/>
      <c r="R15" s="30"/>
      <c r="T15" s="21"/>
      <c r="U15" s="21"/>
    </row>
    <row r="16" spans="1:22">
      <c r="A16" s="36"/>
      <c r="B16" s="47"/>
      <c r="C16" s="53"/>
      <c r="D16" s="53"/>
      <c r="E16" s="53"/>
      <c r="F16" s="46"/>
      <c r="G16" s="2636" t="s">
        <v>2017</v>
      </c>
      <c r="H16" s="52"/>
      <c r="I16" s="49"/>
      <c r="J16" s="49"/>
      <c r="K16" s="55"/>
      <c r="L16" s="2"/>
      <c r="M16" s="54"/>
      <c r="N16"/>
      <c r="O16"/>
      <c r="P16" s="1">
        <f>VLOOKUP(H13,N6:P13,3)</f>
        <v>6</v>
      </c>
      <c r="Q16" s="30"/>
      <c r="R16" s="30"/>
      <c r="T16" s="21"/>
      <c r="U16" s="21"/>
    </row>
    <row r="17" spans="1:21">
      <c r="A17" s="36"/>
      <c r="B17" s="47"/>
      <c r="C17" s="36"/>
      <c r="D17" s="36"/>
      <c r="E17" s="36"/>
      <c r="F17" s="36"/>
      <c r="G17" s="56" t="s">
        <v>409</v>
      </c>
      <c r="H17" s="2347">
        <v>2000</v>
      </c>
      <c r="I17" s="57" t="s">
        <v>410</v>
      </c>
      <c r="J17" s="64"/>
      <c r="K17" s="58"/>
      <c r="L17" s="2"/>
      <c r="M17" s="54"/>
      <c r="N17" s="30"/>
      <c r="O17" s="30"/>
      <c r="P17" s="30"/>
      <c r="Q17" s="30"/>
      <c r="R17" s="30"/>
      <c r="T17" s="21"/>
      <c r="U17" s="21"/>
    </row>
    <row r="18" spans="1:21">
      <c r="A18" s="36"/>
      <c r="B18" s="47" t="s">
        <v>411</v>
      </c>
      <c r="C18" s="2347">
        <v>1400</v>
      </c>
      <c r="D18" s="59" t="s">
        <v>412</v>
      </c>
      <c r="E18" s="59"/>
      <c r="F18" s="39"/>
      <c r="G18" s="56" t="s">
        <v>411</v>
      </c>
      <c r="H18" s="2347">
        <v>1400</v>
      </c>
      <c r="I18" s="57" t="s">
        <v>413</v>
      </c>
      <c r="J18" s="64"/>
      <c r="K18" s="58"/>
      <c r="L18" s="2"/>
      <c r="M18" s="54"/>
      <c r="O18" s="30"/>
      <c r="P18" s="30"/>
      <c r="Q18" s="30"/>
      <c r="R18" s="30"/>
      <c r="T18" s="21"/>
      <c r="U18" s="21"/>
    </row>
    <row r="19" spans="1:21">
      <c r="A19" s="36"/>
      <c r="B19" s="47" t="s">
        <v>414</v>
      </c>
      <c r="C19" s="61">
        <f>O72</f>
        <v>15320</v>
      </c>
      <c r="D19" s="62" t="s">
        <v>412</v>
      </c>
      <c r="E19" s="62"/>
      <c r="F19" s="39"/>
      <c r="G19" s="56" t="s">
        <v>414</v>
      </c>
      <c r="H19" s="61">
        <f>V72</f>
        <v>15320</v>
      </c>
      <c r="I19" s="57" t="s">
        <v>410</v>
      </c>
      <c r="J19" s="64"/>
      <c r="K19" s="63"/>
      <c r="L19" s="2"/>
      <c r="M19" s="64"/>
      <c r="N19" s="65"/>
      <c r="O19" s="65"/>
      <c r="P19" s="65"/>
      <c r="Q19" s="65"/>
      <c r="R19" s="66"/>
      <c r="S19" s="66"/>
      <c r="T19" s="21"/>
      <c r="U19" s="21"/>
    </row>
    <row r="20" spans="1:21">
      <c r="A20" s="36"/>
      <c r="B20" s="47" t="s">
        <v>415</v>
      </c>
      <c r="C20" s="2815" t="s">
        <v>90</v>
      </c>
      <c r="D20" s="2816"/>
      <c r="E20" s="2816"/>
      <c r="F20" s="2817"/>
      <c r="G20" s="56" t="s">
        <v>415</v>
      </c>
      <c r="H20" s="2815" t="s">
        <v>416</v>
      </c>
      <c r="I20" s="2816"/>
      <c r="J20" s="2816"/>
      <c r="K20" s="2817"/>
      <c r="L20" s="2"/>
      <c r="M20" s="34"/>
      <c r="Q20" s="30"/>
      <c r="R20" s="30"/>
      <c r="T20" s="21"/>
      <c r="U20" s="21"/>
    </row>
    <row r="21" spans="1:21">
      <c r="A21" s="36"/>
      <c r="B21" s="67"/>
      <c r="C21" s="2845" t="str">
        <f>S73</f>
        <v>事務所,飲食店,集合住宅,</v>
      </c>
      <c r="D21" s="2846"/>
      <c r="E21" s="2846"/>
      <c r="F21" s="2847"/>
      <c r="G21" s="40"/>
      <c r="H21" s="2845" t="str">
        <f>Z73</f>
        <v>事務所,集合住宅,工場,</v>
      </c>
      <c r="I21" s="2846"/>
      <c r="J21" s="2846"/>
      <c r="K21" s="2847"/>
      <c r="L21" s="2"/>
      <c r="M21" s="34"/>
      <c r="Q21" s="30"/>
      <c r="R21" s="30"/>
      <c r="T21" s="21"/>
      <c r="U21" s="21"/>
    </row>
    <row r="22" spans="1:21">
      <c r="A22" s="36"/>
      <c r="B22" s="47" t="s">
        <v>417</v>
      </c>
      <c r="C22" s="68" t="s">
        <v>418</v>
      </c>
      <c r="D22" s="69"/>
      <c r="E22" s="69"/>
      <c r="F22" s="69"/>
      <c r="G22" s="47" t="s">
        <v>417</v>
      </c>
      <c r="H22" s="70" t="s">
        <v>418</v>
      </c>
      <c r="I22" s="69"/>
      <c r="J22" s="69"/>
      <c r="K22" s="42"/>
      <c r="L22" s="2"/>
      <c r="M22" s="71"/>
      <c r="N22" s="21"/>
      <c r="O22" s="65"/>
      <c r="P22" s="30"/>
      <c r="Q22" s="30"/>
      <c r="R22" s="30"/>
      <c r="T22" s="21"/>
      <c r="U22" s="21"/>
    </row>
    <row r="23" spans="1:21" s="75" customFormat="1">
      <c r="A23" s="36"/>
      <c r="B23" s="47" t="s">
        <v>419</v>
      </c>
      <c r="C23" s="68" t="s">
        <v>420</v>
      </c>
      <c r="D23" s="2362" t="s">
        <v>1722</v>
      </c>
      <c r="E23" s="2639"/>
      <c r="F23" s="69"/>
      <c r="G23" s="47" t="s">
        <v>419</v>
      </c>
      <c r="H23" s="68" t="s">
        <v>420</v>
      </c>
      <c r="I23" s="2362" t="s">
        <v>1722</v>
      </c>
      <c r="J23" s="2639"/>
      <c r="K23" s="42"/>
      <c r="L23" s="2"/>
      <c r="M23" s="72"/>
      <c r="N23" s="73" t="s">
        <v>420</v>
      </c>
      <c r="O23" s="73" t="s">
        <v>421</v>
      </c>
      <c r="P23" s="73" t="s">
        <v>422</v>
      </c>
      <c r="Q23" s="73" t="s">
        <v>264</v>
      </c>
      <c r="R23" s="74"/>
    </row>
    <row r="24" spans="1:21" s="75" customFormat="1">
      <c r="A24" s="36"/>
      <c r="B24" s="47" t="s">
        <v>423</v>
      </c>
      <c r="C24" s="76" t="s">
        <v>424</v>
      </c>
      <c r="D24" s="64" t="s">
        <v>425</v>
      </c>
      <c r="E24" s="64"/>
      <c r="F24" s="39"/>
      <c r="G24" s="47" t="s">
        <v>423</v>
      </c>
      <c r="H24" s="76" t="s">
        <v>90</v>
      </c>
      <c r="I24" s="57" t="s">
        <v>425</v>
      </c>
      <c r="J24" s="64"/>
      <c r="K24" s="58"/>
      <c r="L24" s="2"/>
      <c r="M24" s="77"/>
      <c r="N24" s="21">
        <f>IF(OR(H23=N23,H23=Q23),1,IF(H23=O23,2,3))</f>
        <v>1</v>
      </c>
      <c r="O24" s="21"/>
      <c r="P24" s="21">
        <f>IF(H23=N23,1,IF(H23=O23,2,3))</f>
        <v>1</v>
      </c>
      <c r="Q24" s="30"/>
      <c r="R24" s="74"/>
    </row>
    <row r="25" spans="1:21" s="75" customFormat="1">
      <c r="A25" s="36"/>
      <c r="B25" s="47" t="s">
        <v>426</v>
      </c>
      <c r="C25" s="76" t="s">
        <v>90</v>
      </c>
      <c r="D25" s="64" t="s">
        <v>427</v>
      </c>
      <c r="E25" s="64"/>
      <c r="F25" s="39"/>
      <c r="G25" s="47" t="s">
        <v>426</v>
      </c>
      <c r="H25" s="76" t="s">
        <v>90</v>
      </c>
      <c r="I25" s="57" t="s">
        <v>427</v>
      </c>
      <c r="J25" s="64"/>
      <c r="K25" s="58"/>
      <c r="L25" s="2"/>
      <c r="M25" s="78"/>
      <c r="N25" s="30"/>
      <c r="O25" s="65"/>
      <c r="P25" s="30"/>
      <c r="Q25" s="30"/>
      <c r="R25" s="74"/>
    </row>
    <row r="26" spans="1:21" s="75" customFormat="1" ht="24">
      <c r="A26" s="36"/>
      <c r="B26" s="79" t="s">
        <v>428</v>
      </c>
      <c r="C26" s="80" t="s">
        <v>90</v>
      </c>
      <c r="D26" s="81" t="s">
        <v>429</v>
      </c>
      <c r="E26" s="81"/>
      <c r="F26" s="39"/>
      <c r="G26" s="82" t="s">
        <v>430</v>
      </c>
      <c r="H26" s="80" t="s">
        <v>2057</v>
      </c>
      <c r="I26" s="83" t="s">
        <v>429</v>
      </c>
      <c r="J26" s="298"/>
      <c r="K26" s="63"/>
      <c r="L26" s="2"/>
      <c r="M26" s="78"/>
      <c r="N26" s="30"/>
      <c r="O26" s="65"/>
      <c r="P26" s="30"/>
      <c r="Q26" s="30"/>
      <c r="R26" s="74"/>
    </row>
    <row r="27" spans="1:21" s="75" customFormat="1">
      <c r="A27" s="36"/>
      <c r="B27" s="82" t="s">
        <v>431</v>
      </c>
      <c r="C27" s="2824" t="s">
        <v>380</v>
      </c>
      <c r="D27" s="2825"/>
      <c r="E27" s="2825"/>
      <c r="F27" s="2826"/>
      <c r="G27" s="84" t="s">
        <v>432</v>
      </c>
      <c r="H27" s="2824" t="s">
        <v>380</v>
      </c>
      <c r="I27" s="2825"/>
      <c r="J27" s="2825"/>
      <c r="K27" s="2826"/>
      <c r="L27" s="2"/>
      <c r="M27" s="78"/>
      <c r="N27" s="30"/>
      <c r="O27" s="65"/>
      <c r="P27" s="30"/>
      <c r="Q27" s="30"/>
      <c r="R27" s="74"/>
    </row>
    <row r="28" spans="1:21" s="75" customFormat="1">
      <c r="A28" s="36"/>
      <c r="B28" s="85" t="s">
        <v>433</v>
      </c>
      <c r="C28" s="2827"/>
      <c r="D28" s="2828"/>
      <c r="E28" s="2828"/>
      <c r="F28" s="2829"/>
      <c r="G28" s="86"/>
      <c r="H28" s="2827"/>
      <c r="I28" s="2828"/>
      <c r="J28" s="2828"/>
      <c r="K28" s="2829"/>
      <c r="L28" s="2"/>
      <c r="M28" s="78"/>
      <c r="N28" s="30"/>
      <c r="O28" s="65"/>
      <c r="P28" s="30"/>
      <c r="Q28" s="30"/>
      <c r="R28" s="74"/>
    </row>
    <row r="29" spans="1:21" s="75" customFormat="1">
      <c r="A29" s="36"/>
      <c r="B29" s="47"/>
      <c r="C29" s="2827"/>
      <c r="D29" s="2828"/>
      <c r="E29" s="2828"/>
      <c r="F29" s="2829"/>
      <c r="G29" s="87"/>
      <c r="H29" s="2827"/>
      <c r="I29" s="2828"/>
      <c r="J29" s="2828"/>
      <c r="K29" s="2829"/>
      <c r="L29" s="2"/>
      <c r="M29" s="78"/>
      <c r="N29" s="30"/>
      <c r="O29" s="65"/>
      <c r="P29" s="30"/>
      <c r="Q29" s="30"/>
      <c r="R29" s="74"/>
    </row>
    <row r="30" spans="1:21" s="75" customFormat="1">
      <c r="A30" s="36"/>
      <c r="B30" s="47"/>
      <c r="C30" s="2827"/>
      <c r="D30" s="2828"/>
      <c r="E30" s="2828"/>
      <c r="F30" s="2829"/>
      <c r="G30" s="87"/>
      <c r="H30" s="2827"/>
      <c r="I30" s="2828"/>
      <c r="J30" s="2828"/>
      <c r="K30" s="2829"/>
      <c r="L30" s="2"/>
      <c r="M30" s="78"/>
      <c r="N30" s="30"/>
      <c r="O30" s="65"/>
      <c r="P30" s="30"/>
      <c r="Q30" s="30"/>
      <c r="R30" s="74"/>
    </row>
    <row r="31" spans="1:21" s="75" customFormat="1">
      <c r="A31" s="36"/>
      <c r="B31" s="47"/>
      <c r="C31" s="2830"/>
      <c r="D31" s="2831"/>
      <c r="E31" s="2831"/>
      <c r="F31" s="2832"/>
      <c r="G31" s="87"/>
      <c r="H31" s="2830"/>
      <c r="I31" s="2831"/>
      <c r="J31" s="2831"/>
      <c r="K31" s="2832"/>
      <c r="L31" s="2"/>
      <c r="M31" s="78"/>
      <c r="N31" s="30"/>
      <c r="O31" s="65"/>
      <c r="P31" s="30"/>
      <c r="Q31" s="30"/>
      <c r="R31" s="74"/>
    </row>
    <row r="32" spans="1:21" s="75" customFormat="1">
      <c r="A32" s="36"/>
      <c r="B32" s="47"/>
      <c r="C32" s="87"/>
      <c r="D32" s="87"/>
      <c r="E32" s="87"/>
      <c r="F32" s="87"/>
      <c r="G32" s="47" t="s">
        <v>434</v>
      </c>
      <c r="H32" s="87"/>
      <c r="I32" s="87"/>
      <c r="J32" s="87"/>
      <c r="K32" s="88"/>
      <c r="L32" s="2"/>
      <c r="M32" s="78"/>
      <c r="N32" s="30"/>
      <c r="O32" s="65"/>
      <c r="P32" s="30"/>
      <c r="Q32" s="30"/>
      <c r="R32" s="74"/>
    </row>
    <row r="33" spans="1:22" s="75" customFormat="1">
      <c r="A33" s="36"/>
      <c r="B33" s="47"/>
      <c r="C33" s="87"/>
      <c r="D33" s="87"/>
      <c r="E33" s="87"/>
      <c r="F33" s="87"/>
      <c r="G33" s="89" t="s">
        <v>435</v>
      </c>
      <c r="H33" s="2692" t="s">
        <v>380</v>
      </c>
      <c r="I33" s="90"/>
      <c r="J33" s="90"/>
      <c r="K33" s="88"/>
      <c r="L33" s="2"/>
      <c r="M33" s="78"/>
      <c r="N33" s="30"/>
      <c r="O33" s="65"/>
      <c r="P33" s="30"/>
      <c r="Q33" s="30"/>
      <c r="R33" s="74"/>
    </row>
    <row r="34" spans="1:22" s="75" customFormat="1">
      <c r="A34" s="36"/>
      <c r="B34" s="47"/>
      <c r="C34" s="87"/>
      <c r="D34" s="87"/>
      <c r="E34" s="87"/>
      <c r="F34" s="87"/>
      <c r="G34" s="89" t="s">
        <v>436</v>
      </c>
      <c r="H34" s="2692" t="s">
        <v>380</v>
      </c>
      <c r="I34" s="90"/>
      <c r="J34" s="90"/>
      <c r="K34" s="88"/>
      <c r="L34" s="87"/>
      <c r="M34" s="78"/>
      <c r="N34" s="30"/>
      <c r="O34" s="65"/>
      <c r="P34" s="30"/>
      <c r="Q34" s="30"/>
      <c r="R34" s="74"/>
    </row>
    <row r="35" spans="1:22" s="75" customFormat="1">
      <c r="A35" s="36"/>
      <c r="B35" s="47"/>
      <c r="C35" s="87"/>
      <c r="D35" s="87"/>
      <c r="E35" s="87"/>
      <c r="F35" s="87"/>
      <c r="G35" s="89" t="s">
        <v>437</v>
      </c>
      <c r="H35" s="2692" t="s">
        <v>2059</v>
      </c>
      <c r="I35" s="90"/>
      <c r="J35" s="90"/>
      <c r="K35" s="88"/>
      <c r="L35" s="87"/>
      <c r="M35" s="78"/>
      <c r="N35" s="30"/>
      <c r="O35" s="65"/>
      <c r="P35" s="30"/>
      <c r="Q35" s="30"/>
      <c r="R35" s="74"/>
    </row>
    <row r="36" spans="1:22" s="75" customFormat="1">
      <c r="A36" s="36"/>
      <c r="B36" s="47"/>
      <c r="C36" s="87"/>
      <c r="D36" s="87"/>
      <c r="E36" s="87"/>
      <c r="F36" s="87"/>
      <c r="G36" s="89" t="s">
        <v>438</v>
      </c>
      <c r="H36" s="91" t="s">
        <v>2059</v>
      </c>
      <c r="I36" s="90"/>
      <c r="J36" s="90"/>
      <c r="K36" s="88"/>
      <c r="L36" s="87"/>
      <c r="M36" s="78"/>
      <c r="N36" s="30"/>
      <c r="O36" s="65"/>
      <c r="P36" s="30"/>
    </row>
    <row r="37" spans="1:22" s="75" customFormat="1">
      <c r="A37" s="36"/>
      <c r="B37" s="47"/>
      <c r="C37" s="87"/>
      <c r="D37" s="87"/>
      <c r="E37" s="87"/>
      <c r="F37" s="87"/>
      <c r="G37" s="47" t="s">
        <v>439</v>
      </c>
      <c r="H37" s="2842" t="s">
        <v>2053</v>
      </c>
      <c r="I37" s="2843"/>
      <c r="J37" s="2843"/>
      <c r="K37" s="2844"/>
      <c r="L37" s="87"/>
      <c r="M37" s="78"/>
      <c r="N37" s="30"/>
      <c r="O37" s="65"/>
      <c r="P37" s="30"/>
    </row>
    <row r="38" spans="1:22" s="75" customFormat="1">
      <c r="A38" s="92"/>
      <c r="B38" s="93" t="s">
        <v>440</v>
      </c>
      <c r="C38" s="94"/>
      <c r="D38" s="94"/>
      <c r="E38" s="94"/>
      <c r="F38" s="94"/>
      <c r="G38" s="94"/>
      <c r="H38" s="94"/>
      <c r="I38" s="94"/>
      <c r="J38" s="94"/>
      <c r="K38" s="95"/>
      <c r="L38" s="87"/>
      <c r="M38" s="78"/>
      <c r="N38" s="30"/>
      <c r="O38" t="s">
        <v>753</v>
      </c>
      <c r="P38"/>
      <c r="Q38" s="1" t="s">
        <v>754</v>
      </c>
      <c r="R38" s="1" t="s">
        <v>755</v>
      </c>
    </row>
    <row r="39" spans="1:22" s="23" customFormat="1">
      <c r="A39" s="92"/>
      <c r="B39" s="96" t="s">
        <v>441</v>
      </c>
      <c r="C39" s="97">
        <v>42186</v>
      </c>
      <c r="D39" s="98"/>
      <c r="E39" s="98"/>
      <c r="F39" s="98"/>
      <c r="G39" s="96" t="s">
        <v>441</v>
      </c>
      <c r="H39" s="97">
        <v>42193</v>
      </c>
      <c r="I39" s="2818" t="s">
        <v>758</v>
      </c>
      <c r="J39" s="2819"/>
      <c r="K39" s="2820"/>
      <c r="L39" s="87"/>
      <c r="M39" s="78"/>
      <c r="N39" s="1892" t="s">
        <v>172</v>
      </c>
      <c r="O39" t="s">
        <v>756</v>
      </c>
      <c r="P39"/>
      <c r="Q39" s="1" t="s">
        <v>756</v>
      </c>
      <c r="R39" s="1" t="s">
        <v>757</v>
      </c>
    </row>
    <row r="40" spans="1:22" s="23" customFormat="1">
      <c r="A40" s="92"/>
      <c r="B40" s="96" t="s">
        <v>442</v>
      </c>
      <c r="C40" s="68" t="s">
        <v>2059</v>
      </c>
      <c r="D40" s="69"/>
      <c r="E40" s="69"/>
      <c r="F40" s="69"/>
      <c r="G40" s="96" t="s">
        <v>442</v>
      </c>
      <c r="H40" s="68" t="s">
        <v>2059</v>
      </c>
      <c r="I40" s="2854" t="s">
        <v>1723</v>
      </c>
      <c r="J40" s="2855"/>
      <c r="K40" s="2856"/>
      <c r="L40" s="87"/>
      <c r="M40" s="78"/>
      <c r="N40" s="1892" t="s">
        <v>173</v>
      </c>
      <c r="O40" t="s">
        <v>758</v>
      </c>
      <c r="P40"/>
      <c r="Q40" s="1" t="s">
        <v>758</v>
      </c>
      <c r="R40" s="1" t="s">
        <v>759</v>
      </c>
    </row>
    <row r="41" spans="1:22" s="23" customFormat="1">
      <c r="A41" s="99"/>
      <c r="B41" s="96" t="s">
        <v>443</v>
      </c>
      <c r="C41" s="100">
        <v>42187</v>
      </c>
      <c r="D41" s="98"/>
      <c r="E41" s="98"/>
      <c r="F41" s="98"/>
      <c r="G41" s="96" t="s">
        <v>443</v>
      </c>
      <c r="H41" s="100">
        <v>42195</v>
      </c>
      <c r="I41" s="2851" t="s">
        <v>1724</v>
      </c>
      <c r="J41" s="2852"/>
      <c r="K41" s="2853"/>
      <c r="L41" s="87"/>
      <c r="M41" s="78"/>
      <c r="N41" s="1893"/>
      <c r="O41" t="s">
        <v>760</v>
      </c>
      <c r="P41"/>
      <c r="Q41" s="1" t="s">
        <v>760</v>
      </c>
      <c r="R41" s="1"/>
    </row>
    <row r="42" spans="1:22" s="23" customFormat="1">
      <c r="A42" s="99"/>
      <c r="B42" s="96" t="s">
        <v>444</v>
      </c>
      <c r="C42" s="68" t="s">
        <v>380</v>
      </c>
      <c r="D42" s="69"/>
      <c r="E42" s="69"/>
      <c r="F42" s="69"/>
      <c r="G42" s="96" t="s">
        <v>444</v>
      </c>
      <c r="H42" s="68" t="s">
        <v>380</v>
      </c>
      <c r="I42" s="2848" t="s">
        <v>1725</v>
      </c>
      <c r="J42" s="2849"/>
      <c r="K42" s="2850"/>
      <c r="L42" s="87"/>
      <c r="M42" s="78"/>
      <c r="N42" s="30"/>
      <c r="O42" s="1">
        <f>IF(I39=O39,1,2)</f>
        <v>2</v>
      </c>
      <c r="P42"/>
      <c r="Q42"/>
      <c r="R42"/>
      <c r="T42" s="101"/>
      <c r="U42" s="35"/>
      <c r="V42" s="101"/>
    </row>
    <row r="43" spans="1:22" s="23" customFormat="1">
      <c r="A43" s="99"/>
      <c r="B43" s="96"/>
      <c r="C43" s="2363"/>
      <c r="D43" s="69"/>
      <c r="E43" s="69"/>
      <c r="F43" s="69"/>
      <c r="G43" s="96"/>
      <c r="H43" s="2364"/>
      <c r="I43" s="2637">
        <v>0</v>
      </c>
      <c r="J43" s="2857">
        <v>0</v>
      </c>
      <c r="K43" s="2858"/>
      <c r="L43" s="87"/>
      <c r="M43" s="78"/>
      <c r="N43" s="30"/>
      <c r="O43" s="1884"/>
      <c r="P43"/>
      <c r="Q43"/>
      <c r="R43"/>
      <c r="T43" s="101"/>
      <c r="U43" s="35"/>
      <c r="V43" s="101"/>
    </row>
    <row r="44" spans="1:22" s="23" customFormat="1" ht="26.25" customHeight="1" thickBot="1">
      <c r="A44" s="99"/>
      <c r="B44" s="102" t="s">
        <v>445</v>
      </c>
      <c r="C44" s="103" t="str">
        <f>H44</f>
        <v>標準計算</v>
      </c>
      <c r="D44" s="2821" t="str">
        <f>IF(C44=$N44,$P44,$P45)</f>
        <v>→LCCO2算定条件シート（標準計算）を入力</v>
      </c>
      <c r="E44" s="2822"/>
      <c r="F44" s="2823">
        <f>IF(D44=I44,M44,M45)</f>
        <v>0</v>
      </c>
      <c r="G44" s="102" t="s">
        <v>445</v>
      </c>
      <c r="H44" s="104" t="s">
        <v>446</v>
      </c>
      <c r="I44" s="2821" t="str">
        <f>IF(H44=$N44,$P44,$P45)</f>
        <v>→LCCO2算定条件シート（標準計算）を入力</v>
      </c>
      <c r="J44" s="2822"/>
      <c r="K44" s="2823">
        <f>IF(I44=O44,Q44,Q45)</f>
        <v>0</v>
      </c>
      <c r="L44" s="87"/>
      <c r="M44" s="78"/>
      <c r="N44" s="50" t="s">
        <v>446</v>
      </c>
      <c r="O44" s="50"/>
      <c r="P44" s="50" t="s">
        <v>447</v>
      </c>
      <c r="Q44" s="30"/>
      <c r="R44" s="30"/>
      <c r="S44" s="21"/>
      <c r="T44" s="105"/>
      <c r="U44" s="106"/>
      <c r="V44" s="105"/>
    </row>
    <row r="45" spans="1:22" s="23" customFormat="1">
      <c r="A45" s="107"/>
      <c r="B45" s="2365" t="s">
        <v>1726</v>
      </c>
      <c r="C45" s="2839" t="s">
        <v>1727</v>
      </c>
      <c r="D45" s="2840"/>
      <c r="E45" s="2840"/>
      <c r="F45" s="2840"/>
      <c r="G45" s="2840"/>
      <c r="H45" s="2840"/>
      <c r="I45" s="2840"/>
      <c r="J45" s="2840"/>
      <c r="K45" s="2841"/>
      <c r="L45" s="87"/>
      <c r="M45" s="78"/>
      <c r="N45" s="50" t="s">
        <v>448</v>
      </c>
      <c r="O45" s="50"/>
      <c r="P45" s="50" t="s">
        <v>449</v>
      </c>
      <c r="Q45" s="30"/>
      <c r="R45" s="30"/>
      <c r="S45" s="21"/>
      <c r="T45" s="105"/>
      <c r="U45" s="106"/>
      <c r="V45" s="105"/>
    </row>
    <row r="46" spans="1:22" s="23" customFormat="1">
      <c r="A46" s="107"/>
      <c r="B46" s="118" t="s">
        <v>1728</v>
      </c>
      <c r="C46" s="2836" t="s">
        <v>1729</v>
      </c>
      <c r="D46" s="2837"/>
      <c r="E46" s="2837"/>
      <c r="F46" s="2837"/>
      <c r="G46" s="2837"/>
      <c r="H46" s="2837"/>
      <c r="I46" s="2837"/>
      <c r="J46" s="2837"/>
      <c r="K46" s="2838"/>
      <c r="L46" s="87"/>
      <c r="M46" s="78"/>
      <c r="N46" s="50"/>
      <c r="O46" s="50"/>
      <c r="P46" s="50"/>
      <c r="Q46" s="30"/>
      <c r="R46" s="30"/>
      <c r="S46" s="21"/>
      <c r="T46" s="105"/>
      <c r="U46" s="106"/>
      <c r="V46" s="105"/>
    </row>
    <row r="47" spans="1:22" s="23" customFormat="1">
      <c r="A47" s="107"/>
      <c r="B47" s="96" t="s">
        <v>1730</v>
      </c>
      <c r="C47" s="2836" t="s">
        <v>1731</v>
      </c>
      <c r="D47" s="2837"/>
      <c r="E47" s="2837"/>
      <c r="F47" s="2837"/>
      <c r="G47" s="2837"/>
      <c r="H47" s="2837"/>
      <c r="I47" s="2837"/>
      <c r="J47" s="2837"/>
      <c r="K47" s="2838"/>
      <c r="L47" s="87"/>
      <c r="M47" s="78"/>
      <c r="N47" s="50"/>
      <c r="O47" s="50"/>
      <c r="P47" s="50"/>
      <c r="Q47" s="30"/>
      <c r="R47" s="30"/>
      <c r="S47" s="21"/>
      <c r="T47" s="105"/>
      <c r="U47" s="106"/>
      <c r="V47" s="105"/>
    </row>
    <row r="48" spans="1:22" s="23" customFormat="1" ht="14.25" thickBot="1">
      <c r="A48" s="107"/>
      <c r="B48" s="2366" t="s">
        <v>1728</v>
      </c>
      <c r="C48" s="2833" t="s">
        <v>2060</v>
      </c>
      <c r="D48" s="2834"/>
      <c r="E48" s="2834"/>
      <c r="F48" s="2834"/>
      <c r="G48" s="2834"/>
      <c r="H48" s="2834"/>
      <c r="I48" s="2834"/>
      <c r="J48" s="2834"/>
      <c r="K48" s="2835"/>
      <c r="L48" s="87"/>
      <c r="M48" s="78"/>
      <c r="N48" s="50"/>
      <c r="O48" s="50"/>
      <c r="P48" s="50"/>
      <c r="Q48" s="30"/>
      <c r="R48" s="30"/>
      <c r="S48" s="21"/>
      <c r="T48" s="105"/>
      <c r="U48" s="106"/>
      <c r="V48" s="105"/>
    </row>
    <row r="49" spans="1:26" s="23" customFormat="1" ht="14.25" thickBot="1">
      <c r="A49" s="107"/>
      <c r="B49" s="108"/>
      <c r="C49" s="108"/>
      <c r="D49" s="108"/>
      <c r="E49" s="108"/>
      <c r="F49" s="108"/>
      <c r="G49" s="108"/>
      <c r="H49" s="108"/>
      <c r="I49" s="108"/>
      <c r="J49" s="108"/>
      <c r="K49" s="108"/>
      <c r="L49" s="87"/>
      <c r="M49" s="78"/>
      <c r="N49" s="50"/>
      <c r="O49" s="50"/>
      <c r="P49" s="50"/>
      <c r="Q49" s="30"/>
      <c r="R49" s="30"/>
      <c r="S49" s="21"/>
      <c r="T49" s="105"/>
      <c r="U49" s="106"/>
      <c r="V49" s="105"/>
    </row>
    <row r="50" spans="1:26" s="50" customFormat="1">
      <c r="A50" s="107"/>
      <c r="B50" s="109" t="s">
        <v>450</v>
      </c>
      <c r="C50" s="110"/>
      <c r="D50" s="110"/>
      <c r="E50" s="110"/>
      <c r="F50" s="110"/>
      <c r="G50" s="110"/>
      <c r="H50" s="110"/>
      <c r="I50" s="110"/>
      <c r="J50" s="110"/>
      <c r="K50" s="111"/>
      <c r="L50" s="87"/>
      <c r="M50" s="78"/>
      <c r="N50" s="45"/>
      <c r="O50" s="45"/>
      <c r="P50" s="45"/>
      <c r="Q50" s="45"/>
      <c r="R50" s="29"/>
      <c r="S50" s="21"/>
      <c r="T50" s="105"/>
      <c r="U50" s="106"/>
      <c r="V50" s="105"/>
    </row>
    <row r="51" spans="1:26" s="50" customFormat="1" ht="14.25" thickBot="1">
      <c r="A51" s="107"/>
      <c r="B51" s="112" t="s">
        <v>389</v>
      </c>
      <c r="C51" s="113"/>
      <c r="D51" s="114"/>
      <c r="E51" s="114"/>
      <c r="F51" s="114"/>
      <c r="G51" s="114"/>
      <c r="H51" s="114"/>
      <c r="I51" s="114"/>
      <c r="J51" s="114"/>
      <c r="K51" s="115"/>
      <c r="L51" s="87"/>
      <c r="M51" s="78"/>
      <c r="N51" s="116" t="s">
        <v>451</v>
      </c>
      <c r="O51" s="117" t="s">
        <v>452</v>
      </c>
      <c r="P51" s="73" t="s">
        <v>1673</v>
      </c>
      <c r="Q51" s="116" t="s">
        <v>453</v>
      </c>
      <c r="R51" s="29"/>
      <c r="S51" s="21"/>
      <c r="T51" s="105"/>
      <c r="U51" s="116" t="s">
        <v>454</v>
      </c>
      <c r="V51" s="117" t="s">
        <v>452</v>
      </c>
      <c r="W51" s="73" t="s">
        <v>1673</v>
      </c>
      <c r="X51" s="116" t="s">
        <v>453</v>
      </c>
      <c r="Y51" s="29"/>
      <c r="Z51" s="21"/>
    </row>
    <row r="52" spans="1:26" s="50" customFormat="1">
      <c r="A52" s="107"/>
      <c r="B52" s="2018" t="s">
        <v>1062</v>
      </c>
      <c r="C52" s="61">
        <f>E52+E53</f>
        <v>11000</v>
      </c>
      <c r="D52" s="64" t="s">
        <v>1063</v>
      </c>
      <c r="E52" s="2348">
        <v>11000</v>
      </c>
      <c r="F52" s="2019" t="s">
        <v>412</v>
      </c>
      <c r="G52" s="2018" t="s">
        <v>1062</v>
      </c>
      <c r="H52" s="61">
        <f>J52+J53</f>
        <v>11000</v>
      </c>
      <c r="I52" s="64" t="s">
        <v>1063</v>
      </c>
      <c r="J52" s="2348">
        <v>11000</v>
      </c>
      <c r="K52" s="2019" t="s">
        <v>412</v>
      </c>
      <c r="L52" s="87"/>
      <c r="M52" s="78"/>
      <c r="N52" s="119" t="s">
        <v>456</v>
      </c>
      <c r="O52" s="120">
        <f>C52</f>
        <v>11000</v>
      </c>
      <c r="P52" s="73">
        <f>O52/O$72</f>
        <v>0.71801566579634468</v>
      </c>
      <c r="Q52" s="119"/>
      <c r="R52" s="121">
        <f>IF(O52=0,0,RANK(O52,$O$52:$O$68))</f>
        <v>1</v>
      </c>
      <c r="S52" s="73" t="str">
        <f>IF(AND(0&lt;R52,R52&lt;4),N52&amp;",","")</f>
        <v>事務所,</v>
      </c>
      <c r="T52" s="105"/>
      <c r="U52" s="119" t="s">
        <v>456</v>
      </c>
      <c r="V52" s="120">
        <f>H52</f>
        <v>11000</v>
      </c>
      <c r="W52" s="73">
        <f>V52/V$72</f>
        <v>0.71801566579634468</v>
      </c>
      <c r="X52" s="119"/>
      <c r="Y52" s="121">
        <f>IF(V52=0,0,RANK(V52,$V$52:$V$68))</f>
        <v>1</v>
      </c>
      <c r="Z52" s="73" t="str">
        <f>IF(AND(0&lt;Y52,Y52&lt;4),U52&amp;",","")</f>
        <v>事務所,</v>
      </c>
    </row>
    <row r="53" spans="1:26" s="50" customFormat="1">
      <c r="A53" s="107"/>
      <c r="B53" s="118"/>
      <c r="C53" s="64"/>
      <c r="D53" s="2020" t="s">
        <v>1064</v>
      </c>
      <c r="E53" s="2348"/>
      <c r="F53" s="2019" t="s">
        <v>1065</v>
      </c>
      <c r="G53" s="118"/>
      <c r="H53" s="64"/>
      <c r="I53" s="2020" t="s">
        <v>1064</v>
      </c>
      <c r="J53" s="2348"/>
      <c r="K53" s="2019" t="s">
        <v>1065</v>
      </c>
      <c r="L53" s="87"/>
      <c r="M53" s="78"/>
      <c r="N53" s="119"/>
      <c r="O53" s="120"/>
      <c r="P53" s="73">
        <f t="shared" ref="P53:P67" si="0">O53/O$72</f>
        <v>0</v>
      </c>
      <c r="Q53" s="119"/>
      <c r="R53" s="121">
        <f t="shared" ref="R53:R68" si="1">IF(O53=0,0,RANK(O53,$O$52:$O$68))</f>
        <v>0</v>
      </c>
      <c r="S53" s="73" t="str">
        <f t="shared" ref="S53:S68" si="2">IF(AND(0&lt;R53,R53&lt;4),N53&amp;",","")</f>
        <v/>
      </c>
      <c r="T53" s="105"/>
      <c r="U53" s="119"/>
      <c r="V53" s="120"/>
      <c r="W53" s="73">
        <f t="shared" ref="W53:W67" si="3">V53/V$72</f>
        <v>0</v>
      </c>
      <c r="X53" s="119"/>
      <c r="Y53" s="121">
        <f t="shared" ref="Y53:Y68" si="4">IF(V53=0,0,RANK(V53,$V$52:$V$68))</f>
        <v>0</v>
      </c>
      <c r="Z53" s="73" t="str">
        <f t="shared" ref="Z53:Z68" si="5">IF(AND(0&lt;Y53,Y53&lt;4),U53&amp;",","")</f>
        <v/>
      </c>
    </row>
    <row r="54" spans="1:26" s="50" customFormat="1">
      <c r="A54" s="107"/>
      <c r="B54" s="118" t="s">
        <v>457</v>
      </c>
      <c r="C54" s="61">
        <f>SUM(E54:E58)</f>
        <v>0</v>
      </c>
      <c r="D54" s="64" t="s">
        <v>1066</v>
      </c>
      <c r="E54" s="2348"/>
      <c r="F54" s="2019" t="s">
        <v>1065</v>
      </c>
      <c r="G54" s="118" t="s">
        <v>457</v>
      </c>
      <c r="H54" s="61">
        <f>SUM(J54:J58)</f>
        <v>0</v>
      </c>
      <c r="I54" s="64" t="s">
        <v>1066</v>
      </c>
      <c r="J54" s="2348"/>
      <c r="K54" s="2019" t="s">
        <v>1065</v>
      </c>
      <c r="L54" s="87"/>
      <c r="M54" s="78"/>
      <c r="N54" s="119" t="s">
        <v>458</v>
      </c>
      <c r="O54" s="120">
        <f>C54</f>
        <v>0</v>
      </c>
      <c r="P54" s="73">
        <f t="shared" si="0"/>
        <v>0</v>
      </c>
      <c r="Q54" s="119"/>
      <c r="R54" s="121">
        <f t="shared" si="1"/>
        <v>0</v>
      </c>
      <c r="S54" s="73" t="str">
        <f t="shared" si="2"/>
        <v/>
      </c>
      <c r="T54" s="105"/>
      <c r="U54" s="119" t="s">
        <v>458</v>
      </c>
      <c r="V54" s="120">
        <f>H54</f>
        <v>0</v>
      </c>
      <c r="W54" s="73">
        <f t="shared" si="3"/>
        <v>0</v>
      </c>
      <c r="X54" s="119"/>
      <c r="Y54" s="121">
        <f t="shared" si="4"/>
        <v>0</v>
      </c>
      <c r="Z54" s="73" t="str">
        <f t="shared" si="5"/>
        <v/>
      </c>
    </row>
    <row r="55" spans="1:26" s="50" customFormat="1" hidden="1">
      <c r="A55" s="107"/>
      <c r="B55" s="118"/>
      <c r="C55" s="64"/>
      <c r="D55" s="2020" t="s">
        <v>1058</v>
      </c>
      <c r="E55" s="2348"/>
      <c r="F55" s="2019" t="s">
        <v>1065</v>
      </c>
      <c r="G55" s="118"/>
      <c r="H55" s="64"/>
      <c r="I55" s="2020" t="s">
        <v>1058</v>
      </c>
      <c r="J55" s="2348"/>
      <c r="K55" s="2019" t="s">
        <v>1065</v>
      </c>
      <c r="L55" s="87"/>
      <c r="M55" s="78"/>
      <c r="N55" s="119"/>
      <c r="O55" s="120"/>
      <c r="P55" s="73">
        <f t="shared" si="0"/>
        <v>0</v>
      </c>
      <c r="Q55" s="119"/>
      <c r="R55" s="121">
        <f t="shared" si="1"/>
        <v>0</v>
      </c>
      <c r="S55" s="73" t="str">
        <f t="shared" si="2"/>
        <v/>
      </c>
      <c r="T55" s="105"/>
      <c r="U55" s="119"/>
      <c r="V55" s="120"/>
      <c r="W55" s="73">
        <f t="shared" si="3"/>
        <v>0</v>
      </c>
      <c r="X55" s="119"/>
      <c r="Y55" s="121">
        <f t="shared" si="4"/>
        <v>0</v>
      </c>
      <c r="Z55" s="73" t="str">
        <f t="shared" si="5"/>
        <v/>
      </c>
    </row>
    <row r="56" spans="1:26" s="50" customFormat="1">
      <c r="A56" s="107"/>
      <c r="B56" s="118"/>
      <c r="C56" s="64"/>
      <c r="D56" s="2020" t="s">
        <v>2023</v>
      </c>
      <c r="E56" s="2348"/>
      <c r="F56" s="2019" t="s">
        <v>1065</v>
      </c>
      <c r="G56" s="118"/>
      <c r="H56" s="64"/>
      <c r="I56" s="2020" t="s">
        <v>2023</v>
      </c>
      <c r="J56" s="2348"/>
      <c r="K56" s="2019" t="s">
        <v>1065</v>
      </c>
      <c r="L56" s="87"/>
      <c r="M56" s="78"/>
      <c r="N56" s="119"/>
      <c r="O56" s="120"/>
      <c r="P56" s="73">
        <f t="shared" si="0"/>
        <v>0</v>
      </c>
      <c r="Q56" s="119"/>
      <c r="R56" s="121">
        <f t="shared" si="1"/>
        <v>0</v>
      </c>
      <c r="S56" s="73" t="str">
        <f t="shared" si="2"/>
        <v/>
      </c>
      <c r="T56" s="105"/>
      <c r="U56" s="119"/>
      <c r="V56" s="120"/>
      <c r="W56" s="73">
        <f t="shared" si="3"/>
        <v>0</v>
      </c>
      <c r="X56" s="119"/>
      <c r="Y56" s="121">
        <f t="shared" si="4"/>
        <v>0</v>
      </c>
      <c r="Z56" s="73" t="str">
        <f t="shared" si="5"/>
        <v/>
      </c>
    </row>
    <row r="57" spans="1:26" s="50" customFormat="1">
      <c r="A57" s="107"/>
      <c r="B57" s="118"/>
      <c r="C57" s="64"/>
      <c r="D57" s="2020" t="s">
        <v>1067</v>
      </c>
      <c r="E57" s="2348"/>
      <c r="F57" s="2019" t="s">
        <v>1065</v>
      </c>
      <c r="G57" s="118"/>
      <c r="H57" s="64"/>
      <c r="I57" s="2020" t="s">
        <v>1067</v>
      </c>
      <c r="J57" s="2348"/>
      <c r="K57" s="2019" t="s">
        <v>1065</v>
      </c>
      <c r="L57" s="87"/>
      <c r="M57" s="78"/>
      <c r="N57" s="119"/>
      <c r="O57" s="120"/>
      <c r="P57" s="73">
        <f t="shared" si="0"/>
        <v>0</v>
      </c>
      <c r="Q57" s="119"/>
      <c r="R57" s="121">
        <f t="shared" si="1"/>
        <v>0</v>
      </c>
      <c r="S57" s="73" t="str">
        <f t="shared" si="2"/>
        <v/>
      </c>
      <c r="T57" s="105"/>
      <c r="U57" s="119"/>
      <c r="V57" s="120"/>
      <c r="W57" s="73">
        <f t="shared" si="3"/>
        <v>0</v>
      </c>
      <c r="X57" s="119"/>
      <c r="Y57" s="121">
        <f t="shared" si="4"/>
        <v>0</v>
      </c>
      <c r="Z57" s="73" t="str">
        <f t="shared" si="5"/>
        <v/>
      </c>
    </row>
    <row r="58" spans="1:26" s="50" customFormat="1">
      <c r="A58" s="107"/>
      <c r="B58" s="118"/>
      <c r="C58" s="64"/>
      <c r="D58" s="2020" t="s">
        <v>1068</v>
      </c>
      <c r="E58" s="2348"/>
      <c r="F58" s="2019" t="s">
        <v>1065</v>
      </c>
      <c r="G58" s="118"/>
      <c r="H58" s="64"/>
      <c r="I58" s="2020" t="s">
        <v>1068</v>
      </c>
      <c r="J58" s="2348"/>
      <c r="K58" s="2019" t="s">
        <v>1065</v>
      </c>
      <c r="L58" s="87"/>
      <c r="M58" s="78"/>
      <c r="N58" s="119"/>
      <c r="O58" s="120"/>
      <c r="P58" s="73">
        <f t="shared" si="0"/>
        <v>0</v>
      </c>
      <c r="Q58" s="119"/>
      <c r="R58" s="121">
        <f t="shared" si="1"/>
        <v>0</v>
      </c>
      <c r="S58" s="73" t="str">
        <f t="shared" si="2"/>
        <v/>
      </c>
      <c r="T58" s="105"/>
      <c r="U58" s="119"/>
      <c r="V58" s="120"/>
      <c r="W58" s="73">
        <f t="shared" si="3"/>
        <v>0</v>
      </c>
      <c r="X58" s="119"/>
      <c r="Y58" s="121">
        <f t="shared" si="4"/>
        <v>0</v>
      </c>
      <c r="Z58" s="73" t="str">
        <f t="shared" si="5"/>
        <v/>
      </c>
    </row>
    <row r="59" spans="1:26" s="50" customFormat="1">
      <c r="A59" s="107"/>
      <c r="B59" s="118" t="s">
        <v>459</v>
      </c>
      <c r="C59" s="61">
        <f>E59+E60</f>
        <v>0</v>
      </c>
      <c r="D59" s="64" t="s">
        <v>1069</v>
      </c>
      <c r="E59" s="2348"/>
      <c r="F59" s="2019" t="s">
        <v>1065</v>
      </c>
      <c r="G59" s="118" t="s">
        <v>459</v>
      </c>
      <c r="H59" s="61">
        <f>J59+J60</f>
        <v>0</v>
      </c>
      <c r="I59" s="64" t="s">
        <v>1069</v>
      </c>
      <c r="J59" s="2348"/>
      <c r="K59" s="2019" t="s">
        <v>1065</v>
      </c>
      <c r="L59" s="87"/>
      <c r="M59" s="78"/>
      <c r="N59" s="119" t="s">
        <v>460</v>
      </c>
      <c r="O59" s="120">
        <f>C59</f>
        <v>0</v>
      </c>
      <c r="P59" s="73">
        <f t="shared" si="0"/>
        <v>0</v>
      </c>
      <c r="Q59" s="119"/>
      <c r="R59" s="121">
        <f t="shared" si="1"/>
        <v>0</v>
      </c>
      <c r="S59" s="73" t="str">
        <f t="shared" si="2"/>
        <v/>
      </c>
      <c r="T59" s="105"/>
      <c r="U59" s="119" t="s">
        <v>460</v>
      </c>
      <c r="V59" s="120">
        <f>H59</f>
        <v>0</v>
      </c>
      <c r="W59" s="73">
        <f t="shared" si="3"/>
        <v>0</v>
      </c>
      <c r="X59" s="119"/>
      <c r="Y59" s="121">
        <f t="shared" si="4"/>
        <v>0</v>
      </c>
      <c r="Z59" s="73" t="str">
        <f t="shared" si="5"/>
        <v/>
      </c>
    </row>
    <row r="60" spans="1:26" s="50" customFormat="1">
      <c r="A60" s="107"/>
      <c r="B60" s="118"/>
      <c r="C60" s="64"/>
      <c r="D60" s="2020" t="s">
        <v>1070</v>
      </c>
      <c r="E60" s="2348"/>
      <c r="F60" s="2019" t="s">
        <v>1065</v>
      </c>
      <c r="G60" s="118"/>
      <c r="H60" s="64"/>
      <c r="I60" s="2020" t="s">
        <v>1070</v>
      </c>
      <c r="J60" s="2348"/>
      <c r="K60" s="2019" t="s">
        <v>1065</v>
      </c>
      <c r="L60" s="87"/>
      <c r="M60" s="78"/>
      <c r="N60" s="119"/>
      <c r="O60" s="120"/>
      <c r="P60" s="73">
        <f t="shared" si="0"/>
        <v>0</v>
      </c>
      <c r="Q60" s="119"/>
      <c r="R60" s="121">
        <f t="shared" si="1"/>
        <v>0</v>
      </c>
      <c r="S60" s="73" t="str">
        <f t="shared" si="2"/>
        <v/>
      </c>
      <c r="T60" s="105"/>
      <c r="U60" s="119"/>
      <c r="V60" s="120"/>
      <c r="W60" s="73">
        <f t="shared" si="3"/>
        <v>0</v>
      </c>
      <c r="X60" s="119"/>
      <c r="Y60" s="121">
        <f t="shared" si="4"/>
        <v>0</v>
      </c>
      <c r="Z60" s="73" t="str">
        <f t="shared" si="5"/>
        <v/>
      </c>
    </row>
    <row r="61" spans="1:26" s="50" customFormat="1">
      <c r="A61" s="107"/>
      <c r="B61" s="118" t="s">
        <v>461</v>
      </c>
      <c r="C61" s="122">
        <v>4000</v>
      </c>
      <c r="D61" s="64" t="s">
        <v>1065</v>
      </c>
      <c r="E61" s="64"/>
      <c r="F61" s="2019"/>
      <c r="G61" s="118" t="s">
        <v>461</v>
      </c>
      <c r="H61" s="122"/>
      <c r="I61" s="64" t="s">
        <v>1065</v>
      </c>
      <c r="J61" s="64"/>
      <c r="K61" s="2019"/>
      <c r="L61" s="87"/>
      <c r="M61" s="78"/>
      <c r="N61" s="119" t="s">
        <v>462</v>
      </c>
      <c r="O61" s="120">
        <f>C61</f>
        <v>4000</v>
      </c>
      <c r="P61" s="73">
        <f t="shared" si="0"/>
        <v>0.26109660574412535</v>
      </c>
      <c r="Q61" s="119"/>
      <c r="R61" s="121">
        <f t="shared" si="1"/>
        <v>2</v>
      </c>
      <c r="S61" s="73" t="str">
        <f t="shared" si="2"/>
        <v>飲食店,</v>
      </c>
      <c r="T61" s="105"/>
      <c r="U61" s="119" t="s">
        <v>462</v>
      </c>
      <c r="V61" s="120">
        <f>H61</f>
        <v>0</v>
      </c>
      <c r="W61" s="73">
        <f t="shared" si="3"/>
        <v>0</v>
      </c>
      <c r="X61" s="119"/>
      <c r="Y61" s="121">
        <f t="shared" si="4"/>
        <v>0</v>
      </c>
      <c r="Z61" s="73" t="str">
        <f t="shared" si="5"/>
        <v/>
      </c>
    </row>
    <row r="62" spans="1:26" s="50" customFormat="1">
      <c r="A62" s="107"/>
      <c r="B62" s="118" t="s">
        <v>463</v>
      </c>
      <c r="C62" s="61">
        <f>E62+E63+E64</f>
        <v>0</v>
      </c>
      <c r="D62" s="64" t="s">
        <v>1071</v>
      </c>
      <c r="E62" s="2348"/>
      <c r="F62" s="2019" t="s">
        <v>1065</v>
      </c>
      <c r="G62" s="118" t="s">
        <v>463</v>
      </c>
      <c r="H62" s="61">
        <f>J62+J63+J64</f>
        <v>0</v>
      </c>
      <c r="I62" s="64" t="s">
        <v>1071</v>
      </c>
      <c r="J62" s="2348"/>
      <c r="K62" s="2019" t="s">
        <v>1065</v>
      </c>
      <c r="L62" s="87"/>
      <c r="M62" s="78"/>
      <c r="N62" s="119" t="s">
        <v>464</v>
      </c>
      <c r="O62" s="120">
        <f>C62</f>
        <v>0</v>
      </c>
      <c r="P62" s="73">
        <f t="shared" si="0"/>
        <v>0</v>
      </c>
      <c r="Q62" s="119"/>
      <c r="R62" s="121">
        <f t="shared" si="1"/>
        <v>0</v>
      </c>
      <c r="S62" s="73" t="str">
        <f t="shared" si="2"/>
        <v/>
      </c>
      <c r="T62" s="105"/>
      <c r="U62" s="119" t="s">
        <v>464</v>
      </c>
      <c r="V62" s="120">
        <f>H62</f>
        <v>0</v>
      </c>
      <c r="W62" s="73">
        <f t="shared" si="3"/>
        <v>0</v>
      </c>
      <c r="X62" s="119"/>
      <c r="Y62" s="121">
        <f t="shared" si="4"/>
        <v>0</v>
      </c>
      <c r="Z62" s="73" t="str">
        <f t="shared" si="5"/>
        <v/>
      </c>
    </row>
    <row r="63" spans="1:26" s="50" customFormat="1">
      <c r="A63" s="107"/>
      <c r="B63" s="118"/>
      <c r="C63" s="64"/>
      <c r="D63" s="2020" t="s">
        <v>1072</v>
      </c>
      <c r="E63" s="2348"/>
      <c r="F63" s="2019" t="s">
        <v>1065</v>
      </c>
      <c r="G63" s="118"/>
      <c r="H63" s="64"/>
      <c r="I63" s="2020" t="s">
        <v>1072</v>
      </c>
      <c r="J63" s="2348"/>
      <c r="K63" s="2019" t="s">
        <v>1065</v>
      </c>
      <c r="L63" s="87"/>
      <c r="M63" s="78"/>
      <c r="N63" s="119"/>
      <c r="O63" s="120"/>
      <c r="P63" s="73">
        <f t="shared" si="0"/>
        <v>0</v>
      </c>
      <c r="Q63" s="119"/>
      <c r="R63" s="121">
        <f t="shared" si="1"/>
        <v>0</v>
      </c>
      <c r="S63" s="73" t="str">
        <f t="shared" si="2"/>
        <v/>
      </c>
      <c r="T63" s="105"/>
      <c r="U63" s="119"/>
      <c r="V63" s="120"/>
      <c r="W63" s="73">
        <f t="shared" si="3"/>
        <v>0</v>
      </c>
      <c r="X63" s="119"/>
      <c r="Y63" s="121">
        <f t="shared" si="4"/>
        <v>0</v>
      </c>
      <c r="Z63" s="73" t="str">
        <f t="shared" si="5"/>
        <v/>
      </c>
    </row>
    <row r="64" spans="1:26" s="50" customFormat="1">
      <c r="A64" s="107"/>
      <c r="B64" s="118"/>
      <c r="C64" s="64"/>
      <c r="D64" s="2020" t="s">
        <v>1073</v>
      </c>
      <c r="E64" s="2348"/>
      <c r="F64" s="2019" t="s">
        <v>1065</v>
      </c>
      <c r="G64" s="118"/>
      <c r="H64" s="64"/>
      <c r="I64" s="2020" t="s">
        <v>1073</v>
      </c>
      <c r="J64" s="2348"/>
      <c r="K64" s="2019" t="s">
        <v>1065</v>
      </c>
      <c r="L64" s="87"/>
      <c r="M64" s="78"/>
      <c r="N64" s="119"/>
      <c r="O64" s="120"/>
      <c r="P64" s="73">
        <f t="shared" si="0"/>
        <v>0</v>
      </c>
      <c r="Q64" s="119"/>
      <c r="R64" s="121">
        <f t="shared" si="1"/>
        <v>0</v>
      </c>
      <c r="S64" s="73" t="str">
        <f t="shared" si="2"/>
        <v/>
      </c>
      <c r="T64" s="105"/>
      <c r="U64" s="119"/>
      <c r="V64" s="120"/>
      <c r="W64" s="73">
        <f t="shared" si="3"/>
        <v>0</v>
      </c>
      <c r="X64" s="119"/>
      <c r="Y64" s="121">
        <f t="shared" si="4"/>
        <v>0</v>
      </c>
      <c r="Z64" s="73" t="str">
        <f t="shared" si="5"/>
        <v/>
      </c>
    </row>
    <row r="65" spans="1:26" s="50" customFormat="1">
      <c r="A65" s="107"/>
      <c r="B65" s="118" t="s">
        <v>465</v>
      </c>
      <c r="C65" s="2348"/>
      <c r="D65" s="64" t="s">
        <v>1065</v>
      </c>
      <c r="E65" s="64"/>
      <c r="F65" s="2019"/>
      <c r="G65" s="118" t="s">
        <v>465</v>
      </c>
      <c r="H65" s="2348">
        <v>4000</v>
      </c>
      <c r="I65" s="64" t="s">
        <v>1065</v>
      </c>
      <c r="J65" s="64"/>
      <c r="K65" s="2019"/>
      <c r="L65" s="87"/>
      <c r="M65" s="78"/>
      <c r="N65" s="119" t="s">
        <v>466</v>
      </c>
      <c r="O65" s="120">
        <f>C66</f>
        <v>0</v>
      </c>
      <c r="P65" s="73">
        <f t="shared" si="0"/>
        <v>0</v>
      </c>
      <c r="Q65" s="119">
        <f>O65*E73</f>
        <v>0</v>
      </c>
      <c r="R65" s="121">
        <f t="shared" si="1"/>
        <v>0</v>
      </c>
      <c r="S65" s="73" t="str">
        <f t="shared" si="2"/>
        <v/>
      </c>
      <c r="T65" s="105"/>
      <c r="U65" s="119" t="s">
        <v>466</v>
      </c>
      <c r="V65" s="120">
        <f>H66</f>
        <v>0</v>
      </c>
      <c r="W65" s="73">
        <f t="shared" si="3"/>
        <v>0</v>
      </c>
      <c r="X65" s="119">
        <f>V65*J73</f>
        <v>0</v>
      </c>
      <c r="Y65" s="121">
        <f t="shared" si="4"/>
        <v>0</v>
      </c>
      <c r="Z65" s="73" t="str">
        <f t="shared" si="5"/>
        <v/>
      </c>
    </row>
    <row r="66" spans="1:26">
      <c r="A66" s="107"/>
      <c r="B66" s="118" t="s">
        <v>467</v>
      </c>
      <c r="C66" s="2348"/>
      <c r="D66" s="64" t="s">
        <v>1065</v>
      </c>
      <c r="E66" s="64"/>
      <c r="F66" s="2019"/>
      <c r="G66" s="118" t="s">
        <v>467</v>
      </c>
      <c r="H66" s="2348"/>
      <c r="I66" s="64" t="s">
        <v>1065</v>
      </c>
      <c r="J66" s="64"/>
      <c r="K66" s="2019"/>
      <c r="L66" s="87"/>
      <c r="M66" s="78"/>
      <c r="N66" s="119" t="s">
        <v>468</v>
      </c>
      <c r="O66" s="120">
        <f>C67</f>
        <v>0</v>
      </c>
      <c r="P66" s="73">
        <f t="shared" si="0"/>
        <v>0</v>
      </c>
      <c r="Q66" s="119">
        <f>O66*E74</f>
        <v>0</v>
      </c>
      <c r="R66" s="121">
        <f t="shared" si="1"/>
        <v>0</v>
      </c>
      <c r="S66" s="73" t="str">
        <f>IF(AND(0&lt;R66,R66&lt;4),N66&amp;",","")</f>
        <v/>
      </c>
      <c r="T66" s="105"/>
      <c r="U66" s="119" t="s">
        <v>468</v>
      </c>
      <c r="V66" s="120">
        <f>H67</f>
        <v>0</v>
      </c>
      <c r="W66" s="73">
        <f t="shared" si="3"/>
        <v>0</v>
      </c>
      <c r="X66" s="119">
        <f>V66*J74</f>
        <v>0</v>
      </c>
      <c r="Y66" s="121">
        <f t="shared" si="4"/>
        <v>0</v>
      </c>
      <c r="Z66" s="73" t="str">
        <f t="shared" si="5"/>
        <v/>
      </c>
    </row>
    <row r="67" spans="1:26">
      <c r="A67" s="107"/>
      <c r="B67" s="118" t="s">
        <v>469</v>
      </c>
      <c r="C67" s="2348"/>
      <c r="D67" s="64" t="s">
        <v>1065</v>
      </c>
      <c r="E67" s="64"/>
      <c r="F67" s="2019"/>
      <c r="G67" s="118" t="s">
        <v>469</v>
      </c>
      <c r="H67" s="2348"/>
      <c r="I67" s="64" t="s">
        <v>1065</v>
      </c>
      <c r="J67" s="64"/>
      <c r="K67" s="2019"/>
      <c r="L67" s="87"/>
      <c r="M67" s="78"/>
      <c r="N67" s="119" t="s">
        <v>470</v>
      </c>
      <c r="O67" s="120">
        <f>C69</f>
        <v>320</v>
      </c>
      <c r="P67" s="73">
        <f t="shared" si="0"/>
        <v>2.0887728459530026E-2</v>
      </c>
      <c r="Q67" s="119">
        <f>O67*E75</f>
        <v>300</v>
      </c>
      <c r="R67" s="121">
        <f t="shared" si="1"/>
        <v>3</v>
      </c>
      <c r="S67" s="73" t="str">
        <f t="shared" si="2"/>
        <v>集合住宅,</v>
      </c>
      <c r="T67" s="105"/>
      <c r="U67" s="119" t="s">
        <v>470</v>
      </c>
      <c r="V67" s="120">
        <f>H69</f>
        <v>320</v>
      </c>
      <c r="W67" s="73">
        <f t="shared" si="3"/>
        <v>2.0887728459530026E-2</v>
      </c>
      <c r="X67" s="119">
        <f>V67*J75</f>
        <v>300</v>
      </c>
      <c r="Y67" s="121">
        <f t="shared" si="4"/>
        <v>3</v>
      </c>
      <c r="Z67" s="73" t="str">
        <f t="shared" si="5"/>
        <v>集合住宅,</v>
      </c>
    </row>
    <row r="68" spans="1:26">
      <c r="A68" s="107"/>
      <c r="B68" s="118" t="s">
        <v>1059</v>
      </c>
      <c r="C68" s="61">
        <f>SUM(C52:C67)</f>
        <v>15000</v>
      </c>
      <c r="D68" s="64" t="s">
        <v>1065</v>
      </c>
      <c r="E68" s="64"/>
      <c r="F68" s="2019"/>
      <c r="G68" s="118" t="s">
        <v>1059</v>
      </c>
      <c r="H68" s="61">
        <f>SUM(H52:H67)</f>
        <v>15000</v>
      </c>
      <c r="I68" s="64" t="s">
        <v>1065</v>
      </c>
      <c r="J68" s="64"/>
      <c r="K68" s="2019"/>
      <c r="L68" s="87"/>
      <c r="M68" s="78"/>
      <c r="N68" s="119" t="s">
        <v>472</v>
      </c>
      <c r="O68" s="120">
        <f>C65</f>
        <v>0</v>
      </c>
      <c r="P68" s="73">
        <f>O68/O$72</f>
        <v>0</v>
      </c>
      <c r="Q68" s="119"/>
      <c r="R68" s="121">
        <f t="shared" si="1"/>
        <v>0</v>
      </c>
      <c r="S68" s="73" t="str">
        <f t="shared" si="2"/>
        <v/>
      </c>
      <c r="T68" s="105"/>
      <c r="U68" s="119" t="s">
        <v>472</v>
      </c>
      <c r="V68" s="120">
        <f>H65</f>
        <v>4000</v>
      </c>
      <c r="W68" s="73">
        <f>V68/V$72</f>
        <v>0.26109660574412535</v>
      </c>
      <c r="X68" s="119"/>
      <c r="Y68" s="121">
        <f t="shared" si="4"/>
        <v>2</v>
      </c>
      <c r="Z68" s="73" t="str">
        <f t="shared" si="5"/>
        <v>工場,</v>
      </c>
    </row>
    <row r="69" spans="1:26">
      <c r="A69" s="107"/>
      <c r="B69" s="123" t="s">
        <v>471</v>
      </c>
      <c r="C69" s="61">
        <f>E69+E70</f>
        <v>320</v>
      </c>
      <c r="D69" s="64" t="s">
        <v>1060</v>
      </c>
      <c r="E69" s="2348">
        <v>300</v>
      </c>
      <c r="F69" s="2019" t="s">
        <v>1065</v>
      </c>
      <c r="G69" s="123" t="s">
        <v>471</v>
      </c>
      <c r="H69" s="61">
        <f>J69+J70</f>
        <v>320</v>
      </c>
      <c r="I69" s="64" t="s">
        <v>1060</v>
      </c>
      <c r="J69" s="2348">
        <v>300</v>
      </c>
      <c r="K69" s="2019" t="s">
        <v>1065</v>
      </c>
      <c r="L69" s="87"/>
      <c r="M69" s="78"/>
      <c r="N69" s="119"/>
      <c r="O69" s="120"/>
      <c r="P69" s="2307"/>
      <c r="Q69" s="119"/>
      <c r="R69" s="2016"/>
      <c r="S69" s="73"/>
      <c r="T69" s="105"/>
      <c r="U69" s="119"/>
      <c r="V69" s="120"/>
      <c r="W69" s="2307"/>
      <c r="X69" s="119"/>
      <c r="Y69" s="2016"/>
      <c r="Z69" s="73"/>
    </row>
    <row r="70" spans="1:26">
      <c r="A70" s="107"/>
      <c r="B70" s="2021"/>
      <c r="C70" s="64"/>
      <c r="D70" s="2020" t="s">
        <v>1061</v>
      </c>
      <c r="E70" s="2348">
        <v>20</v>
      </c>
      <c r="F70" s="2019" t="s">
        <v>1065</v>
      </c>
      <c r="G70" s="2021"/>
      <c r="H70" s="64"/>
      <c r="I70" s="2020" t="s">
        <v>1061</v>
      </c>
      <c r="J70" s="2348">
        <v>20</v>
      </c>
      <c r="K70" s="2019" t="s">
        <v>1065</v>
      </c>
      <c r="L70" s="87"/>
      <c r="M70" s="78"/>
      <c r="N70" s="119"/>
      <c r="O70" s="120"/>
      <c r="P70" s="2307"/>
      <c r="Q70" s="119"/>
      <c r="R70" s="2016"/>
      <c r="S70" s="73"/>
      <c r="T70" s="105"/>
      <c r="U70" s="119"/>
      <c r="V70" s="120"/>
      <c r="W70" s="2307"/>
      <c r="X70" s="119"/>
      <c r="Y70" s="2016"/>
      <c r="Z70" s="73"/>
    </row>
    <row r="71" spans="1:26">
      <c r="A71" s="107"/>
      <c r="B71" s="2021"/>
      <c r="C71" s="64"/>
      <c r="D71" s="64"/>
      <c r="E71" s="64"/>
      <c r="F71" s="42"/>
      <c r="G71" s="2021"/>
      <c r="H71" s="64"/>
      <c r="I71" s="64"/>
      <c r="J71" s="64"/>
      <c r="K71" s="42"/>
      <c r="L71" s="87"/>
      <c r="M71" s="78"/>
      <c r="N71" s="119"/>
      <c r="O71" s="120"/>
      <c r="P71" s="2307"/>
      <c r="Q71" s="119"/>
      <c r="R71" s="2016"/>
      <c r="S71" s="73"/>
      <c r="T71" s="105"/>
      <c r="U71" s="119"/>
      <c r="V71" s="120"/>
      <c r="W71" s="2307"/>
      <c r="X71" s="119"/>
      <c r="Y71" s="2016"/>
      <c r="Z71" s="73"/>
    </row>
    <row r="72" spans="1:26">
      <c r="A72" s="107"/>
      <c r="B72" s="124" t="s">
        <v>473</v>
      </c>
      <c r="C72" s="125"/>
      <c r="D72" s="125"/>
      <c r="E72" s="2023"/>
      <c r="F72" s="126"/>
      <c r="G72" s="125"/>
      <c r="H72" s="125"/>
      <c r="I72" s="125"/>
      <c r="J72" s="2023"/>
      <c r="K72" s="126"/>
      <c r="L72" s="87"/>
      <c r="M72" s="78"/>
      <c r="N72" s="119" t="s">
        <v>474</v>
      </c>
      <c r="O72" s="127">
        <f>SUM(O52:O68)</f>
        <v>15320</v>
      </c>
      <c r="P72" s="2307"/>
      <c r="Q72" s="127">
        <f>SUM(Q52:Q68)</f>
        <v>300</v>
      </c>
      <c r="R72" s="21"/>
      <c r="S72" s="128" t="str">
        <f>IF(MAX(R52:R68)&gt;3,"等","")</f>
        <v/>
      </c>
      <c r="T72" s="105"/>
      <c r="U72" s="119" t="s">
        <v>474</v>
      </c>
      <c r="V72" s="129">
        <f>SUM(V52:V68)</f>
        <v>15320</v>
      </c>
      <c r="W72" s="2307"/>
      <c r="X72" s="129">
        <f>SUM(X52:X68)</f>
        <v>300</v>
      </c>
      <c r="Z72" s="128" t="str">
        <f>IF(MAX(Y52:Y68)&gt;3,"等","")</f>
        <v/>
      </c>
    </row>
    <row r="73" spans="1:26">
      <c r="A73" s="107"/>
      <c r="B73" s="118" t="s">
        <v>475</v>
      </c>
      <c r="C73" s="81"/>
      <c r="D73" s="2017"/>
      <c r="E73" s="2024"/>
      <c r="F73" s="2019"/>
      <c r="G73" s="118" t="s">
        <v>475</v>
      </c>
      <c r="H73" s="81"/>
      <c r="I73" s="2017"/>
      <c r="J73" s="2024"/>
      <c r="K73" s="2019"/>
      <c r="L73" s="87"/>
      <c r="M73" s="78"/>
      <c r="N73" s="130"/>
      <c r="O73" s="4"/>
      <c r="P73" s="130"/>
      <c r="Q73" s="21"/>
      <c r="R73" s="21"/>
      <c r="S73" s="45" t="str">
        <f>S52&amp;S54&amp;S59&amp;S61&amp;S62&amp;S65&amp;S66&amp;S67&amp;S68&amp;S72</f>
        <v>事務所,飲食店,集合住宅,</v>
      </c>
      <c r="T73" s="45"/>
      <c r="U73" s="130"/>
      <c r="V73" s="4"/>
      <c r="W73" s="130"/>
      <c r="Z73" s="45" t="str">
        <f>Z52&amp;Z54&amp;Z59&amp;Z61&amp;Z62&amp;Z65&amp;Z66&amp;Z67&amp;Z68&amp;Z72</f>
        <v>事務所,集合住宅,工場,</v>
      </c>
    </row>
    <row r="74" spans="1:26">
      <c r="A74" s="107"/>
      <c r="B74" s="118" t="s">
        <v>476</v>
      </c>
      <c r="C74" s="81"/>
      <c r="D74" s="2017"/>
      <c r="E74" s="2024"/>
      <c r="F74" s="2019"/>
      <c r="G74" s="118" t="s">
        <v>476</v>
      </c>
      <c r="H74" s="81"/>
      <c r="I74" s="2017"/>
      <c r="J74" s="2024"/>
      <c r="K74" s="2019"/>
      <c r="L74" s="87"/>
      <c r="M74" s="78"/>
      <c r="N74" s="130"/>
      <c r="O74" s="4"/>
      <c r="P74" s="130"/>
      <c r="Q74" s="21"/>
      <c r="R74" s="21"/>
    </row>
    <row r="75" spans="1:26">
      <c r="A75" s="107"/>
      <c r="B75" s="123" t="s">
        <v>1074</v>
      </c>
      <c r="C75" s="2022"/>
      <c r="D75" s="2022"/>
      <c r="E75" s="2100">
        <f>IF(C69=0,0,E69/C69)</f>
        <v>0.9375</v>
      </c>
      <c r="F75" s="2019"/>
      <c r="G75" s="123" t="s">
        <v>1074</v>
      </c>
      <c r="H75" s="2022"/>
      <c r="I75" s="2022"/>
      <c r="J75" s="2100">
        <f>IF(H69=0,0,J69/H69)</f>
        <v>0.9375</v>
      </c>
      <c r="K75" s="2019"/>
      <c r="L75" s="87"/>
      <c r="M75" s="78"/>
      <c r="N75" s="130"/>
      <c r="O75" s="4"/>
      <c r="P75" s="130"/>
      <c r="Q75" s="21"/>
      <c r="R75" s="21"/>
    </row>
    <row r="76" spans="1:26" customFormat="1" ht="14.25" thickBot="1">
      <c r="A76" s="1772"/>
      <c r="B76" s="1773"/>
      <c r="C76" s="1774"/>
      <c r="D76" s="1774"/>
      <c r="E76" s="1774"/>
      <c r="F76" s="1775"/>
      <c r="G76" s="1774"/>
      <c r="H76" s="1774"/>
      <c r="I76" s="1774"/>
      <c r="J76" s="1774"/>
      <c r="K76" s="1775"/>
      <c r="L76" s="1772"/>
      <c r="M76" s="1772"/>
      <c r="N76" s="2087" t="s">
        <v>157</v>
      </c>
      <c r="O76" s="2088" t="s">
        <v>456</v>
      </c>
      <c r="P76" s="2089">
        <f>E52</f>
        <v>11000</v>
      </c>
      <c r="U76" s="2087" t="s">
        <v>157</v>
      </c>
      <c r="V76" s="2088" t="s">
        <v>456</v>
      </c>
      <c r="W76" s="2089">
        <f>J52</f>
        <v>11000</v>
      </c>
    </row>
    <row r="77" spans="1:26" ht="14.25" thickBot="1">
      <c r="A77" s="107"/>
      <c r="B77" s="2810"/>
      <c r="C77" s="2810"/>
      <c r="D77" s="2810"/>
      <c r="E77" s="2810"/>
      <c r="F77" s="2810"/>
      <c r="G77" s="2810"/>
      <c r="H77" s="107"/>
      <c r="I77" s="107"/>
      <c r="J77" s="107"/>
      <c r="K77" s="107"/>
      <c r="L77" s="87"/>
      <c r="M77" s="78"/>
      <c r="N77" s="2090"/>
      <c r="O77" s="2088" t="s">
        <v>1122</v>
      </c>
      <c r="P77" s="2089">
        <f t="shared" ref="P77:P94" si="6">E53</f>
        <v>0</v>
      </c>
      <c r="Q77" s="75"/>
      <c r="R77" s="75"/>
      <c r="U77" s="2090"/>
      <c r="V77" s="2088" t="s">
        <v>1122</v>
      </c>
      <c r="W77" s="2089">
        <f t="shared" ref="W77:W94" si="7">J53</f>
        <v>0</v>
      </c>
    </row>
    <row r="78" spans="1:26" ht="14.25" thickBot="1">
      <c r="A78" s="107"/>
      <c r="B78" s="131" t="s">
        <v>477</v>
      </c>
      <c r="C78" s="132"/>
      <c r="D78" s="132"/>
      <c r="E78" s="132"/>
      <c r="F78" s="132"/>
      <c r="G78" s="132"/>
      <c r="H78" s="133"/>
      <c r="I78" s="133"/>
      <c r="J78" s="133"/>
      <c r="K78" s="134"/>
      <c r="L78" s="87"/>
      <c r="M78" s="78"/>
      <c r="N78" s="2091" t="s">
        <v>1123</v>
      </c>
      <c r="O78" s="2088" t="s">
        <v>1124</v>
      </c>
      <c r="P78" s="2089">
        <f t="shared" si="6"/>
        <v>0</v>
      </c>
      <c r="Q78" s="75"/>
      <c r="R78" s="75"/>
      <c r="U78" s="2091" t="s">
        <v>1123</v>
      </c>
      <c r="V78" s="2088" t="s">
        <v>1124</v>
      </c>
      <c r="W78" s="2089">
        <f t="shared" si="7"/>
        <v>0</v>
      </c>
    </row>
    <row r="79" spans="1:26" ht="14.25" thickBot="1">
      <c r="A79" s="107"/>
      <c r="B79" s="135" t="s">
        <v>478</v>
      </c>
      <c r="C79" s="2374" t="s">
        <v>479</v>
      </c>
      <c r="D79" s="136" t="s">
        <v>480</v>
      </c>
      <c r="E79" s="136"/>
      <c r="F79" s="137"/>
      <c r="G79" s="137"/>
      <c r="H79" s="137"/>
      <c r="I79" s="138"/>
      <c r="J79" s="138"/>
      <c r="K79" s="2375"/>
      <c r="L79" s="87"/>
      <c r="M79" s="78"/>
      <c r="N79" s="2091"/>
      <c r="O79" s="2088" t="s">
        <v>1194</v>
      </c>
      <c r="P79" s="2089">
        <f t="shared" si="6"/>
        <v>0</v>
      </c>
      <c r="Q79" s="23"/>
      <c r="R79" s="23"/>
      <c r="U79" s="2091"/>
      <c r="V79" s="2088" t="s">
        <v>1194</v>
      </c>
      <c r="W79" s="2089">
        <f t="shared" si="7"/>
        <v>0</v>
      </c>
    </row>
    <row r="80" spans="1:26">
      <c r="A80" s="107"/>
      <c r="B80" s="139" t="s">
        <v>481</v>
      </c>
      <c r="C80" s="2369" t="s">
        <v>1732</v>
      </c>
      <c r="D80" s="2370"/>
      <c r="E80" s="2370" t="s">
        <v>1733</v>
      </c>
      <c r="F80" s="2371"/>
      <c r="G80" s="2371"/>
      <c r="H80" s="2370" t="s">
        <v>1734</v>
      </c>
      <c r="I80" s="2372"/>
      <c r="J80" s="2370" t="s">
        <v>1735</v>
      </c>
      <c r="K80" s="2373"/>
      <c r="L80" s="87"/>
      <c r="M80" s="78"/>
      <c r="N80" s="2091"/>
      <c r="O80" s="2088" t="s">
        <v>1195</v>
      </c>
      <c r="P80" s="2089">
        <f t="shared" si="6"/>
        <v>0</v>
      </c>
      <c r="Q80" s="23"/>
      <c r="R80" s="23"/>
      <c r="U80" s="2091"/>
      <c r="V80" s="2088" t="s">
        <v>1195</v>
      </c>
      <c r="W80" s="2089">
        <f t="shared" si="7"/>
        <v>0</v>
      </c>
    </row>
    <row r="81" spans="1:23" ht="14.25" thickBot="1">
      <c r="A81" s="36"/>
      <c r="B81" s="135" t="s">
        <v>482</v>
      </c>
      <c r="C81" s="140" t="s">
        <v>483</v>
      </c>
      <c r="D81" s="141" t="s">
        <v>484</v>
      </c>
      <c r="E81" s="141"/>
      <c r="F81" s="142"/>
      <c r="G81" s="142"/>
      <c r="H81" s="142"/>
      <c r="I81" s="142"/>
      <c r="J81" s="142"/>
      <c r="K81" s="143"/>
      <c r="L81" s="144"/>
      <c r="M81" s="36"/>
      <c r="N81" s="2091"/>
      <c r="O81" s="2088" t="s">
        <v>1126</v>
      </c>
      <c r="P81" s="2089">
        <f t="shared" si="6"/>
        <v>0</v>
      </c>
      <c r="Q81"/>
      <c r="R81"/>
      <c r="U81" s="2091"/>
      <c r="V81" s="2088" t="s">
        <v>1126</v>
      </c>
      <c r="W81" s="2089">
        <f t="shared" si="7"/>
        <v>0</v>
      </c>
    </row>
    <row r="82" spans="1:23">
      <c r="A82" s="107"/>
      <c r="B82" s="107"/>
      <c r="C82" s="107"/>
      <c r="D82" s="107"/>
      <c r="E82" s="107"/>
      <c r="F82" s="107"/>
      <c r="G82" s="107"/>
      <c r="H82" s="107"/>
      <c r="I82" s="107"/>
      <c r="J82" s="107"/>
      <c r="K82" s="107"/>
      <c r="L82" s="107"/>
      <c r="M82" s="78"/>
      <c r="N82" s="2090"/>
      <c r="O82" s="2088" t="s">
        <v>1127</v>
      </c>
      <c r="P82" s="2089">
        <f t="shared" si="6"/>
        <v>0</v>
      </c>
      <c r="Q82" s="23"/>
      <c r="R82" s="23"/>
      <c r="U82" s="2090"/>
      <c r="V82" s="2088" t="s">
        <v>1127</v>
      </c>
      <c r="W82" s="2089">
        <f t="shared" si="7"/>
        <v>0</v>
      </c>
    </row>
    <row r="83" spans="1:23">
      <c r="A83" s="36"/>
      <c r="B83" s="145" t="s">
        <v>485</v>
      </c>
      <c r="C83" s="146" t="s">
        <v>486</v>
      </c>
      <c r="D83" s="147"/>
      <c r="E83" s="147"/>
      <c r="F83" s="148"/>
      <c r="G83" s="147"/>
      <c r="H83" s="149"/>
      <c r="I83" s="149"/>
      <c r="J83" s="149"/>
      <c r="K83" s="150"/>
      <c r="L83" s="151"/>
      <c r="M83" s="36"/>
      <c r="N83" s="2087" t="s">
        <v>1128</v>
      </c>
      <c r="O83" s="2088" t="s">
        <v>856</v>
      </c>
      <c r="P83" s="2089">
        <f t="shared" si="6"/>
        <v>0</v>
      </c>
      <c r="U83" s="2087" t="s">
        <v>1128</v>
      </c>
      <c r="V83" s="2088" t="s">
        <v>856</v>
      </c>
      <c r="W83" s="2089">
        <f t="shared" si="7"/>
        <v>0</v>
      </c>
    </row>
    <row r="84" spans="1:23">
      <c r="A84" s="36"/>
      <c r="B84" s="152" t="s">
        <v>455</v>
      </c>
      <c r="C84" s="153" t="s">
        <v>1716</v>
      </c>
      <c r="D84" s="154"/>
      <c r="E84" s="154"/>
      <c r="F84" s="154"/>
      <c r="G84" s="154"/>
      <c r="H84" s="154"/>
      <c r="I84" s="154"/>
      <c r="J84" s="154"/>
      <c r="K84" s="155"/>
      <c r="L84" s="151"/>
      <c r="M84" s="36"/>
      <c r="N84" s="2090"/>
      <c r="O84" s="2088" t="s">
        <v>1129</v>
      </c>
      <c r="P84" s="2089">
        <f t="shared" si="6"/>
        <v>0</v>
      </c>
      <c r="Q84" s="21"/>
      <c r="R84" s="21"/>
      <c r="T84" s="21"/>
      <c r="U84" s="2090"/>
      <c r="V84" s="2088" t="s">
        <v>1129</v>
      </c>
      <c r="W84" s="2089">
        <f t="shared" si="7"/>
        <v>0</v>
      </c>
    </row>
    <row r="85" spans="1:23">
      <c r="A85" s="36"/>
      <c r="B85" s="156" t="s">
        <v>457</v>
      </c>
      <c r="C85" s="157" t="s">
        <v>487</v>
      </c>
      <c r="D85" s="158"/>
      <c r="E85" s="158"/>
      <c r="F85" s="158"/>
      <c r="G85" s="158"/>
      <c r="H85" s="158"/>
      <c r="I85" s="158"/>
      <c r="J85" s="158"/>
      <c r="K85" s="159"/>
      <c r="L85" s="151"/>
      <c r="M85" s="36"/>
      <c r="N85" s="2088" t="s">
        <v>462</v>
      </c>
      <c r="O85" s="2092"/>
      <c r="P85" s="2089">
        <f>C61</f>
        <v>4000</v>
      </c>
      <c r="Q85" s="21"/>
      <c r="R85" s="21"/>
      <c r="T85" s="21"/>
      <c r="U85" s="2088" t="s">
        <v>462</v>
      </c>
      <c r="V85" s="2092"/>
      <c r="W85" s="2089">
        <f>H61</f>
        <v>0</v>
      </c>
    </row>
    <row r="86" spans="1:23">
      <c r="A86" s="36"/>
      <c r="B86" s="156" t="s">
        <v>459</v>
      </c>
      <c r="C86" s="157" t="s">
        <v>488</v>
      </c>
      <c r="D86" s="158"/>
      <c r="E86" s="158"/>
      <c r="F86" s="158"/>
      <c r="G86" s="158"/>
      <c r="H86" s="158"/>
      <c r="I86" s="158"/>
      <c r="J86" s="158"/>
      <c r="K86" s="159"/>
      <c r="L86" s="151"/>
      <c r="M86" s="36"/>
      <c r="N86" s="2087" t="s">
        <v>1130</v>
      </c>
      <c r="O86" s="2088" t="s">
        <v>1131</v>
      </c>
      <c r="P86" s="2089">
        <f t="shared" si="6"/>
        <v>0</v>
      </c>
      <c r="Q86" s="21"/>
      <c r="R86" s="21"/>
      <c r="T86" s="21"/>
      <c r="U86" s="2087" t="s">
        <v>1130</v>
      </c>
      <c r="V86" s="2088" t="s">
        <v>1131</v>
      </c>
      <c r="W86" s="2089">
        <f t="shared" si="7"/>
        <v>0</v>
      </c>
    </row>
    <row r="87" spans="1:23">
      <c r="A87" s="36"/>
      <c r="B87" s="156" t="s">
        <v>461</v>
      </c>
      <c r="C87" s="157" t="s">
        <v>489</v>
      </c>
      <c r="D87" s="158"/>
      <c r="E87" s="158"/>
      <c r="F87" s="158"/>
      <c r="G87" s="158"/>
      <c r="H87" s="158"/>
      <c r="I87" s="158"/>
      <c r="J87" s="158"/>
      <c r="K87" s="159"/>
      <c r="L87" s="151"/>
      <c r="M87" s="36"/>
      <c r="N87" s="2091"/>
      <c r="O87" s="2088" t="s">
        <v>1132</v>
      </c>
      <c r="P87" s="2089">
        <f t="shared" si="6"/>
        <v>0</v>
      </c>
      <c r="Q87" s="21"/>
      <c r="R87" s="21"/>
      <c r="T87" s="21"/>
      <c r="U87" s="2091"/>
      <c r="V87" s="2088" t="s">
        <v>1132</v>
      </c>
      <c r="W87" s="2089">
        <f t="shared" si="7"/>
        <v>0</v>
      </c>
    </row>
    <row r="88" spans="1:23">
      <c r="A88" s="36"/>
      <c r="B88" s="156" t="s">
        <v>463</v>
      </c>
      <c r="C88" s="157" t="s">
        <v>490</v>
      </c>
      <c r="D88" s="158"/>
      <c r="E88" s="158"/>
      <c r="F88" s="158"/>
      <c r="G88" s="158"/>
      <c r="H88" s="158"/>
      <c r="I88" s="158"/>
      <c r="J88" s="158"/>
      <c r="K88" s="159"/>
      <c r="L88" s="151"/>
      <c r="M88" s="36"/>
      <c r="N88" s="2091"/>
      <c r="O88" s="2093" t="s">
        <v>1133</v>
      </c>
      <c r="P88" s="2089">
        <f t="shared" si="6"/>
        <v>0</v>
      </c>
      <c r="Q88" s="21"/>
      <c r="R88" s="21"/>
      <c r="T88" s="21"/>
      <c r="U88" s="2091"/>
      <c r="V88" s="2093" t="s">
        <v>1133</v>
      </c>
      <c r="W88" s="2089">
        <f t="shared" si="7"/>
        <v>0</v>
      </c>
    </row>
    <row r="89" spans="1:23">
      <c r="A89" s="36"/>
      <c r="B89" s="156" t="s">
        <v>465</v>
      </c>
      <c r="C89" s="157" t="s">
        <v>743</v>
      </c>
      <c r="D89" s="158"/>
      <c r="E89" s="158"/>
      <c r="F89" s="158"/>
      <c r="G89" s="158"/>
      <c r="H89" s="160"/>
      <c r="I89" s="160"/>
      <c r="J89" s="160"/>
      <c r="K89" s="159"/>
      <c r="L89" s="151"/>
      <c r="M89" s="36"/>
      <c r="N89" s="2088" t="s">
        <v>472</v>
      </c>
      <c r="O89" s="2092"/>
      <c r="P89" s="2089">
        <f>C65</f>
        <v>0</v>
      </c>
      <c r="Q89" s="21"/>
      <c r="R89" s="21"/>
      <c r="T89" s="21"/>
      <c r="U89" s="2088" t="s">
        <v>472</v>
      </c>
      <c r="V89" s="2092"/>
      <c r="W89" s="2089">
        <f>H65</f>
        <v>4000</v>
      </c>
    </row>
    <row r="90" spans="1:23">
      <c r="A90" s="36"/>
      <c r="B90" s="156" t="s">
        <v>467</v>
      </c>
      <c r="C90" s="157" t="s">
        <v>491</v>
      </c>
      <c r="D90" s="158"/>
      <c r="E90" s="158"/>
      <c r="F90" s="158"/>
      <c r="G90" s="158"/>
      <c r="H90" s="158"/>
      <c r="I90" s="158"/>
      <c r="J90" s="158"/>
      <c r="K90" s="159"/>
      <c r="L90" s="151"/>
      <c r="M90" s="36"/>
      <c r="N90" s="2088" t="s">
        <v>466</v>
      </c>
      <c r="O90" s="2092"/>
      <c r="P90" s="2089">
        <f t="shared" ref="P90:P91" si="8">C66</f>
        <v>0</v>
      </c>
      <c r="Q90" s="21"/>
      <c r="R90" s="21"/>
      <c r="T90" s="21"/>
      <c r="U90" s="2088" t="s">
        <v>466</v>
      </c>
      <c r="V90" s="2092"/>
      <c r="W90" s="2089">
        <f t="shared" ref="W90:W91" si="9">H66</f>
        <v>0</v>
      </c>
    </row>
    <row r="91" spans="1:23">
      <c r="A91" s="36"/>
      <c r="B91" s="156" t="s">
        <v>469</v>
      </c>
      <c r="C91" s="157" t="s">
        <v>492</v>
      </c>
      <c r="D91" s="158"/>
      <c r="E91" s="158"/>
      <c r="F91" s="158"/>
      <c r="G91" s="158"/>
      <c r="H91" s="158"/>
      <c r="I91" s="158"/>
      <c r="J91" s="158"/>
      <c r="K91" s="159"/>
      <c r="L91" s="151"/>
      <c r="M91" s="36"/>
      <c r="N91" s="2088" t="s">
        <v>1134</v>
      </c>
      <c r="O91" s="2092"/>
      <c r="P91" s="2089">
        <f t="shared" si="8"/>
        <v>0</v>
      </c>
      <c r="Q91" s="21"/>
      <c r="R91" s="21"/>
      <c r="T91" s="21"/>
      <c r="U91" s="2088" t="s">
        <v>1134</v>
      </c>
      <c r="V91" s="2092"/>
      <c r="W91" s="2089">
        <f t="shared" si="9"/>
        <v>0</v>
      </c>
    </row>
    <row r="92" spans="1:23">
      <c r="A92" s="36"/>
      <c r="B92" s="161" t="s">
        <v>471</v>
      </c>
      <c r="C92" s="162" t="s">
        <v>493</v>
      </c>
      <c r="D92" s="163"/>
      <c r="E92" s="163"/>
      <c r="F92" s="163"/>
      <c r="G92" s="163"/>
      <c r="H92" s="164"/>
      <c r="I92" s="164"/>
      <c r="J92" s="164"/>
      <c r="K92" s="165"/>
      <c r="L92" s="151"/>
      <c r="M92" s="36"/>
      <c r="N92" s="2094"/>
      <c r="O92" s="2095"/>
      <c r="P92" s="2089">
        <f>C69</f>
        <v>320</v>
      </c>
      <c r="Q92" s="21"/>
      <c r="R92" s="21"/>
      <c r="T92" s="21"/>
      <c r="U92" s="2094"/>
      <c r="V92" s="2095"/>
      <c r="W92" s="2089">
        <f t="shared" si="7"/>
        <v>0</v>
      </c>
    </row>
    <row r="93" spans="1:23">
      <c r="A93" s="36"/>
      <c r="B93" s="36"/>
      <c r="C93" s="36"/>
      <c r="D93" s="36"/>
      <c r="E93" s="36"/>
      <c r="F93" s="36"/>
      <c r="G93" s="36"/>
      <c r="H93" s="36"/>
      <c r="I93" s="36"/>
      <c r="J93" s="36"/>
      <c r="K93" s="36"/>
      <c r="L93" s="36"/>
      <c r="M93" s="36"/>
      <c r="N93" s="2096" t="s">
        <v>763</v>
      </c>
      <c r="O93" s="2097" t="s">
        <v>1135</v>
      </c>
      <c r="P93" s="2089">
        <f t="shared" si="6"/>
        <v>300</v>
      </c>
      <c r="Q93" s="21"/>
      <c r="R93" s="21"/>
      <c r="T93" s="21"/>
      <c r="U93" s="2096" t="s">
        <v>763</v>
      </c>
      <c r="V93" s="2097" t="s">
        <v>1135</v>
      </c>
      <c r="W93" s="2089">
        <f>J69</f>
        <v>300</v>
      </c>
    </row>
    <row r="94" spans="1:23">
      <c r="N94" s="2098"/>
      <c r="O94" s="2099" t="s">
        <v>1136</v>
      </c>
      <c r="P94" s="2089">
        <f t="shared" si="6"/>
        <v>20</v>
      </c>
      <c r="Q94" s="21"/>
      <c r="R94" s="21"/>
      <c r="T94" s="21"/>
      <c r="U94" s="2098"/>
      <c r="V94" s="2099" t="s">
        <v>1136</v>
      </c>
      <c r="W94" s="2089">
        <f t="shared" si="7"/>
        <v>20</v>
      </c>
    </row>
    <row r="95" spans="1:23"/>
    <row r="96" spans="1:2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sheetProtection password="82B4" sheet="1" objects="1" scenarios="1"/>
  <mergeCells count="24">
    <mergeCell ref="C45:K45"/>
    <mergeCell ref="H37:K37"/>
    <mergeCell ref="C21:F21"/>
    <mergeCell ref="H21:K21"/>
    <mergeCell ref="I42:K42"/>
    <mergeCell ref="I41:K41"/>
    <mergeCell ref="I40:K40"/>
    <mergeCell ref="J43:K43"/>
    <mergeCell ref="B77:G77"/>
    <mergeCell ref="C11:F11"/>
    <mergeCell ref="H11:K11"/>
    <mergeCell ref="H12:K12"/>
    <mergeCell ref="C14:F14"/>
    <mergeCell ref="H14:K14"/>
    <mergeCell ref="I39:K39"/>
    <mergeCell ref="D44:F44"/>
    <mergeCell ref="C20:F20"/>
    <mergeCell ref="H20:K20"/>
    <mergeCell ref="I44:K44"/>
    <mergeCell ref="C27:F31"/>
    <mergeCell ref="H27:K31"/>
    <mergeCell ref="C48:K48"/>
    <mergeCell ref="C47:K47"/>
    <mergeCell ref="C46:K46"/>
  </mergeCells>
  <phoneticPr fontId="20"/>
  <conditionalFormatting sqref="H23 C23 H13">
    <cfRule type="cellIs" dxfId="95" priority="5" stopIfTrue="1" operator="equal">
      <formula>0</formula>
    </cfRule>
  </conditionalFormatting>
  <conditionalFormatting sqref="E73">
    <cfRule type="expression" dxfId="94" priority="7" stopIfTrue="1">
      <formula>AND($C$66&gt;0,$E$73=0)</formula>
    </cfRule>
  </conditionalFormatting>
  <conditionalFormatting sqref="E74">
    <cfRule type="expression" dxfId="93" priority="8" stopIfTrue="1">
      <formula>AND($C$67&gt;0,$E$74=0)</formula>
    </cfRule>
  </conditionalFormatting>
  <conditionalFormatting sqref="J73">
    <cfRule type="expression" dxfId="92" priority="10" stopIfTrue="1">
      <formula>AND($H$66&gt;0,$J$73=0)</formula>
    </cfRule>
  </conditionalFormatting>
  <conditionalFormatting sqref="J74">
    <cfRule type="expression" dxfId="91" priority="11" stopIfTrue="1">
      <formula>AND($H$67&gt;0,$J$74=0)</formula>
    </cfRule>
  </conditionalFormatting>
  <conditionalFormatting sqref="C61 E52:E60 E69:E70 E62:E64 C65:C67">
    <cfRule type="cellIs" dxfId="90" priority="4" stopIfTrue="1" operator="equal">
      <formula>0</formula>
    </cfRule>
  </conditionalFormatting>
  <conditionalFormatting sqref="H61 J52:J60 J69:J70 J62:J64 H65:H67">
    <cfRule type="cellIs" dxfId="89" priority="3" stopIfTrue="1" operator="equal">
      <formula>0</formula>
    </cfRule>
  </conditionalFormatting>
  <dataValidations count="6">
    <dataValidation type="decimal" allowBlank="1" showInputMessage="1" showErrorMessage="1" sqref="E73:E74 J73:J74">
      <formula1>0</formula1>
      <formula2>1</formula2>
    </dataValidation>
    <dataValidation type="list" allowBlank="1" showInputMessage="1" showErrorMessage="1" sqref="F13">
      <formula1>"予定,竣工"</formula1>
    </dataValidation>
    <dataValidation type="list" allowBlank="1" showInputMessage="1" showErrorMessage="1" sqref="H44">
      <formula1>$N$44:$N$45</formula1>
    </dataValidation>
    <dataValidation type="list" allowBlank="1" showInputMessage="1" showErrorMessage="1" sqref="H23 C23">
      <formula1>$N$23:$Q$23</formula1>
    </dataValidation>
    <dataValidation type="list" allowBlank="1" showInputMessage="1" showErrorMessage="1" sqref="I41">
      <formula1>"有,無"</formula1>
    </dataValidation>
    <dataValidation allowBlank="1" showDropDown="1" showInputMessage="1" showErrorMessage="1" sqref="C45:C48"/>
  </dataValidations>
  <hyperlinks>
    <hyperlink ref="C79" location="スコア入力!A1" tooltip="[スコア入力]シート" display="●スコア入力"/>
    <hyperlink ref="C81" location="'条件(標準)_後'!A1" tooltip="[条件（標準）]シート" display="●標準計算"/>
    <hyperlink ref="D81" location="'条件(個別)_後'!A1" tooltip="[条件（個別）]シート" display="●個別計算"/>
    <hyperlink ref="D79" location="スコア表示!A1" tooltip="[スコア表示]シート" display="●スコア表示"/>
    <hyperlink ref="C80" location="'計画概要書(改修前)'!A1" tooltip="[条件（標準）]シート" display="●計画概要（改修前）"/>
    <hyperlink ref="E80" location="'計画概要書(改修後)'!A1" tooltip="[条件（個別）]シート" display="●計画概要（改修後）"/>
    <hyperlink ref="H80" location="改修前後の比較!A1" tooltip="[条件（個別）]シート" display="●計画概要（前後比較）"/>
    <hyperlink ref="J80" location="CO2計算_後!A1" tooltip="[条件（個別）]シート" display="●LCCO2計算"/>
  </hyperlinks>
  <printOptions horizontalCentered="1"/>
  <pageMargins left="0.59055118110236227" right="0.59055118110236227" top="0.78740157480314965" bottom="0.59055118110236227" header="0.51181102362204722" footer="0.51181102362204722"/>
  <pageSetup paperSize="9" scale="75" orientation="portrait" verticalDpi="4294967293" r:id="rId1"/>
  <headerFooter alignWithMargins="0">
    <oddHeader>&amp;L&amp;F&amp;R&amp;A</oddHeader>
    <oddFooter>&amp;C&amp;P/&amp;N</oddFooter>
  </headerFooter>
  <colBreaks count="1" manualBreakCount="1">
    <brk id="19" max="1048575" man="1"/>
  </colBreaks>
  <drawing r:id="rId2"/>
  <legacyDrawing r:id="rId3"/>
</worksheet>
</file>

<file path=xl/worksheets/sheet8.xml><?xml version="1.0" encoding="utf-8"?>
<worksheet xmlns="http://schemas.openxmlformats.org/spreadsheetml/2006/main" xmlns:r="http://schemas.openxmlformats.org/officeDocument/2006/relationships">
  <sheetPr codeName="Sheet7">
    <pageSetUpPr fitToPage="1"/>
  </sheetPr>
  <dimension ref="B1:G21"/>
  <sheetViews>
    <sheetView showGridLines="0" zoomScaleNormal="100" workbookViewId="0">
      <selection activeCell="C4" sqref="C4:E4"/>
    </sheetView>
  </sheetViews>
  <sheetFormatPr defaultColWidth="0" defaultRowHeight="13.5" zeroHeight="1"/>
  <cols>
    <col min="1" max="1" width="0.875" style="192" customWidth="1"/>
    <col min="2" max="2" width="17.375" style="192" customWidth="1"/>
    <col min="3" max="3" width="38" style="193" customWidth="1"/>
    <col min="4" max="4" width="14.25" style="192" customWidth="1"/>
    <col min="5" max="5" width="21.25" style="192" customWidth="1"/>
    <col min="6" max="6" width="1.375" style="192" customWidth="1"/>
    <col min="7" max="16384" width="0" style="192" hidden="1"/>
  </cols>
  <sheetData>
    <row r="1" spans="2:7" s="21" customFormat="1" ht="21">
      <c r="B1" s="166" t="s">
        <v>494</v>
      </c>
      <c r="C1" s="167"/>
      <c r="D1" s="168"/>
      <c r="E1" s="168"/>
    </row>
    <row r="2" spans="2:7" s="50" customFormat="1" ht="12.75">
      <c r="B2" s="169" t="s">
        <v>398</v>
      </c>
      <c r="C2" s="170" t="str">
        <f>メイン!H11</f>
        <v>新ビル</v>
      </c>
      <c r="D2" s="171" t="s">
        <v>495</v>
      </c>
      <c r="E2" s="172">
        <f>メイン!H39</f>
        <v>42193</v>
      </c>
      <c r="F2" s="173"/>
      <c r="G2" s="173"/>
    </row>
    <row r="3" spans="2:7" s="50" customFormat="1" ht="12.75">
      <c r="B3" s="174" t="s">
        <v>496</v>
      </c>
      <c r="C3" s="175" t="str">
        <f>メイン!H21</f>
        <v>事務所,集合住宅,工場,</v>
      </c>
      <c r="D3" s="176" t="s">
        <v>497</v>
      </c>
      <c r="E3" s="175" t="str">
        <f>メイン!H40</f>
        <v>○○○</v>
      </c>
      <c r="F3" s="177"/>
      <c r="G3" s="177"/>
    </row>
    <row r="4" spans="2:7" s="50" customFormat="1" ht="39.75" customHeight="1">
      <c r="B4" s="178" t="s">
        <v>498</v>
      </c>
      <c r="C4" s="2865" t="str">
        <f>メイン!H27</f>
        <v>○○○</v>
      </c>
      <c r="D4" s="2866"/>
      <c r="E4" s="2867"/>
      <c r="F4" s="177"/>
      <c r="G4" s="177"/>
    </row>
    <row r="5" spans="2:7" s="50" customFormat="1" ht="8.25" customHeight="1" thickBot="1">
      <c r="B5" s="45"/>
      <c r="C5" s="179"/>
      <c r="D5" s="179"/>
      <c r="E5" s="179"/>
      <c r="F5" s="177"/>
      <c r="G5" s="177"/>
    </row>
    <row r="6" spans="2:7" s="21" customFormat="1" ht="21" customHeight="1" thickBot="1">
      <c r="B6" s="180"/>
      <c r="C6" s="181" t="s">
        <v>499</v>
      </c>
      <c r="D6" s="181"/>
      <c r="E6" s="182" t="s">
        <v>500</v>
      </c>
    </row>
    <row r="7" spans="2:7" s="23" customFormat="1" ht="81" customHeight="1" thickTop="1">
      <c r="B7" s="183" t="s">
        <v>501</v>
      </c>
      <c r="C7" s="2868" t="s">
        <v>2061</v>
      </c>
      <c r="D7" s="2869"/>
      <c r="E7" s="184"/>
    </row>
    <row r="8" spans="2:7" s="21" customFormat="1" ht="81" customHeight="1">
      <c r="B8" s="185" t="s">
        <v>502</v>
      </c>
      <c r="C8" s="2859" t="s">
        <v>503</v>
      </c>
      <c r="D8" s="2860"/>
      <c r="E8" s="186"/>
    </row>
    <row r="9" spans="2:7" s="21" customFormat="1" ht="81" customHeight="1">
      <c r="B9" s="185" t="s">
        <v>504</v>
      </c>
      <c r="C9" s="2859" t="s">
        <v>2062</v>
      </c>
      <c r="D9" s="2860"/>
      <c r="E9" s="186"/>
    </row>
    <row r="10" spans="2:7" s="21" customFormat="1" ht="81" customHeight="1">
      <c r="B10" s="185" t="s">
        <v>505</v>
      </c>
      <c r="C10" s="2859" t="s">
        <v>2063</v>
      </c>
      <c r="D10" s="2860"/>
      <c r="E10" s="186"/>
    </row>
    <row r="11" spans="2:7" s="21" customFormat="1" ht="81" customHeight="1">
      <c r="B11" s="185" t="s">
        <v>506</v>
      </c>
      <c r="C11" s="2859" t="s">
        <v>507</v>
      </c>
      <c r="D11" s="2860"/>
      <c r="E11" s="186"/>
    </row>
    <row r="12" spans="2:7" s="21" customFormat="1" ht="81" customHeight="1">
      <c r="B12" s="185" t="s">
        <v>508</v>
      </c>
      <c r="C12" s="2859" t="s">
        <v>2066</v>
      </c>
      <c r="D12" s="2860"/>
      <c r="E12" s="186"/>
    </row>
    <row r="13" spans="2:7" s="21" customFormat="1" ht="81" customHeight="1" thickBot="1">
      <c r="B13" s="187" t="s">
        <v>509</v>
      </c>
      <c r="C13" s="2861" t="s">
        <v>2065</v>
      </c>
      <c r="D13" s="2862"/>
      <c r="E13" s="188"/>
    </row>
    <row r="14" spans="2:7" s="21" customFormat="1" ht="122.25" customHeight="1" thickTop="1" thickBot="1">
      <c r="B14" s="189" t="s">
        <v>510</v>
      </c>
      <c r="C14" s="2863" t="s">
        <v>2064</v>
      </c>
      <c r="D14" s="2864"/>
      <c r="E14" s="190"/>
    </row>
    <row r="15" spans="2:7" s="21" customFormat="1">
      <c r="C15" s="191"/>
    </row>
    <row r="16" spans="2:7" hidden="1"/>
    <row r="17" hidden="1"/>
    <row r="18" hidden="1"/>
    <row r="19" hidden="1"/>
    <row r="20" hidden="1"/>
    <row r="21" hidden="1"/>
  </sheetData>
  <sheetProtection password="82B4" sheet="1" objects="1" scenarios="1"/>
  <mergeCells count="9">
    <mergeCell ref="C12:D12"/>
    <mergeCell ref="C13:D13"/>
    <mergeCell ref="C14:D14"/>
    <mergeCell ref="C4:E4"/>
    <mergeCell ref="C7:D7"/>
    <mergeCell ref="C8:D8"/>
    <mergeCell ref="C9:D9"/>
    <mergeCell ref="C10:D10"/>
    <mergeCell ref="C11:D11"/>
  </mergeCells>
  <phoneticPr fontId="20"/>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worksheet>
</file>

<file path=xl/worksheets/sheet9.xml><?xml version="1.0" encoding="utf-8"?>
<worksheet xmlns="http://schemas.openxmlformats.org/spreadsheetml/2006/main" xmlns:r="http://schemas.openxmlformats.org/officeDocument/2006/relationships">
  <sheetPr codeName="Sheet8">
    <pageSetUpPr fitToPage="1"/>
  </sheetPr>
  <dimension ref="A1:AC143"/>
  <sheetViews>
    <sheetView showGridLines="0" zoomScaleNormal="100" zoomScaleSheetLayoutView="100" workbookViewId="0">
      <selection activeCell="L11" sqref="L11"/>
    </sheetView>
  </sheetViews>
  <sheetFormatPr defaultColWidth="0" defaultRowHeight="13.5" zeroHeight="1"/>
  <cols>
    <col min="1" max="2" width="1.375" customWidth="1"/>
    <col min="3" max="3" width="2.125" customWidth="1"/>
    <col min="4" max="4" width="2.5" customWidth="1"/>
    <col min="5" max="8" width="9.5" customWidth="1"/>
    <col min="9" max="9" width="11.375" customWidth="1"/>
    <col min="10" max="13" width="9.5" customWidth="1"/>
    <col min="14" max="14" width="10.75" customWidth="1"/>
    <col min="15" max="15" width="3.25" customWidth="1"/>
    <col min="16" max="16" width="9.5" customWidth="1"/>
    <col min="17" max="17" width="10.75" customWidth="1"/>
    <col min="18" max="18" width="1" customWidth="1"/>
    <col min="19" max="19" width="26.875" hidden="1" customWidth="1"/>
    <col min="20" max="20" width="23.5" hidden="1" customWidth="1"/>
    <col min="21" max="21" width="23.25" hidden="1" customWidth="1"/>
    <col min="22" max="23" width="9.125" hidden="1" customWidth="1"/>
    <col min="24" max="24" width="13.875" hidden="1" customWidth="1"/>
    <col min="25" max="25" width="12.75" hidden="1" customWidth="1"/>
    <col min="26" max="26" width="8.375" hidden="1" customWidth="1"/>
    <col min="27" max="27" width="10.375" hidden="1" customWidth="1"/>
    <col min="28" max="28" width="13.875" hidden="1" customWidth="1"/>
    <col min="29" max="29" width="12.75" hidden="1" customWidth="1"/>
    <col min="30" max="16384" width="9" hidden="1"/>
  </cols>
  <sheetData>
    <row r="1" spans="2:17" s="2638" customFormat="1" ht="14.25" thickBot="1"/>
    <row r="2" spans="2:17" s="2638" customFormat="1" ht="14.25">
      <c r="B2" s="2640"/>
      <c r="C2" s="2641" t="s">
        <v>2026</v>
      </c>
      <c r="D2" s="2642"/>
      <c r="E2" s="2642"/>
      <c r="F2" s="2642"/>
      <c r="G2" s="2642"/>
      <c r="H2" s="2642"/>
      <c r="I2" s="2642"/>
      <c r="J2" s="2642"/>
      <c r="K2" s="2642"/>
      <c r="L2" s="2642"/>
      <c r="M2" s="2642"/>
      <c r="N2" s="2642"/>
      <c r="O2" s="2642"/>
      <c r="P2" s="2642"/>
      <c r="Q2" s="2643"/>
    </row>
    <row r="3" spans="2:17" s="2646" customFormat="1" ht="12">
      <c r="B3" s="2647"/>
      <c r="C3" s="2645" t="s">
        <v>2027</v>
      </c>
      <c r="D3" s="2648"/>
      <c r="E3" s="2648"/>
      <c r="F3" s="2648"/>
      <c r="G3" s="2649"/>
      <c r="H3" s="2649"/>
      <c r="I3" s="2649"/>
      <c r="J3" s="2649"/>
      <c r="K3" s="2649"/>
      <c r="L3" s="2649"/>
      <c r="M3" s="2649"/>
      <c r="N3" s="2649"/>
      <c r="O3" s="2649"/>
      <c r="P3" s="2649"/>
      <c r="Q3" s="2650"/>
    </row>
    <row r="4" spans="2:17" s="2646" customFormat="1" ht="30" customHeight="1">
      <c r="B4" s="2651"/>
      <c r="C4" s="2872"/>
      <c r="D4" s="2877"/>
      <c r="E4" s="2873"/>
      <c r="F4" s="2872" t="s">
        <v>2028</v>
      </c>
      <c r="G4" s="2873"/>
      <c r="H4" s="2676" t="s">
        <v>2043</v>
      </c>
      <c r="I4" s="2676" t="s">
        <v>2044</v>
      </c>
      <c r="J4" s="2652" t="s">
        <v>2029</v>
      </c>
      <c r="K4" s="2638"/>
      <c r="L4" s="2638"/>
      <c r="M4" s="2638"/>
      <c r="N4" s="2649"/>
      <c r="O4" s="2649"/>
      <c r="P4" s="2649"/>
      <c r="Q4" s="2650"/>
    </row>
    <row r="5" spans="2:17" s="2646" customFormat="1" ht="20.100000000000001" customHeight="1">
      <c r="B5" s="2651"/>
      <c r="C5" s="2872" t="s">
        <v>2030</v>
      </c>
      <c r="D5" s="2877"/>
      <c r="E5" s="2873"/>
      <c r="F5" s="2888" t="s">
        <v>2040</v>
      </c>
      <c r="G5" s="2889"/>
      <c r="H5" s="2677"/>
      <c r="I5" s="2677"/>
      <c r="J5" s="2653"/>
      <c r="K5" s="2638"/>
      <c r="L5" s="2638"/>
      <c r="M5" s="2638"/>
      <c r="N5" s="2649"/>
      <c r="O5" s="2649"/>
      <c r="P5" s="2649"/>
      <c r="Q5" s="2650"/>
    </row>
    <row r="6" spans="2:17" s="2646" customFormat="1" ht="12">
      <c r="B6" s="2647"/>
      <c r="C6" s="2648"/>
      <c r="D6" s="2648"/>
      <c r="E6" s="2648"/>
      <c r="F6" s="2648"/>
      <c r="G6" s="2649"/>
      <c r="H6" s="2649"/>
      <c r="I6" s="2649"/>
      <c r="J6" s="2649"/>
      <c r="K6" s="2649"/>
      <c r="L6" s="2649"/>
      <c r="M6" s="2649"/>
      <c r="N6" s="2649"/>
      <c r="O6" s="2649"/>
      <c r="P6" s="2649"/>
      <c r="Q6" s="2650"/>
    </row>
    <row r="7" spans="2:17" s="2646" customFormat="1" ht="60" customHeight="1">
      <c r="B7" s="2651"/>
      <c r="C7" s="2872"/>
      <c r="D7" s="2877"/>
      <c r="E7" s="2873"/>
      <c r="F7" s="2872" t="s">
        <v>2028</v>
      </c>
      <c r="G7" s="2873"/>
      <c r="H7" s="2676" t="s">
        <v>2045</v>
      </c>
      <c r="I7" s="2676" t="s">
        <v>2044</v>
      </c>
      <c r="J7" s="2675" t="s">
        <v>2047</v>
      </c>
      <c r="K7" s="2664" t="s">
        <v>2048</v>
      </c>
      <c r="L7" s="2890" t="s">
        <v>2050</v>
      </c>
      <c r="M7" s="2890"/>
      <c r="N7" s="2654"/>
      <c r="O7" s="2649"/>
      <c r="Q7" s="2650"/>
    </row>
    <row r="8" spans="2:17" s="2646" customFormat="1" ht="20.100000000000001" customHeight="1">
      <c r="B8" s="2651"/>
      <c r="C8" s="2891" t="s">
        <v>2031</v>
      </c>
      <c r="D8" s="2892"/>
      <c r="E8" s="2893"/>
      <c r="F8" s="2888" t="s">
        <v>2041</v>
      </c>
      <c r="G8" s="2889"/>
      <c r="H8" s="2677"/>
      <c r="I8" s="2677"/>
      <c r="J8" s="2652"/>
      <c r="K8" s="2678"/>
      <c r="L8" s="2874"/>
      <c r="M8" s="2874"/>
      <c r="N8" s="2654"/>
      <c r="O8" s="2649"/>
      <c r="Q8" s="2650"/>
    </row>
    <row r="9" spans="2:17" s="2646" customFormat="1" ht="12">
      <c r="B9" s="2647"/>
      <c r="C9" s="2648"/>
      <c r="D9" s="2648"/>
      <c r="E9" s="2648"/>
      <c r="F9" s="2648"/>
      <c r="G9" s="2649"/>
      <c r="H9" s="2649"/>
      <c r="I9" s="2649"/>
      <c r="J9" s="2649"/>
      <c r="K9" s="2649"/>
      <c r="L9" s="2649"/>
      <c r="M9" s="2649"/>
      <c r="N9" s="2649"/>
      <c r="O9" s="2649"/>
      <c r="P9" s="2649"/>
      <c r="Q9" s="2650"/>
    </row>
    <row r="10" spans="2:17" s="2646" customFormat="1" ht="12">
      <c r="B10" s="2651"/>
      <c r="C10" s="2649" t="s">
        <v>2032</v>
      </c>
      <c r="D10" s="2648"/>
      <c r="E10" s="2648"/>
      <c r="F10" s="2648"/>
      <c r="G10" s="2648"/>
      <c r="H10" s="2648"/>
      <c r="I10" s="2649"/>
      <c r="J10" s="2649"/>
      <c r="K10" s="2649"/>
      <c r="L10" s="2649"/>
      <c r="M10" s="2649"/>
      <c r="N10" s="2649"/>
      <c r="O10" s="2649"/>
      <c r="P10" s="2649"/>
      <c r="Q10" s="2650"/>
    </row>
    <row r="11" spans="2:17" s="2646" customFormat="1" ht="30" customHeight="1">
      <c r="B11" s="2651"/>
      <c r="C11" s="2874"/>
      <c r="D11" s="2874"/>
      <c r="E11" s="2874"/>
      <c r="F11" s="2874"/>
      <c r="G11" s="2874"/>
      <c r="H11" s="2872" t="s">
        <v>2033</v>
      </c>
      <c r="I11" s="2873"/>
      <c r="J11" s="2638"/>
      <c r="K11" s="2638"/>
      <c r="L11" s="2638"/>
      <c r="M11" s="2638"/>
      <c r="N11" s="2649"/>
      <c r="O11" s="2649"/>
      <c r="P11" s="2649"/>
      <c r="Q11" s="2650"/>
    </row>
    <row r="12" spans="2:17" s="2646" customFormat="1" ht="20.100000000000001" customHeight="1">
      <c r="B12" s="2651"/>
      <c r="C12" s="2874" t="s">
        <v>2030</v>
      </c>
      <c r="D12" s="2874"/>
      <c r="E12" s="2874"/>
      <c r="F12" s="2874"/>
      <c r="G12" s="2874"/>
      <c r="H12" s="2875" t="s">
        <v>2034</v>
      </c>
      <c r="I12" s="2876"/>
      <c r="J12" s="2638"/>
      <c r="K12" s="2638"/>
      <c r="L12" s="2638"/>
      <c r="M12" s="2638"/>
      <c r="N12" s="2649"/>
      <c r="O12" s="2649"/>
      <c r="P12" s="2649"/>
      <c r="Q12" s="2650"/>
    </row>
    <row r="13" spans="2:17" s="2646" customFormat="1" ht="12">
      <c r="B13" s="2651"/>
      <c r="C13" s="2655"/>
      <c r="D13" s="2656"/>
      <c r="E13" s="2645"/>
      <c r="F13" s="2655"/>
      <c r="G13" s="2648"/>
      <c r="H13" s="2648"/>
      <c r="I13" s="2649"/>
      <c r="J13" s="2649"/>
      <c r="K13" s="2649"/>
      <c r="L13" s="2649"/>
      <c r="M13" s="2649"/>
      <c r="N13" s="2649"/>
      <c r="O13" s="2649"/>
      <c r="P13" s="2649"/>
      <c r="Q13" s="2650"/>
    </row>
    <row r="14" spans="2:17" s="2646" customFormat="1" ht="12">
      <c r="B14" s="2651"/>
      <c r="C14" s="2655" t="s">
        <v>2035</v>
      </c>
      <c r="D14" s="2656"/>
      <c r="E14" s="2645"/>
      <c r="F14" s="2655" t="s">
        <v>2042</v>
      </c>
      <c r="G14" s="2648"/>
      <c r="H14" s="2648"/>
      <c r="I14" s="2649"/>
      <c r="J14" s="2649"/>
      <c r="K14" s="2649"/>
      <c r="L14" s="2649"/>
      <c r="M14" s="2649"/>
      <c r="N14" s="2649"/>
      <c r="O14" s="2649"/>
      <c r="P14" s="2649"/>
      <c r="Q14" s="2650"/>
    </row>
    <row r="15" spans="2:17" s="2646" customFormat="1" ht="60" customHeight="1">
      <c r="B15" s="2651"/>
      <c r="C15" s="2872"/>
      <c r="D15" s="2877"/>
      <c r="E15" s="2877"/>
      <c r="F15" s="2877"/>
      <c r="G15" s="2873"/>
      <c r="H15" s="2676" t="s">
        <v>2045</v>
      </c>
      <c r="I15" s="2676" t="s">
        <v>2044</v>
      </c>
      <c r="J15" s="2664" t="s">
        <v>2051</v>
      </c>
      <c r="K15" s="2664" t="s">
        <v>2048</v>
      </c>
      <c r="L15" s="2654"/>
      <c r="M15" s="2649"/>
      <c r="N15" s="2649"/>
      <c r="Q15" s="2650"/>
    </row>
    <row r="16" spans="2:17" s="2646" customFormat="1" ht="20.100000000000001" customHeight="1">
      <c r="B16" s="2657"/>
      <c r="C16" s="2872" t="s">
        <v>2031</v>
      </c>
      <c r="D16" s="2877"/>
      <c r="E16" s="2877"/>
      <c r="F16" s="2877"/>
      <c r="G16" s="2873"/>
      <c r="H16" s="2678"/>
      <c r="I16" s="2678"/>
      <c r="J16" s="2678"/>
      <c r="K16" s="2678"/>
      <c r="L16" s="2654"/>
      <c r="M16" s="2649"/>
      <c r="N16" s="2649"/>
      <c r="Q16" s="2650"/>
    </row>
    <row r="17" spans="1:29" s="2663" customFormat="1" ht="30" customHeight="1">
      <c r="A17" s="2658"/>
      <c r="B17" s="2659"/>
      <c r="C17" s="2660"/>
      <c r="D17" s="2660"/>
      <c r="E17" s="2660"/>
      <c r="F17" s="2660"/>
      <c r="G17" s="2660"/>
      <c r="H17" s="2894" t="s">
        <v>2036</v>
      </c>
      <c r="I17" s="2894"/>
      <c r="J17" s="2894"/>
      <c r="K17" s="2894"/>
      <c r="L17" s="2895"/>
      <c r="M17" s="2895"/>
      <c r="N17" s="2895"/>
      <c r="O17" s="2661"/>
      <c r="P17" s="2661"/>
      <c r="Q17" s="2662"/>
    </row>
    <row r="18" spans="1:29" s="2646" customFormat="1" ht="12">
      <c r="B18" s="2651"/>
      <c r="C18" s="2655" t="s">
        <v>2037</v>
      </c>
      <c r="D18" s="2655"/>
      <c r="E18" s="2648"/>
      <c r="F18" s="2648"/>
      <c r="G18" s="2648"/>
      <c r="H18" s="2648"/>
      <c r="I18" s="2648"/>
      <c r="J18" s="2649"/>
      <c r="K18" s="2649"/>
      <c r="L18" s="2649"/>
      <c r="M18" s="2649"/>
      <c r="N18" s="2649"/>
      <c r="O18" s="2649"/>
      <c r="P18" s="2649"/>
      <c r="Q18" s="2650"/>
    </row>
    <row r="19" spans="1:29" s="2646" customFormat="1" ht="60" customHeight="1">
      <c r="B19" s="2651"/>
      <c r="C19" s="2870"/>
      <c r="D19" s="2870"/>
      <c r="E19" s="2870"/>
      <c r="F19" s="2870"/>
      <c r="G19" s="2870"/>
      <c r="H19" s="2676" t="s">
        <v>2045</v>
      </c>
      <c r="I19" s="2676" t="s">
        <v>2044</v>
      </c>
      <c r="J19" s="2675"/>
      <c r="K19" s="2664" t="s">
        <v>2048</v>
      </c>
      <c r="L19" s="2649"/>
      <c r="M19" s="2649"/>
      <c r="N19" s="2649"/>
      <c r="O19" s="2649"/>
      <c r="P19" s="2649"/>
      <c r="Q19" s="2650"/>
    </row>
    <row r="20" spans="1:29" s="2646" customFormat="1" ht="20.100000000000001" customHeight="1">
      <c r="B20" s="2651"/>
      <c r="C20" s="2871" t="s">
        <v>2031</v>
      </c>
      <c r="D20" s="2871"/>
      <c r="E20" s="2871"/>
      <c r="F20" s="2871"/>
      <c r="G20" s="2871"/>
      <c r="H20" s="2679"/>
      <c r="I20" s="2679"/>
      <c r="J20" s="2680"/>
      <c r="K20" s="2679"/>
      <c r="L20" s="2649"/>
      <c r="M20" s="2649"/>
      <c r="N20" s="2649"/>
      <c r="O20" s="2649"/>
      <c r="P20" s="2649"/>
      <c r="Q20" s="2650"/>
    </row>
    <row r="21" spans="1:29" s="2638" customFormat="1" hidden="1">
      <c r="B21" s="2644"/>
      <c r="C21" s="1884"/>
      <c r="D21" s="1884"/>
      <c r="E21" s="1884"/>
      <c r="F21" s="1884"/>
      <c r="G21" s="1884"/>
      <c r="H21" s="1884"/>
      <c r="I21" s="1884"/>
      <c r="J21" s="1884"/>
      <c r="K21" s="1884"/>
      <c r="L21" s="1884"/>
      <c r="M21" s="1884"/>
      <c r="N21" s="1884"/>
      <c r="O21" s="1884"/>
      <c r="P21" s="1884"/>
      <c r="Q21" s="1142"/>
    </row>
    <row r="22" spans="1:29" s="2638" customFormat="1" ht="14.25" thickBot="1">
      <c r="B22" s="2665"/>
      <c r="C22" s="2666"/>
      <c r="D22" s="2666"/>
      <c r="E22" s="2666"/>
      <c r="F22" s="2666"/>
      <c r="G22" s="2666"/>
      <c r="H22" s="2666"/>
      <c r="I22" s="2666"/>
      <c r="J22" s="2666"/>
      <c r="K22" s="2666"/>
      <c r="L22" s="2666"/>
      <c r="M22" s="2666"/>
      <c r="N22" s="2666"/>
      <c r="O22" s="2666"/>
      <c r="P22" s="2666"/>
      <c r="Q22" s="2667"/>
    </row>
    <row r="23" spans="1:29" s="2638" customFormat="1"/>
    <row r="24" spans="1:29" ht="9.75" customHeight="1" thickBot="1"/>
    <row r="25" spans="1:29" ht="25.5" customHeight="1">
      <c r="B25" s="2101"/>
      <c r="C25" s="2102" t="s">
        <v>1196</v>
      </c>
      <c r="D25" s="2103"/>
      <c r="E25" s="2103"/>
      <c r="F25" s="2104"/>
      <c r="G25" s="2104"/>
      <c r="H25" s="2105"/>
      <c r="I25" s="2103"/>
      <c r="J25" s="2106"/>
      <c r="K25" s="2106"/>
      <c r="L25" s="2106"/>
      <c r="M25" s="2107" t="s">
        <v>742</v>
      </c>
      <c r="N25" s="2108" t="str">
        <f>メイン!H11</f>
        <v>新ビル</v>
      </c>
      <c r="O25" s="2108"/>
      <c r="P25" s="2109"/>
      <c r="Q25" s="2110"/>
    </row>
    <row r="26" spans="1:29">
      <c r="B26" s="2111"/>
      <c r="C26" s="2112"/>
      <c r="D26" s="2112"/>
      <c r="E26" s="2112"/>
      <c r="F26" s="2112"/>
      <c r="G26" s="2112"/>
      <c r="H26" s="2112"/>
      <c r="I26" s="2112"/>
      <c r="J26" s="2112"/>
      <c r="K26" s="2112"/>
      <c r="L26" s="2112"/>
      <c r="M26" s="2112"/>
      <c r="N26" s="2112"/>
      <c r="O26" s="2112"/>
      <c r="P26" s="2112"/>
      <c r="Q26" s="2113"/>
      <c r="S26" t="s">
        <v>2054</v>
      </c>
      <c r="U26" s="2114" t="s">
        <v>1197</v>
      </c>
      <c r="V26" s="2072">
        <f>IF($I$29&lt;=W32,V33,IF($I$29&lt;=W31,V32,IF($I$29&lt;=W30,V31,IF($I$29&lt;=W29,V30,1))))</f>
        <v>1</v>
      </c>
      <c r="X26">
        <f>VLOOKUP($V$26,V29:Y33,3)</f>
        <v>0</v>
      </c>
      <c r="Y26">
        <f>VLOOKUP($V$26,V29:Y33,4)</f>
        <v>1</v>
      </c>
      <c r="Z26" s="2072">
        <f>IF($I$29&lt;=AA32,Z33,IF($I$29&lt;=AA31,Z32,IF($I$29&lt;=AA30,Z31,IF($I$29&lt;=AA29,Z30,1))))</f>
        <v>1</v>
      </c>
      <c r="AB26">
        <f>VLOOKUP($Z$26,Z29:AC33,3)</f>
        <v>0</v>
      </c>
      <c r="AC26">
        <f>VLOOKUP($Z$26,Z29:AC33,4)</f>
        <v>1</v>
      </c>
    </row>
    <row r="27" spans="1:29">
      <c r="B27" s="2111"/>
      <c r="C27" s="2112"/>
      <c r="D27" s="2112"/>
      <c r="E27" s="2112"/>
      <c r="F27" s="2112"/>
      <c r="G27" s="2112"/>
      <c r="H27" s="2112"/>
      <c r="I27" s="2115" t="s">
        <v>1198</v>
      </c>
      <c r="J27" s="2112"/>
      <c r="K27" s="2112"/>
      <c r="L27" s="2112"/>
      <c r="M27" s="2115" t="s">
        <v>1199</v>
      </c>
      <c r="N27" s="2112"/>
      <c r="O27" s="2112"/>
      <c r="P27" s="2112"/>
      <c r="Q27" s="2113"/>
      <c r="S27" t="s">
        <v>2055</v>
      </c>
      <c r="U27" s="2114" t="s">
        <v>1200</v>
      </c>
      <c r="V27" s="2072">
        <f>IF($I$29&lt;=W39,V39,IF($I$29&lt;=W38,V38,IF($I$29&lt;=W37,V37,1)))</f>
        <v>1</v>
      </c>
      <c r="Z27" s="2072">
        <f>IF($I$29&lt;=AA39,Z39,IF($I$29&lt;=AA38,Z38,IF($I$29&lt;=AA37,Z37,IF($I$29&lt;=AA36,Z36,1))))</f>
        <v>1</v>
      </c>
    </row>
    <row r="28" spans="1:29" ht="14.25" thickBot="1">
      <c r="B28" s="2111"/>
      <c r="C28" s="2116" t="s">
        <v>1201</v>
      </c>
      <c r="D28" s="2115" t="s">
        <v>1202</v>
      </c>
      <c r="E28" s="2112"/>
      <c r="F28" s="2112"/>
      <c r="G28" s="2112"/>
      <c r="H28" s="2112"/>
      <c r="I28" s="2112"/>
      <c r="J28" s="2112"/>
      <c r="K28" s="2112"/>
      <c r="L28" s="2112"/>
      <c r="M28" s="2112"/>
      <c r="N28" s="2112"/>
      <c r="O28" s="2112"/>
      <c r="P28" s="2112"/>
      <c r="Q28" s="2113"/>
      <c r="T28" t="s">
        <v>770</v>
      </c>
      <c r="U28" t="s">
        <v>1203</v>
      </c>
      <c r="V28" s="1" t="s">
        <v>1204</v>
      </c>
      <c r="W28" s="1" t="s">
        <v>1205</v>
      </c>
      <c r="X28" t="s">
        <v>1030</v>
      </c>
      <c r="Y28" t="s">
        <v>1031</v>
      </c>
      <c r="Z28" s="1" t="s">
        <v>1204</v>
      </c>
      <c r="AA28" s="1" t="s">
        <v>1715</v>
      </c>
      <c r="AB28" t="s">
        <v>1030</v>
      </c>
      <c r="AC28" t="s">
        <v>1031</v>
      </c>
    </row>
    <row r="29" spans="1:29" ht="14.25" thickBot="1">
      <c r="B29" s="2111"/>
      <c r="C29" s="2112"/>
      <c r="D29" s="2115"/>
      <c r="E29" s="2878" t="str">
        <f>F5 &amp; "での評価"</f>
        <v>BPI（標準法）での評価</v>
      </c>
      <c r="F29" s="2879"/>
      <c r="G29" s="2880"/>
      <c r="H29" s="2117" t="str">
        <f>IF(E29=S26,U26,U27)</f>
        <v>BPI=</v>
      </c>
      <c r="I29" s="2668" t="str">
        <f>IF(F5="BPI（標準法）",IF(OR(H5="",I5=""),"",I5/H5),IF(J5="","",J5))</f>
        <v/>
      </c>
      <c r="J29" s="2112"/>
      <c r="K29" s="2112"/>
      <c r="L29" s="2118" t="s">
        <v>1206</v>
      </c>
      <c r="M29" s="2669" t="str">
        <f>IF(H12="","",H12)</f>
        <v>等級4</v>
      </c>
      <c r="N29" s="2112"/>
      <c r="O29" s="2112"/>
      <c r="P29" s="2112"/>
      <c r="Q29" s="2113"/>
      <c r="T29" t="s">
        <v>188</v>
      </c>
      <c r="V29" s="1">
        <v>1</v>
      </c>
      <c r="W29" s="1">
        <v>1.03</v>
      </c>
      <c r="X29" s="2072">
        <v>0</v>
      </c>
      <c r="Y29" s="2072">
        <v>1</v>
      </c>
      <c r="Z29" s="1">
        <v>1</v>
      </c>
      <c r="AA29" s="1">
        <v>1.03</v>
      </c>
      <c r="AB29" s="2072">
        <v>0</v>
      </c>
      <c r="AC29" s="2072">
        <v>1</v>
      </c>
    </row>
    <row r="30" spans="1:29" ht="5.25" customHeight="1">
      <c r="B30" s="2111"/>
      <c r="C30" s="2112"/>
      <c r="D30" s="2112"/>
      <c r="E30" s="2112"/>
      <c r="F30" s="2112"/>
      <c r="G30" s="2112"/>
      <c r="H30" s="2112"/>
      <c r="I30" s="2112"/>
      <c r="J30" s="2112"/>
      <c r="K30" s="2112"/>
      <c r="L30" s="2112"/>
      <c r="M30" s="2112"/>
      <c r="N30" s="2112"/>
      <c r="O30" s="2112"/>
      <c r="P30" s="2112"/>
      <c r="Q30" s="2113"/>
      <c r="T30" t="s">
        <v>189</v>
      </c>
      <c r="V30" s="1">
        <v>2</v>
      </c>
      <c r="W30" s="1">
        <v>1</v>
      </c>
      <c r="X30">
        <f>(V30-V29)/(W30-W29)</f>
        <v>-33.3333333333333</v>
      </c>
      <c r="Y30">
        <f>V30-X30*W30</f>
        <v>35.3333333333333</v>
      </c>
      <c r="Z30" s="1">
        <v>2</v>
      </c>
      <c r="AA30" s="1">
        <v>1</v>
      </c>
      <c r="AB30">
        <f>(Z30-Z29)/(AA30-AA29)</f>
        <v>-33.3333333333333</v>
      </c>
      <c r="AC30">
        <f>Z30-AB30*AA30</f>
        <v>35.3333333333333</v>
      </c>
    </row>
    <row r="31" spans="1:29">
      <c r="B31" s="2111"/>
      <c r="C31" s="2112"/>
      <c r="D31" s="2112"/>
      <c r="E31" s="2112"/>
      <c r="F31" s="2112"/>
      <c r="G31" s="2112"/>
      <c r="H31" s="2112"/>
      <c r="I31" s="2120" t="str">
        <f>W28</f>
        <v>1～7地域</v>
      </c>
      <c r="J31" s="2120" t="str">
        <f>AA28</f>
        <v>８地域</v>
      </c>
      <c r="K31" s="2112"/>
      <c r="L31" s="2112"/>
      <c r="M31" s="2112"/>
      <c r="N31" s="2112"/>
      <c r="O31" s="2112"/>
      <c r="P31" s="2112"/>
      <c r="Q31" s="2113"/>
      <c r="T31" t="s">
        <v>190</v>
      </c>
      <c r="V31" s="1">
        <v>3</v>
      </c>
      <c r="W31" s="1">
        <v>0.97</v>
      </c>
      <c r="X31">
        <f>(V31-V30)/(W31-W30)</f>
        <v>-33.3333333333333</v>
      </c>
      <c r="Y31">
        <f>V31-X31*W31</f>
        <v>35.3333333333333</v>
      </c>
      <c r="Z31" s="1">
        <v>3</v>
      </c>
      <c r="AA31" s="1">
        <v>0.97</v>
      </c>
      <c r="AB31">
        <f>(Z31-Z30)/(AA31-AA30)</f>
        <v>-33.3333333333333</v>
      </c>
      <c r="AC31">
        <f>Z31-AB31*AA31</f>
        <v>35.3333333333333</v>
      </c>
    </row>
    <row r="32" spans="1:29">
      <c r="B32" s="2111"/>
      <c r="C32" s="2112"/>
      <c r="D32" s="2112"/>
      <c r="E32" s="2112"/>
      <c r="F32" s="2112" t="s">
        <v>1204</v>
      </c>
      <c r="G32" s="2112"/>
      <c r="H32" s="2118" t="s">
        <v>1207</v>
      </c>
      <c r="I32" s="2121" t="e">
        <f>IF(I29&lt;=0.8,5,I29*X26+Y26)</f>
        <v>#VALUE!</v>
      </c>
      <c r="J32" s="2121" t="e">
        <f>IF(I29&lt;=0.85,5,I29*AB26+AC26)</f>
        <v>#VALUE!</v>
      </c>
      <c r="K32" s="2112"/>
      <c r="L32" s="2112"/>
      <c r="M32" s="2112"/>
      <c r="N32" s="2112"/>
      <c r="O32" s="2112"/>
      <c r="P32" s="2112"/>
      <c r="Q32" s="2113"/>
      <c r="T32" t="s">
        <v>191</v>
      </c>
      <c r="V32" s="1">
        <v>4</v>
      </c>
      <c r="W32" s="1">
        <v>0.9</v>
      </c>
      <c r="X32">
        <f>(V32-V31)/(W32-W31)</f>
        <v>-14.285714285714295</v>
      </c>
      <c r="Y32">
        <f>V32-X32*W32</f>
        <v>16.857142857142868</v>
      </c>
      <c r="Z32" s="1">
        <v>4</v>
      </c>
      <c r="AA32" s="1">
        <v>0.93</v>
      </c>
      <c r="AB32">
        <f>(Z32-Z31)/(AA32-AA31)</f>
        <v>-25.000000000000046</v>
      </c>
      <c r="AC32">
        <f>Z32-AB32*AA32</f>
        <v>27.250000000000043</v>
      </c>
    </row>
    <row r="33" spans="2:29">
      <c r="B33" s="2111"/>
      <c r="C33" s="2112"/>
      <c r="D33" s="2112"/>
      <c r="E33" s="2112"/>
      <c r="F33" s="2112"/>
      <c r="G33" s="2112"/>
      <c r="H33" s="2118" t="s">
        <v>1208</v>
      </c>
      <c r="I33" s="2121">
        <f>V27</f>
        <v>1</v>
      </c>
      <c r="J33" s="2121">
        <f>Z27</f>
        <v>1</v>
      </c>
      <c r="K33" s="2112"/>
      <c r="L33" s="2112"/>
      <c r="M33" s="2112"/>
      <c r="N33" s="2112"/>
      <c r="O33" s="2112"/>
      <c r="P33" s="2112"/>
      <c r="Q33" s="2113"/>
      <c r="T33" t="s">
        <v>769</v>
      </c>
      <c r="V33" s="1">
        <v>5</v>
      </c>
      <c r="W33" s="1">
        <v>0.8</v>
      </c>
      <c r="X33">
        <f>(V33-V32)/(W33-W32)</f>
        <v>-10.000000000000002</v>
      </c>
      <c r="Y33">
        <f>V33-X33*W33</f>
        <v>13.000000000000002</v>
      </c>
      <c r="Z33" s="1">
        <v>5</v>
      </c>
      <c r="AA33" s="1">
        <v>0.85</v>
      </c>
      <c r="AB33">
        <f>(Z33-Z32)/(AA33-AA32)</f>
        <v>-12.499999999999989</v>
      </c>
      <c r="AC33">
        <f>Z33-AB33*AA33</f>
        <v>15.624999999999991</v>
      </c>
    </row>
    <row r="34" spans="2:29" ht="5.25" customHeight="1" thickBot="1">
      <c r="B34" s="2111"/>
      <c r="C34" s="2112"/>
      <c r="D34" s="2112"/>
      <c r="E34" s="2112"/>
      <c r="F34" s="2112"/>
      <c r="G34" s="2112"/>
      <c r="H34" s="2118"/>
      <c r="I34" s="2122"/>
      <c r="J34" s="2122"/>
      <c r="K34" s="2112"/>
      <c r="L34" s="2112"/>
      <c r="M34" s="2123"/>
      <c r="N34" s="2112"/>
      <c r="O34" s="2112"/>
      <c r="P34" s="2112"/>
      <c r="Q34" s="2113"/>
    </row>
    <row r="35" spans="2:29" ht="14.25" thickBot="1">
      <c r="B35" s="2111"/>
      <c r="C35" s="2112"/>
      <c r="D35" s="2112"/>
      <c r="E35" s="2115"/>
      <c r="F35" s="2112" t="s">
        <v>1209</v>
      </c>
      <c r="G35" s="2120" t="str">
        <f>メイン!H13</f>
        <v>６地域</v>
      </c>
      <c r="H35" s="2112"/>
      <c r="I35" s="2124">
        <f>IF(I29="",0,IF(E29=S26,IF(G35=AA28,J32,I32),IF(G35=AA28,J33,I33)))</f>
        <v>0</v>
      </c>
      <c r="J35" s="2112"/>
      <c r="K35" s="2112"/>
      <c r="L35" s="2112"/>
      <c r="M35" s="2124">
        <f>IF(M29="",$T33,IF(M29=T32,5,IF(M29=T31,3,IF(M29=T30,2,1))))</f>
        <v>5</v>
      </c>
      <c r="N35" s="2112"/>
      <c r="O35" s="2112"/>
      <c r="P35" s="2112"/>
      <c r="Q35" s="2113"/>
      <c r="U35" t="s">
        <v>1210</v>
      </c>
      <c r="V35" s="1" t="s">
        <v>1204</v>
      </c>
      <c r="W35" s="1" t="s">
        <v>1205</v>
      </c>
      <c r="Z35" s="1" t="s">
        <v>1204</v>
      </c>
      <c r="AA35" s="1" t="s">
        <v>1715</v>
      </c>
    </row>
    <row r="36" spans="2:29" ht="6.75" customHeight="1">
      <c r="B36" s="2111"/>
      <c r="C36" s="2112"/>
      <c r="D36" s="2112"/>
      <c r="E36" s="2115"/>
      <c r="F36" s="2112"/>
      <c r="G36" s="2112"/>
      <c r="H36" s="2112"/>
      <c r="I36" s="2112"/>
      <c r="J36" s="2112"/>
      <c r="K36" s="2112"/>
      <c r="L36" s="2112"/>
      <c r="M36" s="2112"/>
      <c r="N36" s="2112"/>
      <c r="O36" s="2112"/>
      <c r="P36" s="2112"/>
      <c r="Q36" s="2113"/>
      <c r="V36" s="1">
        <v>1</v>
      </c>
      <c r="W36" s="1"/>
      <c r="Z36" s="1">
        <v>1</v>
      </c>
      <c r="AA36" s="1"/>
    </row>
    <row r="37" spans="2:29">
      <c r="B37" s="2111"/>
      <c r="C37" s="2112"/>
      <c r="D37" s="2112"/>
      <c r="E37" s="2115"/>
      <c r="F37" s="2112"/>
      <c r="G37" s="2112"/>
      <c r="H37" s="2118" t="s">
        <v>1211</v>
      </c>
      <c r="I37" s="1874">
        <f>H117-H114</f>
        <v>11000</v>
      </c>
      <c r="J37" s="2112" t="s">
        <v>1212</v>
      </c>
      <c r="K37" s="2112"/>
      <c r="L37" s="2112"/>
      <c r="M37" s="1874">
        <f>M52+N52</f>
        <v>320</v>
      </c>
      <c r="N37" s="2112" t="s">
        <v>1213</v>
      </c>
      <c r="O37" s="2112"/>
      <c r="P37" s="2112"/>
      <c r="Q37" s="2113"/>
      <c r="V37" s="1">
        <v>2</v>
      </c>
      <c r="W37" s="1">
        <v>1</v>
      </c>
      <c r="Z37" s="1">
        <v>2</v>
      </c>
      <c r="AA37" s="1">
        <v>1</v>
      </c>
    </row>
    <row r="38" spans="2:29">
      <c r="B38" s="2111"/>
      <c r="C38" s="2112"/>
      <c r="D38" s="2112"/>
      <c r="E38" s="2115"/>
      <c r="F38" s="2112"/>
      <c r="G38" s="2112"/>
      <c r="H38" s="2118" t="s">
        <v>1214</v>
      </c>
      <c r="I38" s="2125">
        <f>IF(I37+M37=0,0,I37/(I37+M37))</f>
        <v>0.9717314487632509</v>
      </c>
      <c r="J38" s="2112"/>
      <c r="K38" s="2112"/>
      <c r="L38" s="2118"/>
      <c r="M38" s="2125">
        <f>IF(I37+M37=0,0,M37/(I37+M37))</f>
        <v>2.8268551236749116E-2</v>
      </c>
      <c r="N38" s="2112"/>
      <c r="O38" s="2112"/>
      <c r="P38" s="2112"/>
      <c r="Q38" s="2113"/>
      <c r="V38" s="1">
        <v>3</v>
      </c>
      <c r="W38" s="1">
        <v>0.97</v>
      </c>
      <c r="Z38" s="1">
        <v>3</v>
      </c>
      <c r="AA38" s="1">
        <v>0.97</v>
      </c>
    </row>
    <row r="39" spans="2:29" ht="4.5" customHeight="1" thickBot="1">
      <c r="B39" s="2111"/>
      <c r="C39" s="2112"/>
      <c r="D39" s="2112"/>
      <c r="E39" s="2115"/>
      <c r="F39" s="2112"/>
      <c r="G39" s="2112"/>
      <c r="H39" s="2112"/>
      <c r="I39" s="2112"/>
      <c r="J39" s="2112"/>
      <c r="K39" s="2112"/>
      <c r="L39" s="2112"/>
      <c r="M39" s="2112"/>
      <c r="N39" s="2112"/>
      <c r="O39" s="2112"/>
      <c r="P39" s="2112"/>
      <c r="Q39" s="2113"/>
      <c r="V39" s="1">
        <v>4</v>
      </c>
      <c r="W39" s="1">
        <v>0.9</v>
      </c>
      <c r="Z39" s="1">
        <v>4</v>
      </c>
      <c r="AA39" s="1">
        <v>0.93</v>
      </c>
    </row>
    <row r="40" spans="2:29" ht="14.25" thickBot="1">
      <c r="B40" s="2111"/>
      <c r="C40" s="2112"/>
      <c r="D40" s="2112"/>
      <c r="E40" s="2115" t="s">
        <v>1215</v>
      </c>
      <c r="F40" s="2112"/>
      <c r="G40" s="2112"/>
      <c r="H40" s="2118" t="s">
        <v>765</v>
      </c>
      <c r="I40" s="2126">
        <f>I35*I38+M35*M38</f>
        <v>0.14134275618374559</v>
      </c>
      <c r="J40" s="2112"/>
      <c r="K40" s="2112"/>
      <c r="L40" s="2112"/>
      <c r="M40" s="2112"/>
      <c r="N40" s="2112"/>
      <c r="O40" s="2112"/>
      <c r="P40" s="2112"/>
      <c r="Q40" s="2113"/>
      <c r="V40" s="1">
        <v>5</v>
      </c>
      <c r="W40" s="1"/>
      <c r="Z40" s="1">
        <v>5</v>
      </c>
      <c r="AA40" s="1"/>
    </row>
    <row r="41" spans="2:29">
      <c r="B41" s="2111"/>
      <c r="C41" s="2112"/>
      <c r="D41" s="2112"/>
      <c r="E41" s="2112"/>
      <c r="F41" s="2112"/>
      <c r="G41" s="2112"/>
      <c r="H41" s="2112"/>
      <c r="I41" s="2112"/>
      <c r="J41" s="2112"/>
      <c r="K41" s="2112"/>
      <c r="L41" s="2112"/>
      <c r="M41" s="2112"/>
      <c r="N41" s="2112"/>
      <c r="O41" s="2112"/>
      <c r="P41" s="2112"/>
      <c r="Q41" s="2113"/>
    </row>
    <row r="42" spans="2:29" hidden="1">
      <c r="B42" s="2111"/>
      <c r="C42" s="2112"/>
      <c r="D42" s="2127"/>
      <c r="E42" s="2115" t="s">
        <v>1216</v>
      </c>
      <c r="F42" s="2112"/>
      <c r="G42" s="2112"/>
      <c r="H42" s="2112"/>
      <c r="I42" s="2120" t="e">
        <f>IF(G35=W43,W48,V48)</f>
        <v>#VALUE!</v>
      </c>
      <c r="J42" s="2112" t="s">
        <v>1217</v>
      </c>
      <c r="K42" s="2112"/>
      <c r="L42" s="2112"/>
      <c r="M42" s="2112"/>
      <c r="N42" s="2112"/>
      <c r="O42" s="2112"/>
      <c r="P42" s="2112"/>
      <c r="Q42" s="2113"/>
      <c r="T42" t="s">
        <v>1218</v>
      </c>
      <c r="V42" s="2128" t="e">
        <f>(1-I29)*100</f>
        <v>#VALUE!</v>
      </c>
      <c r="Z42" t="e">
        <f>IF($I$42&gt;=AA48,Z48,IF($I$42&gt;=AA47,Z47,IF($I$42&gt;=AA46,Z46,IF($I$42&gt;=AA45,Z45,Z44))))</f>
        <v>#VALUE!</v>
      </c>
      <c r="AB42" t="e">
        <f>VLOOKUP($Z$42,Z44:AC48,3)</f>
        <v>#VALUE!</v>
      </c>
      <c r="AC42" t="e">
        <f>VLOOKUP($Z$42,Z44:AC48,4)</f>
        <v>#VALUE!</v>
      </c>
    </row>
    <row r="43" spans="2:29" ht="13.5" hidden="1" customHeight="1">
      <c r="B43" s="2111"/>
      <c r="C43" s="2112"/>
      <c r="D43" s="2127"/>
      <c r="E43" s="2112"/>
      <c r="F43" s="2112"/>
      <c r="G43" s="2112"/>
      <c r="H43" s="2112"/>
      <c r="I43" s="2112"/>
      <c r="J43" s="2112"/>
      <c r="K43" s="2112"/>
      <c r="L43" s="2112"/>
      <c r="M43" s="2112"/>
      <c r="N43" s="2112"/>
      <c r="O43" s="2112"/>
      <c r="P43" s="2112"/>
      <c r="Q43" s="2113"/>
      <c r="V43" s="1" t="s">
        <v>1205</v>
      </c>
      <c r="W43" s="1" t="s">
        <v>1193</v>
      </c>
      <c r="Z43" s="1" t="s">
        <v>1204</v>
      </c>
      <c r="AA43" s="1" t="s">
        <v>1219</v>
      </c>
      <c r="AB43" t="s">
        <v>1030</v>
      </c>
      <c r="AC43" t="s">
        <v>1031</v>
      </c>
    </row>
    <row r="44" spans="2:29" ht="14.25" hidden="1" thickBot="1">
      <c r="B44" s="2111"/>
      <c r="C44" s="2112"/>
      <c r="D44" s="2127"/>
      <c r="E44" s="2112"/>
      <c r="F44" s="2112"/>
      <c r="G44" s="2112"/>
      <c r="H44" s="2112"/>
      <c r="I44" s="2124" t="e">
        <f>IF(I42&gt;=35,5,I42*AB42+AC42)</f>
        <v>#VALUE!</v>
      </c>
      <c r="J44" s="2112"/>
      <c r="K44" s="2112"/>
      <c r="L44" s="2112"/>
      <c r="M44" s="2112"/>
      <c r="N44" s="2112"/>
      <c r="O44" s="2112"/>
      <c r="P44" s="2112"/>
      <c r="Q44" s="2113"/>
      <c r="U44" s="1815" t="s">
        <v>1220</v>
      </c>
      <c r="V44" s="1" t="e">
        <f>2*V42</f>
        <v>#VALUE!</v>
      </c>
      <c r="W44" s="2129" t="e">
        <f>2*V42</f>
        <v>#VALUE!</v>
      </c>
      <c r="Z44" s="1">
        <v>1</v>
      </c>
      <c r="AA44" s="1">
        <v>-5</v>
      </c>
      <c r="AB44">
        <f>(Z45-Z44)/(AA45-AA44)</f>
        <v>0.2</v>
      </c>
      <c r="AC44">
        <f>Z45-AB44*AA45</f>
        <v>2</v>
      </c>
    </row>
    <row r="45" spans="2:29" ht="13.5" hidden="1" customHeight="1">
      <c r="B45" s="2111"/>
      <c r="C45" s="2112"/>
      <c r="D45" s="2112"/>
      <c r="E45" s="2112"/>
      <c r="F45" s="2112"/>
      <c r="G45" s="2112"/>
      <c r="H45" s="2112"/>
      <c r="I45" s="2112"/>
      <c r="J45" s="2112"/>
      <c r="K45" s="2112"/>
      <c r="L45" s="2112"/>
      <c r="M45" s="2112"/>
      <c r="N45" s="2112"/>
      <c r="O45" s="2112"/>
      <c r="P45" s="2112"/>
      <c r="Q45" s="2113"/>
      <c r="U45" s="1815" t="s">
        <v>1221</v>
      </c>
      <c r="V45" s="2129" t="e">
        <f>1.3*V42+1.7</f>
        <v>#VALUE!</v>
      </c>
      <c r="W45" s="2098" t="e">
        <f>2*V42</f>
        <v>#VALUE!</v>
      </c>
      <c r="Z45" s="1">
        <v>2</v>
      </c>
      <c r="AA45" s="1">
        <v>0</v>
      </c>
      <c r="AB45">
        <f>(Z46-Z45)/(AA46-AA45)</f>
        <v>0.2</v>
      </c>
      <c r="AC45">
        <f>Z46-AB45*AA46</f>
        <v>2</v>
      </c>
    </row>
    <row r="46" spans="2:29" ht="14.25" thickBot="1">
      <c r="B46" s="2111"/>
      <c r="C46" s="2116" t="s">
        <v>1222</v>
      </c>
      <c r="D46" s="2115" t="s">
        <v>1223</v>
      </c>
      <c r="E46" s="2112"/>
      <c r="F46" s="2112"/>
      <c r="G46" s="2112"/>
      <c r="H46" s="2112"/>
      <c r="I46" s="2112"/>
      <c r="J46" s="2112"/>
      <c r="K46" s="2112"/>
      <c r="L46" s="2112"/>
      <c r="M46" s="2112"/>
      <c r="N46" s="2112"/>
      <c r="O46" s="2112"/>
      <c r="P46" s="2112"/>
      <c r="Q46" s="2113"/>
      <c r="U46" s="1815" t="s">
        <v>1224</v>
      </c>
      <c r="V46" s="2098" t="e">
        <f>1.3*V42+1.7</f>
        <v>#VALUE!</v>
      </c>
      <c r="W46" s="2129" t="e">
        <f>2.7*V42-5.2</f>
        <v>#VALUE!</v>
      </c>
      <c r="Z46" s="1">
        <v>3</v>
      </c>
      <c r="AA46" s="1">
        <v>5</v>
      </c>
      <c r="AB46">
        <f>(Z47-Z46)/(AA47-AA46)</f>
        <v>0.1</v>
      </c>
      <c r="AC46">
        <f>Z47-AB46*AA47</f>
        <v>2.5</v>
      </c>
    </row>
    <row r="47" spans="2:29" ht="14.25" thickBot="1">
      <c r="B47" s="2111"/>
      <c r="C47" s="2116"/>
      <c r="D47" s="2115"/>
      <c r="E47" s="2881" t="str">
        <f>F8 &amp; "での評価"</f>
        <v>BEI（標準法）での評価</v>
      </c>
      <c r="F47" s="2882"/>
      <c r="G47" s="2883"/>
      <c r="H47" s="2112"/>
      <c r="I47" s="2115" t="s">
        <v>1198</v>
      </c>
      <c r="J47" s="2112"/>
      <c r="K47" s="2112"/>
      <c r="L47" s="2112"/>
      <c r="M47" s="2115" t="s">
        <v>1136</v>
      </c>
      <c r="N47" s="2115" t="s">
        <v>1225</v>
      </c>
      <c r="O47" s="2112"/>
      <c r="P47" s="2112"/>
      <c r="Q47" s="2130"/>
      <c r="U47" s="1815" t="s">
        <v>1226</v>
      </c>
      <c r="V47" s="1" t="e">
        <f>2*V42-5</f>
        <v>#VALUE!</v>
      </c>
      <c r="W47" s="2098" t="e">
        <f>2.7*V42-5.2</f>
        <v>#VALUE!</v>
      </c>
      <c r="Z47" s="1">
        <v>4</v>
      </c>
      <c r="AA47" s="1">
        <v>15</v>
      </c>
      <c r="AB47">
        <f>(Z48-Z47)/(AA48-AA47)</f>
        <v>0.05</v>
      </c>
      <c r="AC47">
        <f>Z48-AB47*AA48</f>
        <v>3.25</v>
      </c>
    </row>
    <row r="48" spans="2:29" ht="14.25" thickBot="1">
      <c r="B48" s="2111"/>
      <c r="C48" s="2112"/>
      <c r="D48" s="2115"/>
      <c r="E48" s="2115"/>
      <c r="F48" s="2115"/>
      <c r="G48" s="2115"/>
      <c r="H48" s="2131" t="s">
        <v>1227</v>
      </c>
      <c r="I48" s="2668" t="str">
        <f>IF(F8="BEI（標準法）","",IF(J8="","",J8))</f>
        <v/>
      </c>
      <c r="J48" s="2112"/>
      <c r="K48" s="2112"/>
      <c r="L48" s="2131" t="s">
        <v>1228</v>
      </c>
      <c r="M48" s="2125" t="str">
        <f>M67</f>
        <v>-</v>
      </c>
      <c r="N48" s="2132">
        <f>IF(N62=0,0,(N64-N63)/(N62-N63))</f>
        <v>0</v>
      </c>
      <c r="O48" s="2112" t="s">
        <v>1229</v>
      </c>
      <c r="P48" s="2112"/>
      <c r="Q48" s="2113"/>
      <c r="V48" t="e">
        <f>IF($V$42&lt;2.5,V44,IF($V$42&lt;7.5,V45,IF($V$42&lt;10,V46,V47)))</f>
        <v>#VALUE!</v>
      </c>
      <c r="W48" t="e">
        <f>IF($V$42&lt;2.5,W44,IF($V$42&lt;7.5,W45,IF($V$42&lt;10,W46,W47)))</f>
        <v>#VALUE!</v>
      </c>
      <c r="Z48" s="1">
        <v>5</v>
      </c>
      <c r="AA48" s="1">
        <v>35</v>
      </c>
    </row>
    <row r="49" spans="2:29" ht="14.25" thickBot="1">
      <c r="B49" s="2111"/>
      <c r="C49" s="2112"/>
      <c r="D49" s="2115"/>
      <c r="E49" s="2112"/>
      <c r="F49" s="2115"/>
      <c r="G49" s="2112"/>
      <c r="H49" s="2131" t="s">
        <v>1230</v>
      </c>
      <c r="I49" s="2668" t="str">
        <f>IF(F8="BEI（標準法）","",IF(L8="","",L8))</f>
        <v/>
      </c>
      <c r="J49" s="2115"/>
      <c r="K49" s="2112"/>
      <c r="L49" s="2115"/>
      <c r="M49" s="2112"/>
      <c r="N49" s="2115"/>
      <c r="O49" s="2112"/>
      <c r="P49" s="2115"/>
      <c r="Q49" s="2113"/>
    </row>
    <row r="50" spans="2:29" ht="14.25" thickBot="1">
      <c r="B50" s="2111"/>
      <c r="C50" s="2112"/>
      <c r="D50" s="2115"/>
      <c r="E50" s="2115"/>
      <c r="F50" s="2112"/>
      <c r="G50" s="2112"/>
      <c r="H50" s="2112"/>
      <c r="I50" s="2124">
        <f>IF($I$48&lt;=W62,V62,IF($I$48&lt;=W61,V61,IF($I$48&lt;=W60,V60,V59)))</f>
        <v>1</v>
      </c>
      <c r="J50" s="2112"/>
      <c r="K50" s="2112"/>
      <c r="L50" s="2112"/>
      <c r="M50" s="2124">
        <f>IF(OR(M48=0,M48="-"),0,IF(M48&lt;=W63,5,IF(M48&gt;W59,1,M48*X65+Y65)))</f>
        <v>0</v>
      </c>
      <c r="N50" s="2124">
        <f>IF(N84=T82,IF(N48=0,0,IF(N48&lt;=AA63,5,IF(N48&gt;AA59,1,N48*AB50+AC50))),N84)</f>
        <v>0</v>
      </c>
      <c r="O50" s="2112"/>
      <c r="P50" s="2115"/>
      <c r="Q50" s="2113"/>
      <c r="S50" s="2638" t="s">
        <v>2038</v>
      </c>
      <c r="V50" s="2133">
        <f>IF($I$67&lt;=W63,V63,IF($I$67&lt;=W62,V62,IF($I$67&lt;=W61,V61,IF($I$67&lt;=W60,V60,V59))))</f>
        <v>1</v>
      </c>
      <c r="X50">
        <f>VLOOKUP($V$50,V59:Y63,3)</f>
        <v>-19.999999999999982</v>
      </c>
      <c r="Y50">
        <f>VLOOKUP($V$50,V59:Y63,4)</f>
        <v>22.999999999999982</v>
      </c>
      <c r="Z50">
        <f>IF($N$48&lt;=AA63,Z63,IF($N$48&lt;=AA62,Z62,IF($N$48&lt;=AA61,Z61,IF($N$48&lt;=AA60,Z60))))</f>
        <v>5</v>
      </c>
      <c r="AB50">
        <f>VLOOKUP($Z$50,Z59:AC63,3)</f>
        <v>0</v>
      </c>
      <c r="AC50">
        <f>VLOOKUP($Z$50,Z59:AC63,4)</f>
        <v>0</v>
      </c>
    </row>
    <row r="51" spans="2:29">
      <c r="B51" s="2111"/>
      <c r="C51" s="2112"/>
      <c r="D51" s="2115"/>
      <c r="E51" s="2112"/>
      <c r="F51" s="2115"/>
      <c r="G51" s="2112"/>
      <c r="H51" s="2115"/>
      <c r="I51" s="2112"/>
      <c r="J51" s="2115"/>
      <c r="K51" s="2112"/>
      <c r="L51" s="2115"/>
      <c r="M51" s="2112"/>
      <c r="N51" s="2115"/>
      <c r="O51" s="2112"/>
      <c r="P51" s="2115"/>
      <c r="Q51" s="2113"/>
      <c r="S51" s="2638" t="s">
        <v>2039</v>
      </c>
    </row>
    <row r="52" spans="2:29">
      <c r="B52" s="2111"/>
      <c r="C52" s="2112"/>
      <c r="D52" s="2115"/>
      <c r="E52" s="2115"/>
      <c r="F52" s="2115"/>
      <c r="G52" s="2112"/>
      <c r="H52" s="2118" t="s">
        <v>1211</v>
      </c>
      <c r="I52" s="1874">
        <f>H117</f>
        <v>15000</v>
      </c>
      <c r="J52" s="2112" t="s">
        <v>1213</v>
      </c>
      <c r="K52" s="2112"/>
      <c r="L52" s="2112"/>
      <c r="M52" s="1874">
        <f>メイン!J70</f>
        <v>20</v>
      </c>
      <c r="N52" s="1874">
        <f>メイン!J69</f>
        <v>300</v>
      </c>
      <c r="O52" s="2112"/>
      <c r="P52" s="2115"/>
      <c r="Q52" s="2113"/>
    </row>
    <row r="53" spans="2:29" ht="14.25" thickBot="1">
      <c r="B53" s="2111"/>
      <c r="C53" s="2112"/>
      <c r="D53" s="2115"/>
      <c r="E53" s="2112"/>
      <c r="F53" s="2115"/>
      <c r="G53" s="2112"/>
      <c r="H53" s="2115"/>
      <c r="I53" s="2112"/>
      <c r="J53" s="2115"/>
      <c r="K53" s="2112"/>
      <c r="L53" s="2115"/>
      <c r="M53" s="2112"/>
      <c r="N53" s="2115"/>
      <c r="O53" s="2112"/>
      <c r="P53" s="2115"/>
      <c r="Q53" s="2113"/>
    </row>
    <row r="54" spans="2:29" ht="14.25" thickBot="1">
      <c r="B54" s="2111"/>
      <c r="C54" s="2112"/>
      <c r="D54" s="2115"/>
      <c r="E54" s="2115" t="s">
        <v>1231</v>
      </c>
      <c r="F54" s="2115"/>
      <c r="G54" s="2112"/>
      <c r="H54" s="2115"/>
      <c r="I54" s="2124">
        <f>IF(AND(I48=0,I67="-"),0,IF(E47=S51,I50,IF(I67&lt;=W63,5,IF(I67&gt;W59,1,I67*X50+Y50))))</f>
        <v>1</v>
      </c>
      <c r="J54" s="2115"/>
      <c r="K54" s="2112"/>
      <c r="L54" s="2115"/>
      <c r="M54" s="2124">
        <f>IF(M52+N52=0,0,M50*M52/M37+N50*N52/M37)</f>
        <v>0</v>
      </c>
      <c r="N54" s="2115"/>
      <c r="O54" s="2112"/>
      <c r="P54" s="2115"/>
      <c r="Q54" s="2113"/>
    </row>
    <row r="55" spans="2:29" ht="14.25" hidden="1" thickBot="1">
      <c r="B55" s="2111"/>
      <c r="C55" s="2112"/>
      <c r="D55" s="2115"/>
      <c r="E55" s="2112" t="s">
        <v>1232</v>
      </c>
      <c r="F55" s="2115"/>
      <c r="G55" s="2112"/>
      <c r="H55" s="2112" t="s">
        <v>1233</v>
      </c>
      <c r="I55" s="2124"/>
      <c r="J55" s="2115"/>
      <c r="K55" s="2112"/>
      <c r="L55" s="2115"/>
      <c r="M55" s="2123"/>
      <c r="N55" s="2115"/>
      <c r="O55" s="2112"/>
      <c r="P55" s="2115"/>
      <c r="Q55" s="2113"/>
    </row>
    <row r="56" spans="2:29" ht="14.25" hidden="1" thickBot="1">
      <c r="B56" s="2111"/>
      <c r="C56" s="2112"/>
      <c r="D56" s="2115"/>
      <c r="E56" s="2112"/>
      <c r="F56" s="2115"/>
      <c r="G56" s="2112"/>
      <c r="H56" s="2112" t="s">
        <v>1234</v>
      </c>
      <c r="I56" s="2124">
        <f>I54</f>
        <v>1</v>
      </c>
      <c r="J56" s="2115"/>
      <c r="K56" s="2112"/>
      <c r="L56" s="2115"/>
      <c r="M56" s="2112"/>
      <c r="N56" s="2115"/>
      <c r="O56" s="2112"/>
      <c r="P56" s="2115"/>
      <c r="Q56" s="2113"/>
    </row>
    <row r="57" spans="2:29" ht="14.25" thickBot="1">
      <c r="B57" s="2111"/>
      <c r="C57" s="2112"/>
      <c r="D57" s="2115"/>
      <c r="E57" s="2112"/>
      <c r="F57" s="2115"/>
      <c r="G57" s="2112"/>
      <c r="H57" s="2115"/>
      <c r="I57" s="2126">
        <f>I54*I52/($I$52+$M$52+$N$52)+M54*(M52+N52)/($I$52+$M$52+$N$52)</f>
        <v>0.97911227154046998</v>
      </c>
      <c r="J57" s="2115"/>
      <c r="K57" s="2112"/>
      <c r="L57" s="2115"/>
      <c r="M57" s="2112"/>
      <c r="N57" s="2115"/>
      <c r="O57" s="2112"/>
      <c r="P57" s="2115"/>
      <c r="Q57" s="2113"/>
    </row>
    <row r="58" spans="2:29" hidden="1">
      <c r="B58" s="2111"/>
      <c r="C58" s="2112"/>
      <c r="D58" s="2115"/>
      <c r="E58" s="2112"/>
      <c r="F58" s="2115"/>
      <c r="G58" s="2112"/>
      <c r="H58" s="2115"/>
      <c r="I58" s="2112"/>
      <c r="J58" s="2115"/>
      <c r="K58" s="2112"/>
      <c r="L58" s="2115"/>
      <c r="M58" s="2112"/>
      <c r="N58" s="2115"/>
      <c r="O58" s="2112"/>
      <c r="P58" s="2115"/>
      <c r="Q58" s="2113"/>
      <c r="V58" s="1" t="s">
        <v>1204</v>
      </c>
      <c r="W58" s="1" t="s">
        <v>764</v>
      </c>
      <c r="X58" t="s">
        <v>1030</v>
      </c>
      <c r="Y58" t="s">
        <v>1031</v>
      </c>
      <c r="Z58" s="1" t="s">
        <v>1204</v>
      </c>
      <c r="AA58" s="1" t="s">
        <v>1135</v>
      </c>
      <c r="AB58" t="s">
        <v>1030</v>
      </c>
      <c r="AC58" t="s">
        <v>1031</v>
      </c>
    </row>
    <row r="59" spans="2:29" hidden="1">
      <c r="B59" s="2111"/>
      <c r="C59" s="2112"/>
      <c r="D59" s="2134"/>
      <c r="E59" s="2115" t="s">
        <v>1235</v>
      </c>
      <c r="F59" s="2115"/>
      <c r="G59" s="2115"/>
      <c r="H59" s="2115"/>
      <c r="I59" s="2135" t="e">
        <f>-100*I48+105</f>
        <v>#VALUE!</v>
      </c>
      <c r="J59" s="2115" t="s">
        <v>1217</v>
      </c>
      <c r="K59" s="2112"/>
      <c r="L59" s="2115"/>
      <c r="M59" s="2135" t="e">
        <f>-100*M48+105</f>
        <v>#VALUE!</v>
      </c>
      <c r="N59" s="2115" t="s">
        <v>1217</v>
      </c>
      <c r="O59" s="2112"/>
      <c r="P59" s="2115"/>
      <c r="Q59" s="2113"/>
      <c r="V59" s="1">
        <v>1</v>
      </c>
      <c r="W59" s="1">
        <v>1.1000000000000001</v>
      </c>
      <c r="X59">
        <f>(V60-V59)/(W60-W59)</f>
        <v>-19.999999999999982</v>
      </c>
      <c r="Y59">
        <f>V60-X59*W60</f>
        <v>22.999999999999982</v>
      </c>
      <c r="Z59" s="1">
        <v>1</v>
      </c>
      <c r="AA59" s="1">
        <v>1.3</v>
      </c>
      <c r="AB59">
        <f>(Z60-Z59)/(AA60-AA59)</f>
        <v>-9.9999999999999911</v>
      </c>
      <c r="AC59">
        <f>Z60-AB59*AA60</f>
        <v>13.999999999999989</v>
      </c>
    </row>
    <row r="60" spans="2:29" ht="14.25" hidden="1" thickBot="1">
      <c r="B60" s="2111"/>
      <c r="C60" s="2112"/>
      <c r="D60" s="2134"/>
      <c r="E60" s="2112"/>
      <c r="F60" s="2115"/>
      <c r="G60" s="2112"/>
      <c r="H60" s="2115"/>
      <c r="I60" s="2124" t="e">
        <f>IF(I48=0,"-",IF(I59&gt;=W73,5,I59*X67+Y67))</f>
        <v>#VALUE!</v>
      </c>
      <c r="J60" s="2115"/>
      <c r="K60" s="2112"/>
      <c r="L60" s="2115"/>
      <c r="M60" s="2124" t="e">
        <f>IF(M48=0,"-",IF(M59&gt;=AA73,5,M59*AB67+AC67))</f>
        <v>#VALUE!</v>
      </c>
      <c r="N60" s="2136"/>
      <c r="O60" s="2112"/>
      <c r="P60" s="2115"/>
      <c r="Q60" s="2113"/>
      <c r="S60">
        <v>1</v>
      </c>
      <c r="V60" s="1">
        <v>2</v>
      </c>
      <c r="W60" s="1">
        <v>1.05</v>
      </c>
      <c r="X60">
        <f>(V61-V60)/(W61-W60)</f>
        <v>-19.999999999999982</v>
      </c>
      <c r="Y60">
        <f>V61-X60*W61</f>
        <v>22.999999999999982</v>
      </c>
      <c r="Z60" s="1">
        <v>2</v>
      </c>
      <c r="AA60" s="1">
        <v>1.2</v>
      </c>
      <c r="AB60">
        <f>(Z61-Z60)/(AA61-AA60)</f>
        <v>-10.000000000000014</v>
      </c>
      <c r="AC60">
        <f>Z61-AB60*AA61</f>
        <v>14.000000000000016</v>
      </c>
    </row>
    <row r="61" spans="2:29" ht="14.25" thickBot="1">
      <c r="B61" s="2111"/>
      <c r="C61" s="2112"/>
      <c r="D61" s="2115"/>
      <c r="E61" s="2112"/>
      <c r="F61" s="2115"/>
      <c r="G61" s="2112"/>
      <c r="H61" s="2115"/>
      <c r="I61" s="2112"/>
      <c r="J61" s="2115"/>
      <c r="K61" s="2112"/>
      <c r="L61" s="2115"/>
      <c r="M61" s="2112"/>
      <c r="N61" s="2115"/>
      <c r="O61" s="2112"/>
      <c r="P61" s="2115"/>
      <c r="Q61" s="2113"/>
      <c r="S61">
        <v>2</v>
      </c>
      <c r="V61" s="1">
        <v>3</v>
      </c>
      <c r="W61" s="1">
        <v>1</v>
      </c>
      <c r="X61">
        <f>(V62-V61)/(W62-W61)</f>
        <v>-10.000000000000002</v>
      </c>
      <c r="Y61">
        <f>V62-X61*W62</f>
        <v>13.000000000000002</v>
      </c>
      <c r="Z61" s="1">
        <v>3</v>
      </c>
      <c r="AA61" s="1">
        <v>1.1000000000000001</v>
      </c>
      <c r="AB61">
        <f>(Z62-Z61)/(AA62-AA61)</f>
        <v>-9.9999999999999911</v>
      </c>
      <c r="AC61">
        <f>Z62-AB61*AA62</f>
        <v>13.999999999999991</v>
      </c>
    </row>
    <row r="62" spans="2:29">
      <c r="B62" s="2111"/>
      <c r="C62" s="2112"/>
      <c r="D62" s="99" t="s">
        <v>1236</v>
      </c>
      <c r="E62" s="2112"/>
      <c r="F62" s="2112"/>
      <c r="G62" s="2112"/>
      <c r="H62" s="2112"/>
      <c r="I62" s="2670">
        <f>IF(F8="BEI（標準法）",IF(H8="",0,H8),0)</f>
        <v>0</v>
      </c>
      <c r="J62" s="2112" t="s">
        <v>1237</v>
      </c>
      <c r="K62" s="2112"/>
      <c r="L62" s="2112"/>
      <c r="M62" s="2670">
        <f>IF(H20="",0,H20)</f>
        <v>0</v>
      </c>
      <c r="N62" s="2670">
        <f>IF(H16="",0,H16)</f>
        <v>0</v>
      </c>
      <c r="O62" s="2112" t="s">
        <v>1237</v>
      </c>
      <c r="P62" s="2112"/>
      <c r="Q62" s="2113"/>
      <c r="S62">
        <v>3</v>
      </c>
      <c r="V62" s="1">
        <v>4</v>
      </c>
      <c r="W62" s="1">
        <v>0.9</v>
      </c>
      <c r="X62">
        <f>(V63-V62)/(W63-W62)</f>
        <v>-4.9999999999999982</v>
      </c>
      <c r="Y62">
        <f>V63-X62*W63</f>
        <v>8.4999999999999982</v>
      </c>
      <c r="Z62" s="1">
        <v>4</v>
      </c>
      <c r="AA62" s="1">
        <v>1</v>
      </c>
      <c r="AB62">
        <f>(Z63-Z62)/(AA63-AA62)</f>
        <v>-10.000000000000002</v>
      </c>
      <c r="AC62">
        <f>Z63-AB62*AA63</f>
        <v>14.000000000000002</v>
      </c>
    </row>
    <row r="63" spans="2:29">
      <c r="B63" s="2111"/>
      <c r="C63" s="2112"/>
      <c r="D63" s="99"/>
      <c r="E63" s="2112" t="s">
        <v>1238</v>
      </c>
      <c r="F63" s="2112"/>
      <c r="G63" s="2112"/>
      <c r="H63" s="2112"/>
      <c r="I63" s="2138"/>
      <c r="J63" s="2112"/>
      <c r="K63" s="2112"/>
      <c r="L63" s="2112"/>
      <c r="M63" s="2138"/>
      <c r="N63" s="2673">
        <f>IF(J16="",0,J16)</f>
        <v>0</v>
      </c>
      <c r="O63" s="2112" t="s">
        <v>1239</v>
      </c>
      <c r="P63" s="2112"/>
      <c r="Q63" s="2113"/>
      <c r="S63">
        <v>4</v>
      </c>
      <c r="V63" s="1">
        <v>5</v>
      </c>
      <c r="W63" s="1">
        <v>0.7</v>
      </c>
      <c r="Z63" s="1">
        <v>5</v>
      </c>
      <c r="AA63" s="1">
        <v>0.9</v>
      </c>
    </row>
    <row r="64" spans="2:29">
      <c r="B64" s="2111"/>
      <c r="C64" s="2112"/>
      <c r="D64" s="99" t="s">
        <v>1240</v>
      </c>
      <c r="E64" s="2112"/>
      <c r="F64" s="2112"/>
      <c r="G64" s="2112"/>
      <c r="H64" s="2112"/>
      <c r="I64" s="2671">
        <f>IF(F8="BEI（標準法）",IF(I8="",0,I8),0)</f>
        <v>0</v>
      </c>
      <c r="J64" s="2112"/>
      <c r="K64" s="2112"/>
      <c r="L64" s="2112"/>
      <c r="M64" s="2671">
        <f>IF(I20="",0,I20)</f>
        <v>0</v>
      </c>
      <c r="N64" s="2671">
        <f>IF(I16="",0,I16)</f>
        <v>0</v>
      </c>
      <c r="O64" s="2112"/>
      <c r="P64" s="2112"/>
      <c r="Q64" s="2113"/>
      <c r="S64">
        <v>5</v>
      </c>
    </row>
    <row r="65" spans="2:29">
      <c r="B65" s="2111"/>
      <c r="C65" s="2112"/>
      <c r="D65" s="99" t="s">
        <v>1241</v>
      </c>
      <c r="E65" s="2112"/>
      <c r="F65" s="2112"/>
      <c r="G65" s="2112"/>
      <c r="H65" s="2112"/>
      <c r="I65" s="2671">
        <f>I64+I66</f>
        <v>0</v>
      </c>
      <c r="J65" s="2112"/>
      <c r="K65" s="2112"/>
      <c r="L65" s="2112"/>
      <c r="M65" s="2671">
        <f>M64+M66</f>
        <v>0</v>
      </c>
      <c r="N65" s="2671">
        <f>N64+N66</f>
        <v>0</v>
      </c>
      <c r="O65" s="2112"/>
      <c r="P65" s="2112"/>
      <c r="Q65" s="2113"/>
      <c r="U65" t="s">
        <v>774</v>
      </c>
      <c r="V65">
        <f>IF($M$48&lt;=W63,V63,IF($M$48&lt;=W62,V62,IF($M$48&lt;=W61,V61,IF($M$48&lt;=W60,V60,V59))))</f>
        <v>1</v>
      </c>
      <c r="X65">
        <f>VLOOKUP($V$65,V59:Y63,3)</f>
        <v>-19.999999999999982</v>
      </c>
      <c r="Y65">
        <f>VLOOKUP($V$65,V59:Y63,4)</f>
        <v>22.999999999999982</v>
      </c>
    </row>
    <row r="66" spans="2:29" ht="14.25" thickBot="1">
      <c r="B66" s="2111"/>
      <c r="C66" s="2112"/>
      <c r="D66" s="99" t="s">
        <v>1242</v>
      </c>
      <c r="E66" s="2112"/>
      <c r="F66" s="2112"/>
      <c r="G66" s="2112"/>
      <c r="H66" s="2112"/>
      <c r="I66" s="2672">
        <f>IF(F8="BEI（標準法）",IF(K8="",0,K8),0)</f>
        <v>0</v>
      </c>
      <c r="J66" s="2112" t="s">
        <v>1237</v>
      </c>
      <c r="K66" s="2112"/>
      <c r="L66" s="2112"/>
      <c r="M66" s="2672">
        <f>IF(K20="",0,K20)</f>
        <v>0</v>
      </c>
      <c r="N66" s="2672">
        <f>IF(K16="",0,K16)</f>
        <v>0</v>
      </c>
      <c r="O66" s="2112" t="s">
        <v>1237</v>
      </c>
      <c r="P66" s="2112"/>
      <c r="Q66" s="2113"/>
    </row>
    <row r="67" spans="2:29">
      <c r="B67" s="2111"/>
      <c r="C67" s="2112"/>
      <c r="D67" s="2112"/>
      <c r="E67" s="2141"/>
      <c r="F67" s="2112"/>
      <c r="G67" s="2112"/>
      <c r="H67" s="1341" t="s">
        <v>1243</v>
      </c>
      <c r="I67" s="2142" t="str">
        <f>IF(I64=0,"-",ROUND(I64/I62,5))</f>
        <v>-</v>
      </c>
      <c r="J67" s="2112"/>
      <c r="K67" s="2112"/>
      <c r="L67" s="2112"/>
      <c r="M67" s="2142" t="str">
        <f>IF(M64=0,"-",ROUND(M64/M62,5))</f>
        <v>-</v>
      </c>
      <c r="N67" s="2112"/>
      <c r="O67" s="2112"/>
      <c r="P67" s="2112"/>
      <c r="Q67" s="2113"/>
      <c r="V67" t="e">
        <f>IF($I$59&gt;=W73,V73,IF($I$59&gt;=W72,V72,IF($I$59&gt;=W71,V71,IF($I$59&gt;=W70,V70,V69))))</f>
        <v>#VALUE!</v>
      </c>
      <c r="X67" t="e">
        <f>VLOOKUP($V$67,V69:Y73,3)</f>
        <v>#VALUE!</v>
      </c>
      <c r="Y67" t="e">
        <f>VLOOKUP($V$67,V69:Y73,4)</f>
        <v>#VALUE!</v>
      </c>
      <c r="Z67" t="e">
        <f>IF($M$59&gt;=AA73,Z73,IF($M$59&gt;=AA72,Z72,IF($M$59&gt;=AA71,Z71,IF($M$59&gt;=AA70,Z70,Z69))))</f>
        <v>#VALUE!</v>
      </c>
      <c r="AB67" t="e">
        <f>VLOOKUP($Z$42,Z69:AC73,3)</f>
        <v>#VALUE!</v>
      </c>
      <c r="AC67" t="e">
        <f>VLOOKUP($Z$42,Z69:AC73,4)</f>
        <v>#VALUE!</v>
      </c>
    </row>
    <row r="68" spans="2:29">
      <c r="B68" s="2111"/>
      <c r="C68" s="2112"/>
      <c r="D68" s="2112"/>
      <c r="E68" s="2141"/>
      <c r="F68" s="2112"/>
      <c r="G68" s="2112"/>
      <c r="H68" s="1341" t="s">
        <v>1244</v>
      </c>
      <c r="I68" s="2142" t="str">
        <f>IF(I65=0,"-",ROUND(I65/I62,5))</f>
        <v>-</v>
      </c>
      <c r="J68" s="2112"/>
      <c r="K68" s="2112"/>
      <c r="L68" s="2112"/>
      <c r="M68" s="2142" t="str">
        <f>IF(M65=0,"-",ROUND(M65/M62,5))</f>
        <v>-</v>
      </c>
      <c r="N68" s="2112"/>
      <c r="O68" s="2112"/>
      <c r="P68" s="2112"/>
      <c r="Q68" s="2113"/>
      <c r="T68" t="s">
        <v>1245</v>
      </c>
      <c r="V68" s="1" t="s">
        <v>1204</v>
      </c>
      <c r="W68" s="1" t="s">
        <v>764</v>
      </c>
      <c r="X68" t="s">
        <v>1030</v>
      </c>
      <c r="Y68" t="s">
        <v>1031</v>
      </c>
      <c r="Z68" s="1" t="s">
        <v>1204</v>
      </c>
      <c r="AA68" s="1" t="s">
        <v>1136</v>
      </c>
      <c r="AB68" t="s">
        <v>1030</v>
      </c>
      <c r="AC68" t="s">
        <v>1031</v>
      </c>
    </row>
    <row r="69" spans="2:29">
      <c r="B69" s="2111"/>
      <c r="C69" s="2112"/>
      <c r="D69" s="2112"/>
      <c r="E69" s="2112" t="s">
        <v>1246</v>
      </c>
      <c r="F69" s="2112"/>
      <c r="G69" s="2112"/>
      <c r="H69" s="2112"/>
      <c r="I69" s="2112"/>
      <c r="J69" s="2112"/>
      <c r="K69" s="2112"/>
      <c r="L69" s="2112"/>
      <c r="M69" s="2112"/>
      <c r="N69" s="2112"/>
      <c r="O69" s="2115"/>
      <c r="P69" s="2112"/>
      <c r="Q69" s="2113"/>
      <c r="V69" s="1">
        <v>1</v>
      </c>
      <c r="W69" s="1">
        <v>-5</v>
      </c>
      <c r="X69">
        <f>(V70-V69)/(W70-W69)</f>
        <v>0.2</v>
      </c>
      <c r="Y69">
        <f>V70-X69*W70</f>
        <v>2</v>
      </c>
      <c r="Z69" s="1">
        <v>1</v>
      </c>
      <c r="AA69" s="1">
        <v>-5</v>
      </c>
      <c r="AB69">
        <f>(Z70-Z69)/(AA70-AA69)</f>
        <v>0.2</v>
      </c>
      <c r="AC69">
        <f>Z70-AB69*AA70</f>
        <v>2</v>
      </c>
    </row>
    <row r="70" spans="2:29">
      <c r="B70" s="2111"/>
      <c r="C70" s="2112"/>
      <c r="D70" s="2112"/>
      <c r="E70" s="2112" t="s">
        <v>1247</v>
      </c>
      <c r="F70" s="2115"/>
      <c r="G70" s="2115"/>
      <c r="H70" s="2115"/>
      <c r="I70" s="2115"/>
      <c r="J70" s="2115"/>
      <c r="K70" s="2115"/>
      <c r="L70" s="2115"/>
      <c r="M70" s="2115"/>
      <c r="N70" s="2115"/>
      <c r="O70" s="2115"/>
      <c r="P70" s="2112"/>
      <c r="Q70" s="2113"/>
      <c r="V70" s="1">
        <v>2</v>
      </c>
      <c r="W70" s="1">
        <v>0</v>
      </c>
      <c r="X70">
        <f>(V71-V70)/(W71-W70)</f>
        <v>0.2</v>
      </c>
      <c r="Y70">
        <f>V71-X70*W71</f>
        <v>2</v>
      </c>
      <c r="Z70" s="1">
        <v>2</v>
      </c>
      <c r="AA70" s="1">
        <v>0</v>
      </c>
      <c r="AB70">
        <f>(Z71-Z70)/(AA71-AA70)</f>
        <v>0.2</v>
      </c>
      <c r="AC70">
        <f>Z71-AB70*AA71</f>
        <v>2</v>
      </c>
    </row>
    <row r="71" spans="2:29">
      <c r="B71" s="2111"/>
      <c r="C71" s="2112"/>
      <c r="D71" s="2112"/>
      <c r="E71" s="2112"/>
      <c r="F71" s="2112"/>
      <c r="G71" s="2112"/>
      <c r="H71" s="2112"/>
      <c r="I71" s="2112"/>
      <c r="J71" s="2112"/>
      <c r="K71" s="2112"/>
      <c r="L71" s="2112"/>
      <c r="M71" s="2115"/>
      <c r="N71" s="2115"/>
      <c r="O71" s="2115"/>
      <c r="P71" s="2112"/>
      <c r="Q71" s="2113"/>
      <c r="V71" s="1">
        <v>3</v>
      </c>
      <c r="W71" s="1">
        <v>5</v>
      </c>
      <c r="X71">
        <f>(V72-V71)/(W72-W71)</f>
        <v>0.1</v>
      </c>
      <c r="Y71">
        <f>V72-X71*W72</f>
        <v>2.5</v>
      </c>
      <c r="Z71" s="1">
        <v>3</v>
      </c>
      <c r="AA71" s="1">
        <v>5</v>
      </c>
      <c r="AB71">
        <f>(Z72-Z71)/(AA72-AA71)</f>
        <v>0.1</v>
      </c>
      <c r="AC71">
        <f>Z72-AB71*AA72</f>
        <v>2.5</v>
      </c>
    </row>
    <row r="72" spans="2:29">
      <c r="B72" s="2111"/>
      <c r="C72" s="2112"/>
      <c r="D72" s="2112"/>
      <c r="E72" s="2115"/>
      <c r="F72" s="2115"/>
      <c r="G72" s="2115"/>
      <c r="H72" s="2115"/>
      <c r="I72" s="2115"/>
      <c r="J72" s="2115"/>
      <c r="K72" s="2115"/>
      <c r="L72" s="2115"/>
      <c r="M72" s="2115"/>
      <c r="N72" s="2115"/>
      <c r="O72" s="2115"/>
      <c r="P72" s="2112"/>
      <c r="Q72" s="2113"/>
      <c r="V72" s="1">
        <v>4</v>
      </c>
      <c r="W72" s="1">
        <v>15</v>
      </c>
      <c r="X72">
        <f>(V73-V72)/(W73-W72)</f>
        <v>0.05</v>
      </c>
      <c r="Y72">
        <f>V73-X72*W73</f>
        <v>3.25</v>
      </c>
      <c r="Z72" s="1">
        <v>4</v>
      </c>
      <c r="AA72" s="1">
        <v>15</v>
      </c>
      <c r="AB72">
        <f>(Z73-Z72)/(AA73-AA72)</f>
        <v>0.05</v>
      </c>
      <c r="AC72">
        <f>Z73-AB72*AA73</f>
        <v>3.25</v>
      </c>
    </row>
    <row r="73" spans="2:29">
      <c r="B73" s="2111"/>
      <c r="C73" s="2112"/>
      <c r="D73" s="2112" t="s">
        <v>1248</v>
      </c>
      <c r="E73" s="2115" t="s">
        <v>1249</v>
      </c>
      <c r="F73" s="2115"/>
      <c r="G73" s="2115"/>
      <c r="H73" s="2115"/>
      <c r="I73" s="2115"/>
      <c r="J73" s="2115"/>
      <c r="K73" s="2115"/>
      <c r="L73" s="2115"/>
      <c r="M73" s="2115"/>
      <c r="N73" s="2115"/>
      <c r="O73" s="2115"/>
      <c r="P73" s="2112"/>
      <c r="Q73" s="2113"/>
      <c r="V73" s="1">
        <v>5</v>
      </c>
      <c r="W73" s="1">
        <v>35</v>
      </c>
      <c r="Z73" s="1">
        <v>5</v>
      </c>
      <c r="AA73" s="1">
        <v>35</v>
      </c>
    </row>
    <row r="74" spans="2:29" ht="14.25" thickBot="1">
      <c r="B74" s="2111"/>
      <c r="C74" s="2112"/>
      <c r="D74" s="2112"/>
      <c r="E74" s="2115"/>
      <c r="F74" s="2115"/>
      <c r="G74" s="2115"/>
      <c r="H74" s="2143" t="s">
        <v>1250</v>
      </c>
      <c r="I74" s="2115" t="s">
        <v>1251</v>
      </c>
      <c r="J74" s="2115" t="s">
        <v>1252</v>
      </c>
      <c r="K74" s="2115" t="s">
        <v>1253</v>
      </c>
      <c r="L74" s="2115" t="s">
        <v>1254</v>
      </c>
      <c r="M74" s="2115" t="s">
        <v>1255</v>
      </c>
      <c r="N74" s="2115" t="s">
        <v>1256</v>
      </c>
      <c r="O74" s="2115"/>
      <c r="P74" s="2112"/>
      <c r="Q74" s="2113"/>
    </row>
    <row r="75" spans="2:29" ht="14.25" thickBot="1">
      <c r="B75" s="2111"/>
      <c r="C75" s="2112"/>
      <c r="D75" s="2112"/>
      <c r="E75" s="2115"/>
      <c r="F75" s="2115"/>
      <c r="G75" s="1883" t="s">
        <v>1257</v>
      </c>
      <c r="H75" s="2144"/>
      <c r="I75" s="1874">
        <f>H75*$N$52</f>
        <v>0</v>
      </c>
      <c r="J75" s="1874">
        <v>0</v>
      </c>
      <c r="K75" s="2137"/>
      <c r="L75" s="1874">
        <v>12181</v>
      </c>
      <c r="M75" s="2145">
        <f>I75*J75+K75*L75</f>
        <v>0</v>
      </c>
      <c r="N75" s="2146">
        <f>SUM(M75:M79)/1000</f>
        <v>0</v>
      </c>
      <c r="O75" s="2112" t="s">
        <v>1237</v>
      </c>
      <c r="P75" s="2112"/>
      <c r="Q75" s="2113"/>
    </row>
    <row r="76" spans="2:29">
      <c r="B76" s="2111"/>
      <c r="C76" s="2112"/>
      <c r="D76" s="2112"/>
      <c r="E76" s="2115"/>
      <c r="F76" s="2115"/>
      <c r="G76" s="1883" t="s">
        <v>1258</v>
      </c>
      <c r="H76" s="2147"/>
      <c r="I76" s="1874">
        <f t="shared" ref="I76:I79" si="0">H76*$N$52</f>
        <v>0</v>
      </c>
      <c r="J76" s="1874">
        <v>87</v>
      </c>
      <c r="K76" s="2139"/>
      <c r="L76" s="1874">
        <v>9571</v>
      </c>
      <c r="M76" s="1874">
        <f>I76*J76+K76*L76</f>
        <v>0</v>
      </c>
      <c r="N76" s="2115"/>
      <c r="O76" s="2115"/>
      <c r="P76" s="2112"/>
      <c r="Q76" s="2113"/>
    </row>
    <row r="77" spans="2:29">
      <c r="B77" s="2111"/>
      <c r="C77" s="2112"/>
      <c r="D77" s="2112"/>
      <c r="E77" s="2115"/>
      <c r="F77" s="2115"/>
      <c r="G77" s="1883" t="s">
        <v>1259</v>
      </c>
      <c r="H77" s="2147"/>
      <c r="I77" s="1874">
        <f t="shared" si="0"/>
        <v>0</v>
      </c>
      <c r="J77" s="1874">
        <v>167</v>
      </c>
      <c r="K77" s="2139"/>
      <c r="L77" s="1874">
        <v>4771</v>
      </c>
      <c r="M77" s="1874">
        <f>I77*J77+K77*L77</f>
        <v>0</v>
      </c>
      <c r="N77" s="2115"/>
      <c r="O77" s="2115"/>
      <c r="P77" s="2112"/>
      <c r="Q77" s="2113"/>
    </row>
    <row r="78" spans="2:29">
      <c r="B78" s="2111"/>
      <c r="C78" s="2112"/>
      <c r="D78" s="2112"/>
      <c r="E78" s="2115"/>
      <c r="F78" s="2115"/>
      <c r="G78" s="1883" t="s">
        <v>1260</v>
      </c>
      <c r="H78" s="2147"/>
      <c r="I78" s="1874">
        <f t="shared" si="0"/>
        <v>0</v>
      </c>
      <c r="J78" s="1874">
        <v>47</v>
      </c>
      <c r="K78" s="2139"/>
      <c r="L78" s="1874">
        <v>15571</v>
      </c>
      <c r="M78" s="1874">
        <f>I78*J78+K78*L78</f>
        <v>0</v>
      </c>
      <c r="N78" s="2115"/>
      <c r="O78" s="2115"/>
      <c r="P78" s="2112"/>
      <c r="Q78" s="2113"/>
    </row>
    <row r="79" spans="2:29" ht="14.25" thickBot="1">
      <c r="B79" s="2111"/>
      <c r="C79" s="2112"/>
      <c r="D79" s="2112"/>
      <c r="E79" s="2115"/>
      <c r="F79" s="2115"/>
      <c r="G79" s="1883" t="s">
        <v>1261</v>
      </c>
      <c r="H79" s="2148"/>
      <c r="I79" s="1874">
        <f t="shared" si="0"/>
        <v>0</v>
      </c>
      <c r="J79" s="1874">
        <v>0</v>
      </c>
      <c r="K79" s="2140"/>
      <c r="L79" s="1874">
        <v>21211</v>
      </c>
      <c r="M79" s="1874">
        <f>I79*J79+K79*L79</f>
        <v>0</v>
      </c>
      <c r="N79" s="2115"/>
      <c r="O79" s="2115"/>
      <c r="P79" s="2112"/>
      <c r="Q79" s="2113"/>
    </row>
    <row r="80" spans="2:29">
      <c r="B80" s="2111"/>
      <c r="C80" s="2112"/>
      <c r="D80" s="2112"/>
      <c r="E80" s="2112"/>
      <c r="F80" s="2112"/>
      <c r="G80" s="2112" t="s">
        <v>474</v>
      </c>
      <c r="H80" s="2149">
        <f>SUM(H75:H79)</f>
        <v>0</v>
      </c>
      <c r="I80" s="2112"/>
      <c r="J80" s="2115"/>
      <c r="K80" s="2112"/>
      <c r="L80" s="2112"/>
      <c r="M80" s="2112"/>
      <c r="N80" s="2112"/>
      <c r="O80" s="2112"/>
      <c r="P80" s="2112"/>
      <c r="Q80" s="2113"/>
    </row>
    <row r="81" spans="2:21">
      <c r="B81" s="2111"/>
      <c r="C81" s="2112"/>
      <c r="D81" s="2112"/>
      <c r="E81" s="2112"/>
      <c r="F81" s="2112"/>
      <c r="G81" s="2112"/>
      <c r="H81" s="2112"/>
      <c r="I81" s="2112"/>
      <c r="J81" s="2115"/>
      <c r="K81" s="2112"/>
      <c r="L81" s="2112"/>
      <c r="M81" s="2112"/>
      <c r="N81" s="2112"/>
      <c r="O81" s="2112"/>
      <c r="P81" s="2112"/>
      <c r="Q81" s="2113"/>
    </row>
    <row r="82" spans="2:21">
      <c r="B82" s="2111"/>
      <c r="C82" s="2112"/>
      <c r="D82" s="2112"/>
      <c r="E82" s="2112"/>
      <c r="F82" s="2112"/>
      <c r="G82" s="2112"/>
      <c r="H82" s="2112"/>
      <c r="I82" s="2112"/>
      <c r="J82" s="2115"/>
      <c r="K82" s="2112"/>
      <c r="L82" s="2112"/>
      <c r="M82" s="2112"/>
      <c r="N82" s="2112"/>
      <c r="O82" s="2112"/>
      <c r="P82" s="2112"/>
      <c r="Q82" s="2113"/>
      <c r="T82" s="2072" t="s">
        <v>1262</v>
      </c>
    </row>
    <row r="83" spans="2:21" ht="14.25" thickBot="1">
      <c r="B83" s="2111"/>
      <c r="C83" s="2112"/>
      <c r="D83" s="2141" t="s">
        <v>1721</v>
      </c>
      <c r="E83" s="2112"/>
      <c r="F83" s="2112"/>
      <c r="G83" s="2112"/>
      <c r="H83" s="2112"/>
      <c r="I83" s="2112"/>
      <c r="J83" s="2115"/>
      <c r="K83" s="2112"/>
      <c r="L83" s="2112"/>
      <c r="M83" s="2112"/>
      <c r="N83" s="2112"/>
      <c r="O83" s="2112"/>
      <c r="P83" s="2112"/>
      <c r="Q83" s="2113"/>
      <c r="T83">
        <v>1</v>
      </c>
    </row>
    <row r="84" spans="2:21" ht="13.5" customHeight="1" thickBot="1">
      <c r="B84" s="2111"/>
      <c r="C84" s="2112"/>
      <c r="D84" s="2112"/>
      <c r="E84" s="2884" t="s">
        <v>1263</v>
      </c>
      <c r="F84" s="2884"/>
      <c r="G84" s="2884"/>
      <c r="H84" s="2884"/>
      <c r="I84" s="2884"/>
      <c r="J84" s="2884"/>
      <c r="K84" s="2884"/>
      <c r="L84" s="2112"/>
      <c r="M84" s="2112" t="s">
        <v>1264</v>
      </c>
      <c r="N84" s="2885" t="s">
        <v>1262</v>
      </c>
      <c r="O84" s="2886"/>
      <c r="P84" s="2887"/>
      <c r="Q84" s="2113"/>
      <c r="T84">
        <v>4</v>
      </c>
    </row>
    <row r="85" spans="2:21">
      <c r="B85" s="2111"/>
      <c r="C85" s="2112"/>
      <c r="D85" s="2112"/>
      <c r="E85" s="2884"/>
      <c r="F85" s="2884"/>
      <c r="G85" s="2884"/>
      <c r="H85" s="2884"/>
      <c r="I85" s="2884"/>
      <c r="J85" s="2884"/>
      <c r="K85" s="2884"/>
      <c r="L85" s="2112"/>
      <c r="M85" s="2112"/>
      <c r="N85" s="2112"/>
      <c r="O85" s="2112"/>
      <c r="P85" s="2112"/>
      <c r="Q85" s="2113"/>
    </row>
    <row r="86" spans="2:21">
      <c r="B86" s="2111"/>
      <c r="C86" s="2112"/>
      <c r="D86" s="2112"/>
      <c r="E86" s="2884"/>
      <c r="F86" s="2884"/>
      <c r="G86" s="2884"/>
      <c r="H86" s="2884"/>
      <c r="I86" s="2884"/>
      <c r="J86" s="2884"/>
      <c r="K86" s="2884"/>
      <c r="L86" s="2112"/>
      <c r="M86" s="2112"/>
      <c r="N86" s="2112"/>
      <c r="O86" s="2112"/>
      <c r="P86" s="2112"/>
      <c r="Q86" s="2113"/>
    </row>
    <row r="87" spans="2:21" ht="7.5" customHeight="1" thickBot="1">
      <c r="B87" s="2111"/>
      <c r="C87" s="2112"/>
      <c r="D87" s="2112"/>
      <c r="E87" s="2112"/>
      <c r="F87" s="2112"/>
      <c r="G87" s="2112"/>
      <c r="H87" s="2112"/>
      <c r="I87" s="2112"/>
      <c r="J87" s="2115"/>
      <c r="K87" s="2112"/>
      <c r="L87" s="2112"/>
      <c r="M87" s="2112"/>
      <c r="N87" s="2112"/>
      <c r="O87" s="2112"/>
      <c r="P87" s="2112"/>
      <c r="Q87" s="2113"/>
    </row>
    <row r="88" spans="2:21" ht="14.25" thickBot="1">
      <c r="B88" s="2111"/>
      <c r="C88" s="2112"/>
      <c r="D88" s="2112"/>
      <c r="E88" s="2112" t="s">
        <v>1265</v>
      </c>
      <c r="F88" s="2119" t="s">
        <v>1266</v>
      </c>
      <c r="G88" s="2112"/>
      <c r="H88" s="2112"/>
      <c r="I88" s="2112"/>
      <c r="J88" s="2115" t="s">
        <v>1267</v>
      </c>
      <c r="K88" s="2119" t="s">
        <v>1266</v>
      </c>
      <c r="L88" s="2112"/>
      <c r="M88" s="2112"/>
      <c r="N88" s="2112"/>
      <c r="O88" s="2112"/>
      <c r="P88" s="2112"/>
      <c r="Q88" s="2113"/>
      <c r="T88" t="s">
        <v>1152</v>
      </c>
      <c r="U88" t="s">
        <v>1153</v>
      </c>
    </row>
    <row r="89" spans="2:21">
      <c r="B89" s="2111"/>
      <c r="C89" s="2112"/>
      <c r="D89" s="2112"/>
      <c r="E89" s="2112"/>
      <c r="F89" s="2112" t="s">
        <v>1268</v>
      </c>
      <c r="G89" s="2112"/>
      <c r="H89" s="2112"/>
      <c r="I89" s="2112"/>
      <c r="J89" s="2115"/>
      <c r="K89" s="2112" t="s">
        <v>1269</v>
      </c>
      <c r="L89" s="2112"/>
      <c r="M89" s="2112"/>
      <c r="N89" s="2112"/>
      <c r="O89" s="2112"/>
      <c r="P89" s="2112"/>
      <c r="Q89" s="2113"/>
      <c r="T89" t="s">
        <v>1163</v>
      </c>
      <c r="U89" t="s">
        <v>1159</v>
      </c>
    </row>
    <row r="90" spans="2:21">
      <c r="B90" s="2111"/>
      <c r="C90" s="2112"/>
      <c r="D90" s="2112"/>
      <c r="E90" s="2112"/>
      <c r="F90" s="2112" t="s">
        <v>1270</v>
      </c>
      <c r="G90" s="2112"/>
      <c r="H90" s="2112"/>
      <c r="I90" s="2112"/>
      <c r="J90" s="2115"/>
      <c r="K90" s="2112" t="s">
        <v>1271</v>
      </c>
      <c r="L90" s="2112"/>
      <c r="M90" s="2112"/>
      <c r="N90" s="2112"/>
      <c r="O90" s="2112"/>
      <c r="P90" s="2112"/>
      <c r="Q90" s="2113"/>
      <c r="T90" t="s">
        <v>1170</v>
      </c>
      <c r="U90" t="s">
        <v>1272</v>
      </c>
    </row>
    <row r="91" spans="2:21">
      <c r="B91" s="2111"/>
      <c r="C91" s="2112"/>
      <c r="D91" s="2112"/>
      <c r="E91" s="2112"/>
      <c r="F91" s="2112" t="s">
        <v>1273</v>
      </c>
      <c r="G91" s="2112"/>
      <c r="H91" s="2112"/>
      <c r="I91" s="2112"/>
      <c r="J91" s="2115"/>
      <c r="K91" s="2112" t="s">
        <v>1274</v>
      </c>
      <c r="L91" s="2112"/>
      <c r="M91" s="2112"/>
      <c r="N91" s="2112"/>
      <c r="O91" s="2112"/>
      <c r="P91" s="2112"/>
      <c r="Q91" s="2113"/>
      <c r="T91" t="s">
        <v>1272</v>
      </c>
    </row>
    <row r="92" spans="2:21" ht="14.25" thickBot="1">
      <c r="B92" s="2150"/>
      <c r="C92" s="2151"/>
      <c r="D92" s="2151"/>
      <c r="E92" s="2151"/>
      <c r="F92" s="2151" t="s">
        <v>1274</v>
      </c>
      <c r="G92" s="2151"/>
      <c r="H92" s="2151"/>
      <c r="I92" s="2151"/>
      <c r="J92" s="2152"/>
      <c r="K92" s="2151"/>
      <c r="L92" s="2151"/>
      <c r="M92" s="2151"/>
      <c r="N92" s="2151"/>
      <c r="O92" s="2151"/>
      <c r="P92" s="2151"/>
      <c r="Q92" s="2153"/>
    </row>
    <row r="93" spans="2:21" ht="14.25" thickBot="1">
      <c r="B93" s="516"/>
      <c r="C93" s="516"/>
      <c r="D93" s="516"/>
      <c r="E93" s="516"/>
      <c r="F93" s="516"/>
      <c r="G93" s="516"/>
      <c r="H93" s="516"/>
      <c r="I93" s="516"/>
      <c r="J93" s="516"/>
      <c r="K93" s="516"/>
      <c r="L93" s="516"/>
      <c r="M93" s="516"/>
      <c r="N93" s="516"/>
      <c r="O93" s="516"/>
      <c r="P93" s="516"/>
      <c r="Q93" s="516"/>
    </row>
    <row r="94" spans="2:21" ht="27" customHeight="1">
      <c r="B94" s="2154"/>
      <c r="C94" s="2155" t="s">
        <v>1275</v>
      </c>
      <c r="D94" s="2156"/>
      <c r="E94" s="2156"/>
      <c r="F94" s="2156"/>
      <c r="G94" s="2156"/>
      <c r="H94" s="2156"/>
      <c r="I94" s="2156"/>
      <c r="J94" s="2156"/>
      <c r="K94" s="2156"/>
      <c r="L94" s="2156"/>
      <c r="M94" s="2156"/>
      <c r="N94" s="2157"/>
      <c r="O94" s="2158"/>
      <c r="P94" s="2158"/>
      <c r="Q94" s="2159"/>
    </row>
    <row r="95" spans="2:21">
      <c r="B95" s="2160"/>
      <c r="C95" s="1348"/>
      <c r="D95" s="1348" t="s">
        <v>1276</v>
      </c>
      <c r="E95" s="2112"/>
      <c r="F95" s="2112"/>
      <c r="G95" s="2115"/>
      <c r="H95" s="2112"/>
      <c r="I95" s="2112"/>
      <c r="J95" s="2112"/>
      <c r="K95" s="2112"/>
      <c r="L95" s="2112"/>
      <c r="M95" s="2112"/>
      <c r="N95" s="2112" t="s">
        <v>65</v>
      </c>
      <c r="O95" s="2112"/>
      <c r="P95" s="2112"/>
      <c r="Q95" s="2161" t="s">
        <v>138</v>
      </c>
    </row>
    <row r="96" spans="2:21">
      <c r="B96" s="2160"/>
      <c r="C96" s="1348"/>
      <c r="D96" s="1348"/>
      <c r="E96" s="2112"/>
      <c r="F96" s="2118" t="s">
        <v>1277</v>
      </c>
      <c r="G96" s="2112"/>
      <c r="H96" s="2112"/>
      <c r="I96" s="2112"/>
      <c r="J96" s="2112" t="s">
        <v>1278</v>
      </c>
      <c r="K96" s="2112"/>
      <c r="L96" s="2162" t="s">
        <v>1279</v>
      </c>
      <c r="M96" s="2112"/>
      <c r="N96" s="1345" t="s">
        <v>1237</v>
      </c>
      <c r="O96" s="1354"/>
      <c r="P96" s="1354"/>
      <c r="Q96" s="1347" t="s">
        <v>1237</v>
      </c>
    </row>
    <row r="97" spans="2:20">
      <c r="B97" s="2160"/>
      <c r="C97" s="1348"/>
      <c r="D97" s="1348"/>
      <c r="E97" s="2115" t="s">
        <v>1280</v>
      </c>
      <c r="F97" s="2163" t="str">
        <f>IF(E47=S50,I68,I49)</f>
        <v>-</v>
      </c>
      <c r="G97" s="151"/>
      <c r="H97" s="2112"/>
      <c r="I97" s="2112"/>
      <c r="J97" s="2164">
        <f>(H121*N121+H123*N123+N124*H124)/1000</f>
        <v>0</v>
      </c>
      <c r="K97" s="2165" t="s">
        <v>1237</v>
      </c>
      <c r="L97" s="2166">
        <f>N127</f>
        <v>1</v>
      </c>
      <c r="M97" s="2165"/>
      <c r="N97" s="2167" t="e">
        <f>(J117*F97-J97)*L97</f>
        <v>#VALUE!</v>
      </c>
      <c r="O97" s="1354"/>
      <c r="P97" s="1889"/>
      <c r="Q97" s="2168">
        <f>J117</f>
        <v>23222</v>
      </c>
      <c r="T97" s="2169">
        <f>T117/Q97</f>
        <v>0.90857807251744038</v>
      </c>
    </row>
    <row r="98" spans="2:20">
      <c r="B98" s="2111"/>
      <c r="C98" s="2112"/>
      <c r="D98" s="2112"/>
      <c r="E98" s="2112"/>
      <c r="F98" s="2112"/>
      <c r="G98" s="2112"/>
      <c r="H98" s="2112"/>
      <c r="I98" s="2112"/>
      <c r="J98" s="2112"/>
      <c r="K98" s="2112"/>
      <c r="L98" s="2112"/>
      <c r="M98" s="2112"/>
      <c r="N98" s="2112"/>
      <c r="O98" s="2112"/>
      <c r="P98" s="2112"/>
      <c r="Q98" s="2113"/>
    </row>
    <row r="99" spans="2:20">
      <c r="B99" s="2111"/>
      <c r="C99" s="2112"/>
      <c r="D99" s="2112"/>
      <c r="E99" s="2112"/>
      <c r="F99" s="2112"/>
      <c r="G99" s="2162"/>
      <c r="H99" s="2162" t="s">
        <v>1281</v>
      </c>
      <c r="I99" s="2112"/>
      <c r="J99" s="2162" t="s">
        <v>1282</v>
      </c>
      <c r="K99" s="2162"/>
      <c r="L99" s="2162" t="s">
        <v>1283</v>
      </c>
      <c r="M99" s="2112"/>
      <c r="N99" s="2112"/>
      <c r="O99" s="2112"/>
      <c r="P99" s="2112"/>
      <c r="Q99" s="2113"/>
    </row>
    <row r="100" spans="2:20">
      <c r="B100" s="2111"/>
      <c r="C100" s="2112"/>
      <c r="D100" s="2112"/>
      <c r="E100" s="2112"/>
      <c r="F100" s="2112"/>
      <c r="G100" s="2118"/>
      <c r="H100" s="2118" t="s">
        <v>1213</v>
      </c>
      <c r="I100" s="2112"/>
      <c r="J100" s="2162" t="s">
        <v>1284</v>
      </c>
      <c r="K100" s="2162"/>
      <c r="L100" s="2162" t="s">
        <v>193</v>
      </c>
      <c r="M100" s="2112"/>
      <c r="N100" s="2112"/>
      <c r="O100" s="2112"/>
      <c r="P100" s="2112"/>
      <c r="Q100" s="2113"/>
      <c r="S100" t="s">
        <v>1285</v>
      </c>
    </row>
    <row r="101" spans="2:20">
      <c r="B101" s="2111"/>
      <c r="C101" s="2112"/>
      <c r="D101" s="2112"/>
      <c r="E101" s="2170" t="s">
        <v>157</v>
      </c>
      <c r="F101" s="2171" t="s">
        <v>456</v>
      </c>
      <c r="G101" s="2172"/>
      <c r="H101" s="525">
        <f>メイン!W76</f>
        <v>11000</v>
      </c>
      <c r="I101" s="1356"/>
      <c r="J101" s="525">
        <f>CO2データ!H151</f>
        <v>1930</v>
      </c>
      <c r="K101" s="1356"/>
      <c r="L101" s="2173" t="e">
        <f>CO2データ!R151</f>
        <v>#VALUE!</v>
      </c>
      <c r="M101" s="2112"/>
      <c r="N101" s="2112"/>
      <c r="O101" s="2112"/>
      <c r="P101" s="2112"/>
      <c r="Q101" s="2113"/>
      <c r="S101" s="1886">
        <f>CO2データ!N151</f>
        <v>0.9</v>
      </c>
    </row>
    <row r="102" spans="2:20">
      <c r="B102" s="2111"/>
      <c r="C102" s="2112"/>
      <c r="D102" s="2112"/>
      <c r="E102" s="2174"/>
      <c r="F102" s="2171" t="s">
        <v>1122</v>
      </c>
      <c r="G102" s="2172"/>
      <c r="H102" s="525">
        <f>メイン!W77</f>
        <v>0</v>
      </c>
      <c r="I102" s="1356"/>
      <c r="J102" s="525">
        <f>CO2データ!H152</f>
        <v>0</v>
      </c>
      <c r="K102" s="1356"/>
      <c r="L102" s="2173" t="e">
        <f>CO2データ!R152</f>
        <v>#VALUE!</v>
      </c>
      <c r="M102" s="2112"/>
      <c r="N102" s="2112"/>
      <c r="O102" s="2112"/>
      <c r="P102" s="2112"/>
      <c r="Q102" s="2113"/>
      <c r="S102" s="1886">
        <f>CO2データ!N152</f>
        <v>0.83</v>
      </c>
    </row>
    <row r="103" spans="2:20">
      <c r="B103" s="2111"/>
      <c r="C103" s="2112"/>
      <c r="D103" s="2112"/>
      <c r="E103" s="2175" t="s">
        <v>1123</v>
      </c>
      <c r="F103" s="2171" t="s">
        <v>1124</v>
      </c>
      <c r="G103" s="2172"/>
      <c r="H103" s="525">
        <f>メイン!W78</f>
        <v>0</v>
      </c>
      <c r="I103" s="1356"/>
      <c r="J103" s="525">
        <f>CO2データ!H153</f>
        <v>0</v>
      </c>
      <c r="K103" s="1356"/>
      <c r="L103" s="2173" t="e">
        <f>CO2データ!R153</f>
        <v>#VALUE!</v>
      </c>
      <c r="M103" s="2112"/>
      <c r="N103" s="2112"/>
      <c r="O103" s="2112"/>
      <c r="P103" s="2112"/>
      <c r="Q103" s="2113"/>
      <c r="S103" s="1886">
        <f>CO2データ!N153</f>
        <v>0.71</v>
      </c>
    </row>
    <row r="104" spans="2:20">
      <c r="B104" s="2111"/>
      <c r="C104" s="2112"/>
      <c r="D104" s="2112"/>
      <c r="E104" s="2175"/>
      <c r="F104" s="2176" t="s">
        <v>1125</v>
      </c>
      <c r="G104" s="2177" t="s">
        <v>981</v>
      </c>
      <c r="H104" s="525">
        <f>メイン!W79</f>
        <v>0</v>
      </c>
      <c r="I104" s="1356"/>
      <c r="J104" s="525">
        <f>CO2データ!H154</f>
        <v>0</v>
      </c>
      <c r="K104" s="1356"/>
      <c r="L104" s="2173" t="e">
        <f>CO2データ!R154</f>
        <v>#VALUE!</v>
      </c>
      <c r="M104" s="2112"/>
      <c r="N104" s="2112"/>
      <c r="O104" s="2112"/>
      <c r="P104" s="2112"/>
      <c r="Q104" s="2113"/>
      <c r="S104" s="1886">
        <f>CO2データ!N154</f>
        <v>0.62299911901772109</v>
      </c>
    </row>
    <row r="105" spans="2:20">
      <c r="B105" s="2111"/>
      <c r="C105" s="2112"/>
      <c r="D105" s="2112"/>
      <c r="E105" s="2175"/>
      <c r="F105" s="2178"/>
      <c r="G105" s="2177" t="s">
        <v>510</v>
      </c>
      <c r="H105" s="525">
        <f>メイン!W80</f>
        <v>0</v>
      </c>
      <c r="I105" s="1356"/>
      <c r="J105" s="525">
        <f>CO2データ!H155</f>
        <v>0</v>
      </c>
      <c r="K105" s="1356"/>
      <c r="L105" s="2173" t="e">
        <f>CO2データ!R155</f>
        <v>#VALUE!</v>
      </c>
      <c r="M105" s="2112"/>
      <c r="N105" s="2112"/>
      <c r="O105" s="2112"/>
      <c r="P105" s="2112"/>
      <c r="Q105" s="2113"/>
      <c r="S105" s="1886">
        <f>CO2データ!N155</f>
        <v>0.75998792472086629</v>
      </c>
    </row>
    <row r="106" spans="2:20">
      <c r="B106" s="2111"/>
      <c r="C106" s="2112"/>
      <c r="D106" s="2112"/>
      <c r="E106" s="2175"/>
      <c r="F106" s="2171" t="s">
        <v>1126</v>
      </c>
      <c r="G106" s="2172"/>
      <c r="H106" s="525">
        <f>メイン!W81</f>
        <v>0</v>
      </c>
      <c r="I106" s="1356"/>
      <c r="J106" s="525">
        <f>CO2データ!H156</f>
        <v>0</v>
      </c>
      <c r="K106" s="1356"/>
      <c r="L106" s="2173" t="e">
        <f>CO2データ!R156</f>
        <v>#VALUE!</v>
      </c>
      <c r="M106" s="2112"/>
      <c r="N106" s="2112"/>
      <c r="O106" s="2112"/>
      <c r="P106" s="2112"/>
      <c r="Q106" s="2113"/>
      <c r="S106" s="1886">
        <f>CO2データ!N156</f>
        <v>0.74</v>
      </c>
    </row>
    <row r="107" spans="2:20">
      <c r="B107" s="2111"/>
      <c r="C107" s="2112"/>
      <c r="D107" s="2112"/>
      <c r="E107" s="2174"/>
      <c r="F107" s="2171" t="s">
        <v>1127</v>
      </c>
      <c r="G107" s="2172"/>
      <c r="H107" s="525">
        <f>メイン!W82</f>
        <v>0</v>
      </c>
      <c r="I107" s="1356"/>
      <c r="J107" s="525">
        <f>CO2データ!H157</f>
        <v>0</v>
      </c>
      <c r="K107" s="1356"/>
      <c r="L107" s="2173" t="e">
        <f>CO2データ!R157</f>
        <v>#VALUE!</v>
      </c>
      <c r="M107" s="2112"/>
      <c r="N107" s="2112"/>
      <c r="O107" s="2112"/>
      <c r="P107" s="2112"/>
      <c r="Q107" s="2113"/>
      <c r="S107" s="1886">
        <f>CO2データ!N157</f>
        <v>0.79</v>
      </c>
    </row>
    <row r="108" spans="2:20">
      <c r="B108" s="2111"/>
      <c r="C108" s="2112"/>
      <c r="D108" s="2112"/>
      <c r="E108" s="2170" t="s">
        <v>1128</v>
      </c>
      <c r="F108" s="2171" t="s">
        <v>856</v>
      </c>
      <c r="G108" s="2172"/>
      <c r="H108" s="525">
        <f>メイン!W83</f>
        <v>0</v>
      </c>
      <c r="I108" s="1356"/>
      <c r="J108" s="525">
        <f>CO2データ!H158</f>
        <v>0</v>
      </c>
      <c r="K108" s="1356"/>
      <c r="L108" s="2173" t="e">
        <f>CO2データ!R158</f>
        <v>#VALUE!</v>
      </c>
      <c r="M108" s="2112"/>
      <c r="N108" s="2112"/>
      <c r="O108" s="2112"/>
      <c r="P108" s="2112"/>
      <c r="Q108" s="2113"/>
      <c r="S108" s="1886">
        <f>CO2データ!N158</f>
        <v>0.93</v>
      </c>
    </row>
    <row r="109" spans="2:20">
      <c r="B109" s="2111"/>
      <c r="C109" s="2112"/>
      <c r="D109" s="2112"/>
      <c r="E109" s="2174"/>
      <c r="F109" s="2171" t="s">
        <v>1129</v>
      </c>
      <c r="G109" s="2172"/>
      <c r="H109" s="525">
        <f>メイン!W84</f>
        <v>0</v>
      </c>
      <c r="I109" s="1356"/>
      <c r="J109" s="525">
        <f>CO2データ!H159</f>
        <v>0</v>
      </c>
      <c r="K109" s="1356"/>
      <c r="L109" s="2173" t="e">
        <f>CO2データ!R159</f>
        <v>#VALUE!</v>
      </c>
      <c r="M109" s="2112"/>
      <c r="N109" s="2112"/>
      <c r="O109" s="2112"/>
      <c r="P109" s="2112"/>
      <c r="Q109" s="2113"/>
      <c r="S109" s="1886">
        <f>CO2データ!N159</f>
        <v>0.92</v>
      </c>
    </row>
    <row r="110" spans="2:20">
      <c r="B110" s="2111"/>
      <c r="C110" s="2112"/>
      <c r="D110" s="2112"/>
      <c r="E110" s="2171" t="s">
        <v>462</v>
      </c>
      <c r="F110" s="2179"/>
      <c r="G110" s="2172"/>
      <c r="H110" s="525">
        <f>メイン!W85</f>
        <v>0</v>
      </c>
      <c r="I110" s="1356"/>
      <c r="J110" s="525">
        <f>CO2データ!H160</f>
        <v>0</v>
      </c>
      <c r="K110" s="1356"/>
      <c r="L110" s="2173" t="e">
        <f>CO2データ!R160</f>
        <v>#VALUE!</v>
      </c>
      <c r="M110" s="2112"/>
      <c r="N110" s="2112"/>
      <c r="O110" s="2112"/>
      <c r="P110" s="2112"/>
      <c r="Q110" s="2113"/>
      <c r="S110" s="1886">
        <f>CO2データ!N160</f>
        <v>0.5</v>
      </c>
    </row>
    <row r="111" spans="2:20">
      <c r="B111" s="2111"/>
      <c r="C111" s="2112"/>
      <c r="D111" s="2112"/>
      <c r="E111" s="2170" t="s">
        <v>1130</v>
      </c>
      <c r="F111" s="2171" t="s">
        <v>1131</v>
      </c>
      <c r="G111" s="2172"/>
      <c r="H111" s="525">
        <f>メイン!W86</f>
        <v>0</v>
      </c>
      <c r="I111" s="1356"/>
      <c r="J111" s="525">
        <f>CO2データ!H161</f>
        <v>0</v>
      </c>
      <c r="K111" s="1356"/>
      <c r="L111" s="2173" t="e">
        <f>CO2データ!R161</f>
        <v>#VALUE!</v>
      </c>
      <c r="M111" s="2112"/>
      <c r="N111" s="2112"/>
      <c r="O111" s="2112"/>
      <c r="P111" s="2112"/>
      <c r="Q111" s="2113"/>
      <c r="S111" s="1886">
        <f>CO2データ!N161</f>
        <v>0.76</v>
      </c>
    </row>
    <row r="112" spans="2:20">
      <c r="B112" s="2111"/>
      <c r="C112" s="2112"/>
      <c r="D112" s="2112"/>
      <c r="E112" s="2175"/>
      <c r="F112" s="2171" t="s">
        <v>1132</v>
      </c>
      <c r="G112" s="2172"/>
      <c r="H112" s="525">
        <f>メイン!W87</f>
        <v>0</v>
      </c>
      <c r="I112" s="1356"/>
      <c r="J112" s="525">
        <f>CO2データ!H162</f>
        <v>0</v>
      </c>
      <c r="K112" s="1356"/>
      <c r="L112" s="2173" t="e">
        <f>CO2データ!R162</f>
        <v>#VALUE!</v>
      </c>
      <c r="M112" s="2112"/>
      <c r="N112" s="2112"/>
      <c r="O112" s="2112"/>
      <c r="P112" s="2112"/>
      <c r="Q112" s="2113"/>
      <c r="S112" s="1886">
        <f>CO2データ!N162</f>
        <v>0.81</v>
      </c>
    </row>
    <row r="113" spans="2:27">
      <c r="B113" s="2111"/>
      <c r="C113" s="2112"/>
      <c r="D113" s="2112"/>
      <c r="E113" s="2175"/>
      <c r="F113" s="2176" t="s">
        <v>1133</v>
      </c>
      <c r="G113" s="2180"/>
      <c r="H113" s="525">
        <f>メイン!W88</f>
        <v>0</v>
      </c>
      <c r="I113" s="1356"/>
      <c r="J113" s="525">
        <f>CO2データ!H163</f>
        <v>0</v>
      </c>
      <c r="K113" s="1356"/>
      <c r="L113" s="2173" t="e">
        <f>CO2データ!R163</f>
        <v>#VALUE!</v>
      </c>
      <c r="M113" s="2112"/>
      <c r="N113" s="2112"/>
      <c r="O113" s="2112"/>
      <c r="P113" s="2112"/>
      <c r="Q113" s="2113"/>
      <c r="S113" s="1886">
        <f>CO2データ!N163</f>
        <v>0.92</v>
      </c>
    </row>
    <row r="114" spans="2:27">
      <c r="B114" s="2111"/>
      <c r="C114" s="2112"/>
      <c r="D114" s="2112"/>
      <c r="E114" s="2171" t="s">
        <v>472</v>
      </c>
      <c r="F114" s="2179"/>
      <c r="G114" s="2172"/>
      <c r="H114" s="525">
        <f>メイン!W89</f>
        <v>4000</v>
      </c>
      <c r="I114" s="1356"/>
      <c r="J114" s="525">
        <f>CO2データ!H164</f>
        <v>498</v>
      </c>
      <c r="K114" s="1356"/>
      <c r="L114" s="2173" t="e">
        <f>CO2データ!R164</f>
        <v>#VALUE!</v>
      </c>
      <c r="M114" s="2112"/>
      <c r="N114" s="2112"/>
      <c r="O114" s="2112"/>
      <c r="P114" s="2112"/>
      <c r="Q114" s="2113"/>
      <c r="S114" s="1886">
        <f>CO2データ!N164</f>
        <v>1</v>
      </c>
    </row>
    <row r="115" spans="2:27">
      <c r="B115" s="2111"/>
      <c r="C115" s="2112"/>
      <c r="D115" s="2112"/>
      <c r="E115" s="2171" t="s">
        <v>466</v>
      </c>
      <c r="F115" s="2179"/>
      <c r="G115" s="2172"/>
      <c r="H115" s="525">
        <f>メイン!W90</f>
        <v>0</v>
      </c>
      <c r="I115" s="1356"/>
      <c r="J115" s="525">
        <f>CO2データ!H165</f>
        <v>0</v>
      </c>
      <c r="K115" s="1356"/>
      <c r="L115" s="2173" t="e">
        <f>CO2データ!R165</f>
        <v>#VALUE!</v>
      </c>
      <c r="M115" s="2112"/>
      <c r="N115" s="2112"/>
      <c r="O115" s="2112"/>
      <c r="P115" s="2112"/>
      <c r="Q115" s="2113"/>
      <c r="S115" s="1886">
        <f>CO2データ!N165</f>
        <v>0.65</v>
      </c>
    </row>
    <row r="116" spans="2:27" ht="14.25" thickBot="1">
      <c r="B116" s="2111"/>
      <c r="C116" s="2112"/>
      <c r="D116" s="2112"/>
      <c r="E116" s="2171" t="s">
        <v>1134</v>
      </c>
      <c r="F116" s="2179"/>
      <c r="G116" s="2172"/>
      <c r="H116" s="525">
        <f>メイン!W91</f>
        <v>0</v>
      </c>
      <c r="I116" s="1356"/>
      <c r="J116" s="525">
        <f>CO2データ!H166</f>
        <v>0</v>
      </c>
      <c r="K116" s="1356"/>
      <c r="L116" s="2173" t="e">
        <f>CO2データ!R166</f>
        <v>#VALUE!</v>
      </c>
      <c r="M116" s="2112"/>
      <c r="N116" s="2112"/>
      <c r="O116" s="2112"/>
      <c r="P116" s="2112"/>
      <c r="Q116" s="2113"/>
      <c r="S116" s="1886">
        <f>CO2データ!N166</f>
        <v>0.77</v>
      </c>
    </row>
    <row r="117" spans="2:27" ht="14.25" thickBot="1">
      <c r="B117" s="2111"/>
      <c r="C117" s="2112"/>
      <c r="D117" s="2112"/>
      <c r="E117" s="2181" t="s">
        <v>1286</v>
      </c>
      <c r="F117" s="2181" t="s">
        <v>474</v>
      </c>
      <c r="G117" s="2181"/>
      <c r="H117" s="2182">
        <f>SUM(H101:H116)</f>
        <v>15000</v>
      </c>
      <c r="I117" s="1356"/>
      <c r="J117" s="2182">
        <f>SUMPRODUCT(H101:H116,J101:J116)/1000</f>
        <v>23222</v>
      </c>
      <c r="K117" s="1356" t="s">
        <v>1287</v>
      </c>
      <c r="L117" s="2183" t="e">
        <f>SUMPRODUCT(H101:H116,L101:L116)/H117</f>
        <v>#VALUE!</v>
      </c>
      <c r="M117" s="2112"/>
      <c r="N117" s="2112"/>
      <c r="O117" s="2112"/>
      <c r="P117" s="2112"/>
      <c r="Q117" s="2113"/>
      <c r="S117" s="1886"/>
      <c r="T117" s="2184">
        <f>SUMPRODUCT(H101:H116,J101:J116,S101:S116)/1000</f>
        <v>21099</v>
      </c>
    </row>
    <row r="118" spans="2:27">
      <c r="B118" s="2111"/>
      <c r="C118" s="2112"/>
      <c r="D118" s="2112"/>
      <c r="E118" s="1356"/>
      <c r="F118" s="1356"/>
      <c r="G118" s="1356"/>
      <c r="H118" s="1356"/>
      <c r="I118" s="1356"/>
      <c r="J118" s="1356"/>
      <c r="K118" s="1356"/>
      <c r="L118" s="1356"/>
      <c r="M118" s="2112"/>
      <c r="N118" s="2112"/>
      <c r="O118" s="2112"/>
      <c r="P118" s="2112"/>
      <c r="Q118" s="2113"/>
    </row>
    <row r="119" spans="2:27">
      <c r="B119" s="2111"/>
      <c r="C119" s="2112"/>
      <c r="D119" s="2112"/>
      <c r="E119" s="1357" t="s">
        <v>1288</v>
      </c>
      <c r="F119" s="151"/>
      <c r="G119" s="2112"/>
      <c r="H119" s="2162" t="s">
        <v>1281</v>
      </c>
      <c r="I119" s="2112"/>
      <c r="J119" s="2112"/>
      <c r="K119" s="2112"/>
      <c r="L119" s="2112"/>
      <c r="M119" s="2112"/>
      <c r="N119" s="2112"/>
      <c r="O119" s="2112"/>
      <c r="P119" s="2112"/>
      <c r="Q119" s="2113"/>
      <c r="V119" s="1"/>
      <c r="W119" s="1"/>
      <c r="Z119" s="1"/>
      <c r="AA119" s="1"/>
    </row>
    <row r="120" spans="2:27" ht="14.25" hidden="1" thickBot="1">
      <c r="B120" s="2111"/>
      <c r="C120" s="2112"/>
      <c r="D120" s="2112"/>
      <c r="E120" s="1357"/>
      <c r="F120" s="151"/>
      <c r="G120" s="2112"/>
      <c r="H120" s="2112"/>
      <c r="I120" s="2112"/>
      <c r="J120" s="2112"/>
      <c r="K120" s="2112"/>
      <c r="L120" s="2112"/>
      <c r="M120" s="2112"/>
      <c r="N120" s="2112"/>
      <c r="O120" s="2112"/>
      <c r="P120" s="2112"/>
      <c r="Q120" s="2113"/>
      <c r="S120" t="s">
        <v>1289</v>
      </c>
      <c r="T120" s="2185">
        <v>1</v>
      </c>
      <c r="V120" s="1884"/>
      <c r="W120" s="1884"/>
      <c r="Z120" s="1884"/>
      <c r="AA120" s="1884"/>
    </row>
    <row r="121" spans="2:27" ht="14.25" hidden="1" thickBot="1">
      <c r="B121" s="2111"/>
      <c r="C121" s="2112"/>
      <c r="D121" s="2112"/>
      <c r="E121" s="1357"/>
      <c r="F121" s="1357" t="s">
        <v>1290</v>
      </c>
      <c r="G121" s="151"/>
      <c r="H121" s="1874">
        <f>IF(T120=1,0,H117-H104-H105)</f>
        <v>0</v>
      </c>
      <c r="I121" s="2112"/>
      <c r="J121" s="2112"/>
      <c r="K121" s="2112"/>
      <c r="L121" s="2112"/>
      <c r="M121" s="2112"/>
      <c r="N121" s="2186"/>
      <c r="O121" s="2112" t="s">
        <v>1291</v>
      </c>
      <c r="P121" s="2112"/>
      <c r="Q121" s="2113"/>
      <c r="S121" s="1886"/>
      <c r="V121" s="1884"/>
      <c r="W121" s="1884"/>
      <c r="Z121" s="1884"/>
      <c r="AA121" s="1884"/>
    </row>
    <row r="122" spans="2:27">
      <c r="B122" s="2187"/>
      <c r="C122" s="1348"/>
      <c r="D122" s="1348"/>
      <c r="E122" s="1357"/>
      <c r="F122" s="1357" t="s">
        <v>1292</v>
      </c>
      <c r="G122" s="151"/>
      <c r="H122" s="2118" t="s">
        <v>1213</v>
      </c>
      <c r="I122" s="2118"/>
      <c r="J122" s="1351" t="s">
        <v>143</v>
      </c>
      <c r="K122" s="1351" t="s">
        <v>144</v>
      </c>
      <c r="L122" s="1351" t="s">
        <v>145</v>
      </c>
      <c r="M122" s="1352" t="s">
        <v>146</v>
      </c>
      <c r="N122" s="1352" t="s">
        <v>1035</v>
      </c>
      <c r="O122" s="2188"/>
      <c r="P122" s="1889"/>
      <c r="Q122" s="2189"/>
    </row>
    <row r="123" spans="2:27" ht="14.25" thickBot="1">
      <c r="B123" s="2187"/>
      <c r="C123" s="1348"/>
      <c r="D123" s="1348"/>
      <c r="E123" s="1357"/>
      <c r="F123" s="1357"/>
      <c r="G123" s="2118" t="s">
        <v>1293</v>
      </c>
      <c r="H123" s="2190">
        <f>H104+H105+M37</f>
        <v>320</v>
      </c>
      <c r="I123" s="2118"/>
      <c r="J123" s="2191">
        <v>0</v>
      </c>
      <c r="K123" s="2191">
        <v>1</v>
      </c>
      <c r="L123" s="2280">
        <v>15</v>
      </c>
      <c r="M123" s="2192">
        <f>スコア入力!P120</f>
        <v>3</v>
      </c>
      <c r="N123" s="2193">
        <f>IF(M123&gt;=5,$L123,IF(M123&gt;=4,$K123,$J123))</f>
        <v>0</v>
      </c>
      <c r="O123" s="2112"/>
      <c r="P123" s="1889"/>
      <c r="Q123" s="2189"/>
    </row>
    <row r="124" spans="2:27" ht="14.25" thickBot="1">
      <c r="B124" s="2187"/>
      <c r="C124" s="1348"/>
      <c r="D124" s="1348"/>
      <c r="E124" s="1357"/>
      <c r="F124" s="1357"/>
      <c r="G124" s="151" t="s">
        <v>1294</v>
      </c>
      <c r="H124" s="1874">
        <f>IF(T120=1,H117-H104-H105,0)</f>
        <v>15000</v>
      </c>
      <c r="I124" s="2118"/>
      <c r="J124" s="2191">
        <v>0</v>
      </c>
      <c r="K124" s="2191">
        <v>1</v>
      </c>
      <c r="L124" s="2281">
        <v>15</v>
      </c>
      <c r="M124" s="2192">
        <f>スコア入力!P121</f>
        <v>3</v>
      </c>
      <c r="N124" s="2193">
        <f>IF(M124&gt;=5,$L124,IF(M124&gt;=4,$K124,$J124))</f>
        <v>0</v>
      </c>
      <c r="O124" s="2112" t="s">
        <v>782</v>
      </c>
      <c r="P124" s="1889"/>
      <c r="Q124" s="2189"/>
    </row>
    <row r="125" spans="2:27">
      <c r="B125" s="2187"/>
      <c r="C125" s="1348"/>
      <c r="D125" s="1348"/>
      <c r="E125" s="2194"/>
      <c r="F125" s="2194"/>
      <c r="G125" s="2195"/>
      <c r="H125" s="151"/>
      <c r="I125" s="151"/>
      <c r="J125" s="151"/>
      <c r="K125" s="151"/>
      <c r="L125" s="151"/>
      <c r="M125" s="151"/>
      <c r="N125" s="151"/>
      <c r="O125" s="2188"/>
      <c r="P125" s="1889"/>
      <c r="Q125" s="2189"/>
    </row>
    <row r="126" spans="2:27">
      <c r="B126" s="2160"/>
      <c r="C126" s="1348"/>
      <c r="D126" s="1348"/>
      <c r="E126" s="1357" t="s">
        <v>1295</v>
      </c>
      <c r="F126" s="2194"/>
      <c r="G126" s="2112"/>
      <c r="H126" s="2196"/>
      <c r="I126" s="2112"/>
      <c r="J126" s="1351" t="s">
        <v>143</v>
      </c>
      <c r="K126" s="1351" t="s">
        <v>144</v>
      </c>
      <c r="L126" s="1351" t="s">
        <v>145</v>
      </c>
      <c r="M126" s="1352" t="s">
        <v>146</v>
      </c>
      <c r="N126" s="1352" t="s">
        <v>1296</v>
      </c>
      <c r="O126" s="1354"/>
      <c r="P126" s="1889"/>
      <c r="Q126" s="2189"/>
    </row>
    <row r="127" spans="2:27">
      <c r="B127" s="2160"/>
      <c r="C127" s="1348"/>
      <c r="D127" s="1348"/>
      <c r="E127" s="1357"/>
      <c r="F127" s="1357" t="s">
        <v>1297</v>
      </c>
      <c r="G127" s="2112"/>
      <c r="H127" s="2112"/>
      <c r="I127" s="2112"/>
      <c r="J127" s="2197">
        <v>1</v>
      </c>
      <c r="K127" s="2198">
        <v>0.97499999999999998</v>
      </c>
      <c r="L127" s="2197">
        <v>0.95</v>
      </c>
      <c r="M127" s="2192">
        <f>スコア表示!M134</f>
        <v>3</v>
      </c>
      <c r="N127" s="2199">
        <f>IF(M127&gt;=5,$L127,IF(M127&gt;=4,$K127,$J127))</f>
        <v>1</v>
      </c>
      <c r="O127" s="1354"/>
      <c r="P127" s="1889"/>
      <c r="Q127" s="2189"/>
    </row>
    <row r="128" spans="2:27">
      <c r="B128" s="2160"/>
      <c r="C128" s="1348"/>
      <c r="D128" s="2112"/>
      <c r="E128" s="2112"/>
      <c r="F128" s="2112"/>
      <c r="G128" s="2112"/>
      <c r="H128" s="2112"/>
      <c r="I128" s="2112"/>
      <c r="J128" s="2112"/>
      <c r="K128" s="2112"/>
      <c r="L128" s="2112"/>
      <c r="M128" s="2112"/>
      <c r="N128" s="1345"/>
      <c r="O128" s="1354"/>
      <c r="P128" s="1354"/>
      <c r="Q128" s="1347"/>
    </row>
    <row r="129" spans="2:19">
      <c r="B129" s="2160"/>
      <c r="C129" s="1348"/>
      <c r="D129" s="2112"/>
      <c r="E129" s="2115" t="s">
        <v>1298</v>
      </c>
      <c r="F129" s="2112"/>
      <c r="G129" s="2200"/>
      <c r="H129" s="2112"/>
      <c r="I129" s="2112"/>
      <c r="J129" s="2112"/>
      <c r="K129" s="2112"/>
      <c r="L129" s="2112"/>
      <c r="M129" s="2112"/>
      <c r="N129" s="2112" t="s">
        <v>65</v>
      </c>
      <c r="O129" s="2112"/>
      <c r="P129" s="2112"/>
      <c r="Q129" s="2161" t="s">
        <v>138</v>
      </c>
    </row>
    <row r="130" spans="2:19">
      <c r="B130" s="2160"/>
      <c r="C130" s="1348"/>
      <c r="D130" s="2112"/>
      <c r="E130" s="2112"/>
      <c r="F130" s="2112"/>
      <c r="G130" s="2200"/>
      <c r="H130" s="2112"/>
      <c r="I130" s="2112"/>
      <c r="J130" s="2112"/>
      <c r="K130" s="2112"/>
      <c r="L130" s="2112"/>
      <c r="M130" s="2112"/>
      <c r="N130" s="1345" t="s">
        <v>1237</v>
      </c>
      <c r="O130" s="1354"/>
      <c r="P130" s="1354"/>
      <c r="Q130" s="1347" t="s">
        <v>1237</v>
      </c>
    </row>
    <row r="131" spans="2:19">
      <c r="B131" s="2160"/>
      <c r="C131" s="1348"/>
      <c r="D131" s="2112"/>
      <c r="E131" s="1356"/>
      <c r="F131" s="2112" t="s">
        <v>1135</v>
      </c>
      <c r="G131" s="2200"/>
      <c r="H131" s="2112"/>
      <c r="I131" s="2112"/>
      <c r="J131" s="2118" t="s">
        <v>1299</v>
      </c>
      <c r="K131" s="2118" t="s">
        <v>65</v>
      </c>
      <c r="L131" s="2118" t="s">
        <v>138</v>
      </c>
      <c r="M131" s="2118"/>
      <c r="N131" s="2167" t="str">
        <f>IF(N52=0,0,IF(N84=T82,IF(N65=0,"-",N65),J133*K133/1000))</f>
        <v>-</v>
      </c>
      <c r="O131" s="2112"/>
      <c r="P131" s="2112"/>
      <c r="Q131" s="2168">
        <f>IF(N52=0,0,IF(N84=T82,(N62-N63)*1.1+N63,J133*L133/1000))</f>
        <v>0</v>
      </c>
      <c r="S131" s="1886"/>
    </row>
    <row r="132" spans="2:19">
      <c r="B132" s="2160"/>
      <c r="C132" s="1348"/>
      <c r="D132" s="2112"/>
      <c r="E132" s="1356"/>
      <c r="F132" s="2112"/>
      <c r="G132" s="2200"/>
      <c r="H132" s="2112"/>
      <c r="I132" s="2112"/>
      <c r="J132" s="2118" t="s">
        <v>1213</v>
      </c>
      <c r="K132" s="2201" t="s">
        <v>782</v>
      </c>
      <c r="L132" s="2201" t="s">
        <v>782</v>
      </c>
      <c r="M132" s="2118"/>
      <c r="N132" s="2202"/>
      <c r="O132" s="2112"/>
      <c r="P132" s="2112"/>
      <c r="Q132" s="2203"/>
    </row>
    <row r="133" spans="2:19">
      <c r="B133" s="2160"/>
      <c r="C133" s="1348"/>
      <c r="D133" s="2112"/>
      <c r="E133" s="1356"/>
      <c r="F133" s="2112"/>
      <c r="G133" s="151" t="s">
        <v>1300</v>
      </c>
      <c r="H133" s="2112"/>
      <c r="I133" s="2118"/>
      <c r="J133" s="2167">
        <f>N52</f>
        <v>300</v>
      </c>
      <c r="K133" s="2167">
        <f>CO2データ!I196</f>
        <v>1343</v>
      </c>
      <c r="L133" s="2167">
        <f>CO2データ!I197</f>
        <v>1163</v>
      </c>
      <c r="M133" s="2118"/>
      <c r="N133" s="1345"/>
      <c r="O133" s="1354"/>
      <c r="P133" s="1354"/>
      <c r="Q133" s="1347"/>
    </row>
    <row r="134" spans="2:19" ht="6.75" customHeight="1">
      <c r="B134" s="2160"/>
      <c r="C134" s="1348"/>
      <c r="D134" s="2112"/>
      <c r="E134" s="1356"/>
      <c r="F134" s="2112"/>
      <c r="G134" s="151"/>
      <c r="H134" s="2112"/>
      <c r="I134" s="2118"/>
      <c r="J134" s="2202"/>
      <c r="K134" s="2202"/>
      <c r="L134" s="2202"/>
      <c r="M134" s="2118"/>
      <c r="N134" s="1345"/>
      <c r="O134" s="1354"/>
      <c r="P134" s="1354"/>
      <c r="Q134" s="1347"/>
    </row>
    <row r="135" spans="2:19">
      <c r="B135" s="2160"/>
      <c r="C135" s="1348"/>
      <c r="D135" s="2112"/>
      <c r="E135" s="2112"/>
      <c r="F135" s="2112" t="s">
        <v>774</v>
      </c>
      <c r="G135" s="2200"/>
      <c r="H135" s="2112"/>
      <c r="I135" s="2112"/>
      <c r="J135" s="2112"/>
      <c r="K135" s="2112"/>
      <c r="L135" s="2162"/>
      <c r="M135" s="2112"/>
      <c r="N135" s="2167" t="str">
        <f>IF(M52=0,0,IF(M65=0,"-",M65))</f>
        <v>-</v>
      </c>
      <c r="O135" s="1354"/>
      <c r="P135" s="1889"/>
      <c r="Q135" s="2168">
        <f>IF(M52=0,0,M62)</f>
        <v>0</v>
      </c>
      <c r="S135" s="1886"/>
    </row>
    <row r="136" spans="2:19" ht="14.25" thickBot="1">
      <c r="B136" s="2150"/>
      <c r="C136" s="2151"/>
      <c r="D136" s="2151"/>
      <c r="E136" s="2151"/>
      <c r="F136" s="2151"/>
      <c r="G136" s="2151"/>
      <c r="H136" s="2151"/>
      <c r="I136" s="2151"/>
      <c r="J136" s="2151"/>
      <c r="K136" s="2151"/>
      <c r="L136" s="2151"/>
      <c r="M136" s="2151"/>
      <c r="N136" s="2151"/>
      <c r="O136" s="2151"/>
      <c r="P136" s="2151"/>
      <c r="Q136" s="2153"/>
    </row>
    <row r="137" spans="2:19">
      <c r="H137" s="1887"/>
    </row>
    <row r="138" spans="2:19"/>
    <row r="139" spans="2:19"/>
    <row r="140" spans="2:19"/>
    <row r="141" spans="2:19"/>
    <row r="142" spans="2:19"/>
    <row r="143" spans="2:19"/>
  </sheetData>
  <sheetProtection password="82B4" sheet="1" objects="1" scenarios="1"/>
  <mergeCells count="23">
    <mergeCell ref="E29:G29"/>
    <mergeCell ref="E47:G47"/>
    <mergeCell ref="E84:K86"/>
    <mergeCell ref="N84:P84"/>
    <mergeCell ref="C4:E4"/>
    <mergeCell ref="F4:G4"/>
    <mergeCell ref="C5:E5"/>
    <mergeCell ref="F5:G5"/>
    <mergeCell ref="C7:E7"/>
    <mergeCell ref="F7:G7"/>
    <mergeCell ref="L7:M7"/>
    <mergeCell ref="C8:E8"/>
    <mergeCell ref="F8:G8"/>
    <mergeCell ref="L8:M8"/>
    <mergeCell ref="C11:G11"/>
    <mergeCell ref="H17:N17"/>
    <mergeCell ref="C19:G19"/>
    <mergeCell ref="C20:G20"/>
    <mergeCell ref="H11:I11"/>
    <mergeCell ref="C12:G12"/>
    <mergeCell ref="H12:I12"/>
    <mergeCell ref="C15:G15"/>
    <mergeCell ref="C16:G16"/>
  </mergeCells>
  <phoneticPr fontId="20"/>
  <conditionalFormatting sqref="N121">
    <cfRule type="expression" dxfId="88" priority="16" stopIfTrue="1">
      <formula>$J$75&gt;0</formula>
    </cfRule>
  </conditionalFormatting>
  <conditionalFormatting sqref="H5:I5">
    <cfRule type="expression" dxfId="87" priority="10">
      <formula>$F$5="BPIm（モデル建物法）"</formula>
    </cfRule>
    <cfRule type="expression" dxfId="86" priority="12">
      <formula>$F$5="BPI（標準法）"</formula>
    </cfRule>
  </conditionalFormatting>
  <conditionalFormatting sqref="J5">
    <cfRule type="expression" dxfId="85" priority="9">
      <formula>$F$5="BPIm（モデル建物法）"</formula>
    </cfRule>
    <cfRule type="expression" dxfId="84" priority="11">
      <formula>$F$5="BPI（標準法）"</formula>
    </cfRule>
  </conditionalFormatting>
  <conditionalFormatting sqref="H8:I8">
    <cfRule type="expression" dxfId="83" priority="6">
      <formula>$F$8="BEIm（モデル建物法）"</formula>
    </cfRule>
    <cfRule type="expression" dxfId="82" priority="8">
      <formula>$F$8="BEI（標準法）"</formula>
    </cfRule>
  </conditionalFormatting>
  <conditionalFormatting sqref="J8 L8">
    <cfRule type="expression" dxfId="81" priority="5">
      <formula>$F$8="BEIm（モデル建物法）"</formula>
    </cfRule>
    <cfRule type="expression" dxfId="80" priority="7">
      <formula>$F$8="BEI（標準法）"</formula>
    </cfRule>
  </conditionalFormatting>
  <conditionalFormatting sqref="I48:I49">
    <cfRule type="expression" dxfId="79" priority="4" stopIfTrue="1">
      <formula>$E$47=$S$50</formula>
    </cfRule>
  </conditionalFormatting>
  <conditionalFormatting sqref="I62:I65">
    <cfRule type="expression" dxfId="78" priority="3" stopIfTrue="1">
      <formula>OR($I$52=0,$E$47=$S$51)</formula>
    </cfRule>
  </conditionalFormatting>
  <conditionalFormatting sqref="M62:M66">
    <cfRule type="expression" dxfId="77" priority="2">
      <formula>$M$37=0</formula>
    </cfRule>
  </conditionalFormatting>
  <conditionalFormatting sqref="N62:N66">
    <cfRule type="expression" dxfId="76" priority="1">
      <formula>$M$37=0</formula>
    </cfRule>
  </conditionalFormatting>
  <dataValidations count="8">
    <dataValidation type="list" allowBlank="1" showInputMessage="1" showErrorMessage="1" sqref="N60">
      <formula1>$S$60:$S$64</formula1>
    </dataValidation>
    <dataValidation type="list" allowBlank="1" showInputMessage="1" showErrorMessage="1" sqref="K88">
      <formula1>$U$88:$U$90</formula1>
    </dataValidation>
    <dataValidation type="list" allowBlank="1" showInputMessage="1" showErrorMessage="1" sqref="F88">
      <formula1>$T$88:$T$91</formula1>
    </dataValidation>
    <dataValidation type="list" allowBlank="1" showInputMessage="1" sqref="N84">
      <formula1>$T$82:$T$84</formula1>
    </dataValidation>
    <dataValidation allowBlank="1" showInputMessage="1" sqref="N121"/>
    <dataValidation type="list" allowBlank="1" showInputMessage="1" showErrorMessage="1" sqref="F8:G8">
      <formula1>"BEI（標準法）,BEIm（モデル建物法）"</formula1>
    </dataValidation>
    <dataValidation type="list" allowBlank="1" showInputMessage="1" showErrorMessage="1" sqref="H12:I12">
      <formula1>"対象外,等級1,等級2,等級3,等級4"</formula1>
    </dataValidation>
    <dataValidation type="list" allowBlank="1" showInputMessage="1" showErrorMessage="1" sqref="F5:G5">
      <formula1>"BPI（標準法）,BPIm（モデル建物法）"</formula1>
    </dataValidation>
  </dataValidations>
  <pageMargins left="0.78740157480314965" right="0.78740157480314965" top="0.98425196850393704" bottom="0.98425196850393704" header="0.51181102362204722" footer="0.51181102362204722"/>
  <pageSetup paperSize="9" scale="67" fitToHeight="0" orientation="portrait" r:id="rId1"/>
  <headerFooter alignWithMargins="0">
    <oddHeader>&amp;L&amp;F&amp;R&amp;A</oddHeader>
    <oddFooter>&amp;C&amp;P/&amp;N</oddFooter>
  </headerFooter>
  <rowBreaks count="2" manualBreakCount="2">
    <brk id="24" max="16383" man="1"/>
    <brk id="93"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21</vt:i4>
      </vt:variant>
    </vt:vector>
  </HeadingPairs>
  <TitlesOfParts>
    <vt:vector size="49" baseType="lpstr">
      <vt:lpstr>環境表示結果</vt:lpstr>
      <vt:lpstr>ラベル</vt:lpstr>
      <vt:lpstr>計画概要書(改修後)</vt:lpstr>
      <vt:lpstr>計画概要書(改修前)</vt:lpstr>
      <vt:lpstr>計画概要書（前後の比較）</vt:lpstr>
      <vt:lpstr>概要</vt:lpstr>
      <vt:lpstr>メイン</vt:lpstr>
      <vt:lpstr>配慮事項</vt:lpstr>
      <vt:lpstr>省エネ_後</vt:lpstr>
      <vt:lpstr>省エネ_前</vt:lpstr>
      <vt:lpstr>省エネ_対象外</vt:lpstr>
      <vt:lpstr>スコア表示</vt:lpstr>
      <vt:lpstr>スコア入力</vt:lpstr>
      <vt:lpstr>外観入力</vt:lpstr>
      <vt:lpstr>排出係数</vt:lpstr>
      <vt:lpstr>境界値</vt:lpstr>
      <vt:lpstr>条件(標準)_後</vt:lpstr>
      <vt:lpstr>条件(個別)_後</vt:lpstr>
      <vt:lpstr>条件(標準)_前</vt:lpstr>
      <vt:lpstr>条件(個別)_前</vt:lpstr>
      <vt:lpstr>CO2計算_後</vt:lpstr>
      <vt:lpstr>CO2計算_前</vt:lpstr>
      <vt:lpstr>CO2計算_対象外</vt:lpstr>
      <vt:lpstr>CO2データ</vt:lpstr>
      <vt:lpstr>重み_前</vt:lpstr>
      <vt:lpstr>重み_対象外</vt:lpstr>
      <vt:lpstr>重み_後</vt:lpstr>
      <vt:lpstr>クレジット</vt:lpstr>
      <vt:lpstr>CO2データ!Print_Area</vt:lpstr>
      <vt:lpstr>CO2計算_後!Print_Area</vt:lpstr>
      <vt:lpstr>CO2計算_前!Print_Area</vt:lpstr>
      <vt:lpstr>CO2計算_対象外!Print_Area</vt:lpstr>
      <vt:lpstr>クレジット!Print_Area</vt:lpstr>
      <vt:lpstr>スコア入力!Print_Area</vt:lpstr>
      <vt:lpstr>スコア表示!Print_Area</vt:lpstr>
      <vt:lpstr>メイン!Print_Area</vt:lpstr>
      <vt:lpstr>ラベル!Print_Area</vt:lpstr>
      <vt:lpstr>環境表示結果!Print_Area</vt:lpstr>
      <vt:lpstr>'計画概要書(改修後)'!Print_Area</vt:lpstr>
      <vt:lpstr>'計画概要書(改修前)'!Print_Area</vt:lpstr>
      <vt:lpstr>'計画概要書（前後の比較）'!Print_Area</vt:lpstr>
      <vt:lpstr>重み_後!Print_Area</vt:lpstr>
      <vt:lpstr>重み_前!Print_Area</vt:lpstr>
      <vt:lpstr>重み_対象外!Print_Area</vt:lpstr>
      <vt:lpstr>省エネ_対象外!Print_Area</vt:lpstr>
      <vt:lpstr>排出係数!Print_Area</vt:lpstr>
      <vt:lpstr>重み_後!Print_Titles</vt:lpstr>
      <vt:lpstr>重み_前!Print_Titles</vt:lpstr>
      <vt:lpstr>重み_対象外!Print_Titles</vt:lpstr>
    </vt:vector>
  </TitlesOfParts>
  <Company>株式会社日建設計</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大阪市</cp:lastModifiedBy>
  <cp:lastPrinted>2015-04-02T02:13:34Z</cp:lastPrinted>
  <dcterms:created xsi:type="dcterms:W3CDTF">2009-05-12T07:23:30Z</dcterms:created>
  <dcterms:modified xsi:type="dcterms:W3CDTF">2015-04-02T02:33:18Z</dcterms:modified>
</cp:coreProperties>
</file>