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APIF102C\OA-fa0260$\ユーザ作業用フォルダ\08_指定\49 福祉・介護職員処遇改善加算\処遇改善加算　計画\令和６年度処遇改善加算　計画\通知\HP\"/>
    </mc:Choice>
  </mc:AlternateContent>
  <xr:revisionPtr revIDLastSave="0" documentId="13_ncr:1_{2B3B2437-68EB-4BB9-BDF2-58421D9D545E}"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<sst xmlns="http://schemas.openxmlformats.org/spreadsheetml/2006/main" count="6514" uniqueCount="2397">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</sst>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0" borderId="139" xfId="0" applyFont="1" applyBorder="1" applyAlignment="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98500"/>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639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139188"/>
              <a:ext cx="17938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97125"/>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02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36537"/>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083625"/>
              <a:ext cx="179387"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185813"/>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21125"/>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63938"/>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73813"/>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8"/>
              <a:chExt cx="303832" cy="48692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5"/>
              <a:chExt cx="301792" cy="78010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8"/>
              <a:chExt cx="308371" cy="76286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9"/>
              <a:chExt cx="301792" cy="49476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94" y="8168748"/>
              <a:chExt cx="217610"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8" y="8166017"/>
              <a:chExt cx="208649" cy="74979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28"/>
              <a:chExt cx="303832" cy="486923"/>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55"/>
              <a:chExt cx="301792" cy="780106"/>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8"/>
              <a:chExt cx="308371" cy="76286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19"/>
              <a:chExt cx="301792" cy="494768"/>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594" y="8168748"/>
              <a:chExt cx="217610"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8" y="8166017"/>
              <a:chExt cx="208649" cy="749793"/>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4"/>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8"/>
              <a:chExt cx="303832" cy="48692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5"/>
              <a:chExt cx="301792" cy="78010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8"/>
              <a:chExt cx="308371" cy="76286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9"/>
              <a:chExt cx="301792" cy="49476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94" y="8168748"/>
              <a:chExt cx="217610"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8" y="8166017"/>
              <a:chExt cx="208649" cy="74979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7"/>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4"/>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68"/>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2"/>
              <a:chExt cx="308373" cy="779251"/>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98" y="8167936"/>
              <a:chExt cx="225534"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9" y="8163158"/>
              <a:chExt cx="208417" cy="748003"/>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8" y="728648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7"/>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4"/>
              <a:chExt cx="308373" cy="759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68"/>
              <a:chExt cx="301792" cy="49475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2"/>
              <a:chExt cx="308373" cy="77925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598" y="8167936"/>
              <a:chExt cx="225534" cy="793288"/>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59" y="8163158"/>
              <a:chExt cx="208417" cy="74800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78" y="7286484"/>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7"/>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4"/>
              <a:chExt cx="308373" cy="759871"/>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68"/>
              <a:chExt cx="301792" cy="494759"/>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2"/>
              <a:chExt cx="308373" cy="779251"/>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598" y="8167936"/>
              <a:chExt cx="225534" cy="793288"/>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59" y="8163158"/>
              <a:chExt cx="208417" cy="748003"/>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78" y="7286484"/>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7"/>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4"/>
              <a:chExt cx="308373" cy="759871"/>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68"/>
              <a:chExt cx="301792" cy="494759"/>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2"/>
              <a:chExt cx="308373" cy="779251"/>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598" y="8167936"/>
              <a:chExt cx="225534" cy="793288"/>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59" y="8163158"/>
              <a:chExt cx="208417" cy="748003"/>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78" y="7286484"/>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7"/>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4"/>
              <a:chExt cx="308373" cy="759871"/>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68"/>
              <a:chExt cx="301792" cy="494759"/>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2"/>
              <a:chExt cx="308373" cy="779251"/>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598" y="8167936"/>
              <a:chExt cx="225534" cy="793288"/>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59" y="8163158"/>
              <a:chExt cx="208417" cy="748003"/>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78" y="7286484"/>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7"/>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4"/>
              <a:chExt cx="308373" cy="759871"/>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68"/>
              <a:chExt cx="301792" cy="494759"/>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2"/>
              <a:chExt cx="308373" cy="779251"/>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598" y="8167936"/>
              <a:chExt cx="225534" cy="793288"/>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59" y="8163158"/>
              <a:chExt cx="208417" cy="748003"/>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78" y="7286484"/>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zoomScale="120" zoomScaleNormal="120" zoomScaleSheetLayoutView="120" zoomScalePageLayoutView="64" workbookViewId="0">
      <selection activeCell="H12" sqref="H12:AK1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F1" zoomScaleNormal="53" zoomScaleSheetLayoutView="100" workbookViewId="0">
      <selection activeCell="AU8" sqref="AU8:AU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2119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処遇加算Ⅰ特定加算Ⅰベア加算なし</v>
      </c>
      <c r="AT1" s="1036"/>
      <c r="AU1" s="1036"/>
      <c r="AV1" s="1036"/>
      <c r="AW1" s="1036"/>
      <c r="AX1" s="1036"/>
      <c r="AY1" s="1036"/>
      <c r="AZ1" s="1036"/>
      <c r="BA1" s="1036"/>
      <c r="BB1" s="1036"/>
      <c r="BC1" s="1036"/>
      <c r="BD1" s="1036"/>
      <c r="BE1" s="1037"/>
      <c r="BF1" s="1034" t="str">
        <f>IFERROR(VLOOKUP(Y5,【参考】数式用!$AH$2:$AI$34,2,FALSE),"")</f>
        <v>施設入所支援</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76"/>
      <c r="AR2" s="76"/>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2345</v>
      </c>
      <c r="Q5" s="1010"/>
      <c r="R5" s="1010"/>
      <c r="S5" s="1010"/>
      <c r="T5" s="1010"/>
      <c r="U5" s="1010"/>
      <c r="V5" s="1010"/>
      <c r="W5" s="1010"/>
      <c r="X5" s="1011"/>
      <c r="Y5" s="1087" t="s">
        <v>2250</v>
      </c>
      <c r="Z5" s="1087"/>
      <c r="AA5" s="1087"/>
      <c r="AB5" s="1087"/>
      <c r="AC5" s="1087"/>
      <c r="AD5" s="1087"/>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v>
      </c>
      <c r="AY8" s="1206" t="str">
        <f>IF(OR(V8="新加算Ⅰ",V8="新加算Ⅴ(１)",V8="新加算Ⅴ(２)",V8="新加算Ⅴ(５)",V8="新加算Ⅴ(７)",V8="新加算Ⅴ(10)"),"○","")</f>
        <v>○</v>
      </c>
      <c r="AZ8" s="1206" t="str">
        <f>IF(OR(V8="新加算Ⅰ",V8="新加算Ⅱ",V8="新加算Ⅴ(１)",V8="新加算Ⅴ(２)",V8="新加算Ⅴ(３)",V8="新加算Ⅴ(４)",V8="新加算Ⅴ(５)",V8="新加算Ⅴ(６)",V8="新加算Ⅴ(７)",V8="新加算Ⅴ(９)",V8="新加算Ⅴ(10)",V8="新加算Ⅴ(12)"),"○","")</f>
        <v>○</v>
      </c>
      <c r="BA8" s="84"/>
      <c r="CE8" s="1213" t="s">
        <v>2188</v>
      </c>
      <c r="CF8" s="1213"/>
      <c r="CG8" s="1213"/>
      <c r="CH8" s="1213"/>
      <c r="CI8" s="990" t="str">
        <f>IF(AND(AP62=1,AL41=""),1,"")</f>
        <v/>
      </c>
      <c r="CJ8" s="991"/>
    </row>
    <row r="9" spans="1:88" ht="26.25" customHeight="1">
      <c r="B9" s="1125" t="s">
        <v>7</v>
      </c>
      <c r="C9" s="1126"/>
      <c r="D9" s="1126"/>
      <c r="E9" s="1126"/>
      <c r="F9" s="1127"/>
      <c r="G9" s="1128" t="s">
        <v>234</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f>IF(OR(AH62=1,AP62=1),1,"")</f>
        <v>1</v>
      </c>
      <c r="CJ9" s="991"/>
    </row>
    <row r="10" spans="1:88" ht="11.25" customHeight="1">
      <c r="B10" s="1134">
        <f>IFERROR(VLOOKUP(Y5,【参考】数式用!$A$5:$J$37,MATCH(B9,【参考】数式用!$B$4:$J$4,0)+1,0),"")</f>
        <v>8.5999999999999993E-2</v>
      </c>
      <c r="C10" s="1135"/>
      <c r="D10" s="1135"/>
      <c r="E10" s="1135"/>
      <c r="F10" s="1136"/>
      <c r="G10" s="1134">
        <f>IFERROR(VLOOKUP(Y5,【参考】数式用!$A$5:$J$37,MATCH(G9,【参考】数式用!$B$4:$J$4,0)+1,0),"")</f>
        <v>2.1000000000000001E-2</v>
      </c>
      <c r="H10" s="1135"/>
      <c r="I10" s="1135"/>
      <c r="J10" s="1135"/>
      <c r="K10" s="1136"/>
      <c r="L10" s="1140">
        <f>IFERROR(VLOOKUP(Y5,【参考】数式用!$A$5:$J$37,MATCH(L9,【参考】数式用!$B$4:$J$4,0)+1,0),"")</f>
        <v>0</v>
      </c>
      <c r="M10" s="1141"/>
      <c r="N10" s="1141"/>
      <c r="O10" s="1141"/>
      <c r="P10" s="1142"/>
      <c r="Q10" s="1146">
        <f>SUM(B10,G10,L10)</f>
        <v>0.107</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新加算Ⅴ(１)</v>
      </c>
      <c r="W11" s="1076"/>
      <c r="X11" s="1076"/>
      <c r="Y11" s="1076"/>
      <c r="Z11" s="1076"/>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v>
      </c>
      <c r="AX11" s="1206" t="str">
        <f>IF(OR(V11="新加算Ⅰ",V11="新加算Ⅱ",V11="新加算Ⅴ(１)",V11="新加算Ⅴ(２)",V11="新加算Ⅴ(３)",V11="新加算Ⅴ(４)",V11="新加算Ⅴ(５)",V11="新加算Ⅴ(６)",V11="新加算Ⅴ(７)",V11="新加算Ⅴ(９)",V11="新加算Ⅴ(10)",V11="新加算Ⅴ(12)"),"○","")</f>
        <v>○</v>
      </c>
      <c r="AY11" s="1206" t="str">
        <f>IF(OR(V11="新加算Ⅰ",V11="新加算Ⅴ(１)",V11="新加算Ⅴ(２)",V11="新加算Ⅴ(５)",V11="新加算Ⅴ(７)",V11="新加算Ⅴ(10)"),"○","")</f>
        <v>○</v>
      </c>
      <c r="AZ11" s="1206"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0.13100000000000001</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102"/>
      <c r="V14" s="1076" t="str">
        <f>IFERROR(IF(VLOOKUP(AS1,【参考】数式用2!E6:L23,7,FALSE)="","",VLOOKUP(AS1,【参考】数式用2!E6:L23,7,FALSE)),"")</f>
        <v/>
      </c>
      <c r="W14" s="1076"/>
      <c r="X14" s="1076"/>
      <c r="Y14" s="1076"/>
      <c r="Z14" s="1076"/>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103" t="s">
        <v>2111</v>
      </c>
      <c r="F15" s="54">
        <v>4</v>
      </c>
      <c r="G15" s="103" t="s">
        <v>2112</v>
      </c>
      <c r="H15" s="1060" t="s">
        <v>2113</v>
      </c>
      <c r="I15" s="1060"/>
      <c r="J15" s="1073"/>
      <c r="K15" s="54">
        <v>7</v>
      </c>
      <c r="L15" s="103" t="s">
        <v>2111</v>
      </c>
      <c r="M15" s="54">
        <v>3</v>
      </c>
      <c r="N15" s="103" t="s">
        <v>2112</v>
      </c>
      <c r="O15" s="103" t="s">
        <v>2114</v>
      </c>
      <c r="P15" s="104">
        <f>(K15*12+M15)-(D15*12+F15)+1</f>
        <v>12</v>
      </c>
      <c r="Q15" s="1060" t="s">
        <v>2115</v>
      </c>
      <c r="R15" s="1060"/>
      <c r="S15" s="105" t="s">
        <v>69</v>
      </c>
      <c r="U15" s="102"/>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11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119" t="str">
        <f>IFERROR(IF(OR(B9="処遇加算Ⅰ",B9="処遇加算Ⅱ"),"✓",""),"")</f>
        <v>✓</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11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11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119" t="str">
        <f>IFERROR(IF(OR(B9="処遇加算Ⅰ",B9="処遇加算Ⅱ"),"✓",""),"")</f>
        <v>✓</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11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11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119" t="str">
        <f>IFERROR(IF(B9="処遇加算Ⅰ","✓",""),"")</f>
        <v>✓</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11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119" t="str">
        <f>IFERROR(IF(OR(G9="特定加算Ⅰ",G9="特定加算Ⅱ"),"✓",""),"")</f>
        <v>✓</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119" t="str">
        <f>IFERROR(IF(G9="特定加算なし","✓",""),"")</f>
        <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対象加算なし（自動的に要件を満たす）</v>
      </c>
      <c r="H40" s="1078"/>
      <c r="I40" s="1078"/>
      <c r="J40" s="1078"/>
      <c r="K40" s="1078"/>
      <c r="L40" s="1078"/>
      <c r="M40" s="1078"/>
      <c r="N40" s="1078"/>
      <c r="O40" s="1078"/>
      <c r="P40" s="1078"/>
      <c r="Q40" s="1078"/>
      <c r="R40" s="1078"/>
      <c r="S40" s="1078"/>
      <c r="T40" s="1079"/>
      <c r="U40" s="92"/>
      <c r="V40" s="119" t="str">
        <f>IFERROR(IF(G9="特定加算Ⅰ","✓",""),"")</f>
        <v>✓</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119" t="str">
        <f>IFERROR(IF(OR(G9="特定加算Ⅱ",G9="特定加算なし"),"✓",""),"")</f>
        <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2374</v>
      </c>
      <c r="H44" s="1078"/>
      <c r="I44" s="1078"/>
      <c r="J44" s="1078"/>
      <c r="K44" s="1078"/>
      <c r="L44" s="1078"/>
      <c r="M44" s="1078"/>
      <c r="N44" s="1078"/>
      <c r="O44" s="1078"/>
      <c r="P44" s="1078"/>
      <c r="Q44" s="1078"/>
      <c r="R44" s="1078"/>
      <c r="S44" s="1078"/>
      <c r="T44" s="1079"/>
      <c r="U44" s="118"/>
      <c r="V44" s="119" t="str">
        <f>IFERROR(IF(OR(G9="特定加算Ⅰ",G9="特定加算Ⅱ"),"✓",""),"")</f>
        <v>✓</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11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特定加算Ⅰ</v>
      </c>
      <c r="AX48" s="1042"/>
      <c r="AY48" s="1042"/>
      <c r="AZ48" s="1042"/>
      <c r="BA48" s="1041" t="str">
        <f>IFERROR(IF(OR(L9="ベア加算",AP57=1),"ベア加算",IF(AP57=2,"ベア加算なし","")),"")</f>
        <v>ベア加算</v>
      </c>
      <c r="BB48" s="1041"/>
      <c r="BC48" s="1041"/>
      <c r="BD48" s="1041"/>
      <c r="BE48" s="1043" t="str">
        <f>AS48&amp;AW48&amp;BA48</f>
        <v>処遇加算Ⅰ特定加算Ⅰベア加算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特定加算Ⅰ</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新加算Ⅰ</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8.5999999999999993E-2</v>
      </c>
      <c r="H50" s="1178"/>
      <c r="I50" s="1178"/>
      <c r="J50" s="1178"/>
      <c r="K50" s="1179"/>
      <c r="L50" s="1180">
        <f>IFERROR(VLOOKUP(Y5,【参考】数式用!$A$5:$J$37,MATCH(L49,【参考】数式用!$B$4:$J$4,0)+1,0),"")</f>
        <v>2.1000000000000001E-2</v>
      </c>
      <c r="M50" s="1181"/>
      <c r="N50" s="1181"/>
      <c r="O50" s="1181"/>
      <c r="P50" s="1182"/>
      <c r="Q50" s="1183">
        <f>IFERROR(VLOOKUP(Y5,【参考】数式用!$A$5:$J$37,MATCH(Q49,【参考】数式用!$B$4:$J$4,0)+1,0),"")</f>
        <v>2.8000000000000001E-2</v>
      </c>
      <c r="R50" s="1178"/>
      <c r="S50" s="1178"/>
      <c r="T50" s="1178"/>
      <c r="U50" s="1184"/>
      <c r="V50" s="1146">
        <f>SUM(G50,L50,Q50)</f>
        <v>0.13500000000000001</v>
      </c>
      <c r="W50" s="1147"/>
      <c r="X50" s="1147"/>
      <c r="Y50" s="1147"/>
      <c r="Z50" s="1147"/>
      <c r="AA50" s="1033"/>
      <c r="AB50" s="1033"/>
      <c r="AC50" s="1185">
        <f>IFERROR(VLOOKUP(Y5,【参考】数式用!$A$5:$AB$37,MATCH(AC49,【参考】数式用!$B$4:$AB$4,0)+1,FALSE),"")</f>
        <v>0.159</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318200</v>
      </c>
      <c r="H51" s="1093"/>
      <c r="I51" s="1093"/>
      <c r="J51" s="1093"/>
      <c r="K51" s="55" t="s">
        <v>2117</v>
      </c>
      <c r="L51" s="1090">
        <f>IFERROR(ROUNDDOWN(ROUND(AM5*L50,0),0)*H53,"")</f>
        <v>77700</v>
      </c>
      <c r="M51" s="1091"/>
      <c r="N51" s="1091"/>
      <c r="O51" s="1091"/>
      <c r="P51" s="55" t="s">
        <v>2117</v>
      </c>
      <c r="Q51" s="1092">
        <f>IFERROR(ROUNDDOWN(ROUND(AM5*Q50,0),0)*H53,"")</f>
        <v>103600</v>
      </c>
      <c r="R51" s="1093"/>
      <c r="S51" s="1093"/>
      <c r="T51" s="1093"/>
      <c r="U51" s="56" t="s">
        <v>2117</v>
      </c>
      <c r="V51" s="1193">
        <f>IFERROR(SUM(G51,L51,Q51),"")</f>
        <v>499500</v>
      </c>
      <c r="W51" s="1194"/>
      <c r="X51" s="1194"/>
      <c r="Y51" s="1194"/>
      <c r="Z51" s="57" t="s">
        <v>2117</v>
      </c>
      <c r="AB51" s="58"/>
      <c r="AC51" s="1092">
        <f>IFERROR(ROUNDDOWN(ROUND(AM5*AC50,0),0)*AD53,"")</f>
        <v>2941500</v>
      </c>
      <c r="AD51" s="1093"/>
      <c r="AE51" s="1093"/>
      <c r="AF51" s="1093"/>
      <c r="AG51" s="1093"/>
      <c r="AH51" s="56" t="s">
        <v>2117</v>
      </c>
      <c r="AS51" s="1044">
        <f>IFERROR(ROUNDDOWN(ROUND(AM5*(G50-B10),0),0)*H53,"")</f>
        <v>0</v>
      </c>
      <c r="AT51" s="1044"/>
      <c r="AU51" s="1044"/>
      <c r="AV51" s="1044"/>
      <c r="AW51" s="1044">
        <f>IFERROR(ROUNDDOWN(ROUND(AM5*(L50-G10),0),0)*H53,"")</f>
        <v>0</v>
      </c>
      <c r="AX51" s="1044"/>
      <c r="AY51" s="1044"/>
      <c r="AZ51" s="1044"/>
      <c r="BA51" s="1044">
        <f>IFERROR(ROUNDDOWN(ROUND(AM5*(Q50-L10),0),0)*H53,"")</f>
        <v>103600</v>
      </c>
      <c r="BB51" s="1044"/>
      <c r="BC51" s="1044"/>
      <c r="BD51" s="1044"/>
      <c r="BE51" s="1044">
        <f>IFERROR(ROUNDDOWN(ROUND(AM5*(AC50-Q10),0),0)*AD53,"")</f>
        <v>962000</v>
      </c>
      <c r="BF51" s="1044"/>
      <c r="BG51" s="1044"/>
      <c r="BH51" s="1044"/>
      <c r="BI51" s="1044">
        <f>SUM(AS51:BH51)</f>
        <v>1065600</v>
      </c>
      <c r="BJ51" s="1044"/>
      <c r="BK51" s="1044"/>
      <c r="BL51" s="1044"/>
      <c r="BM51" s="141"/>
      <c r="BN51" s="1044">
        <f>IFERROR(ROUNDDOWN(ROUNDDOWN(ROUND(AM5*(VLOOKUP(Y5,【参考】数式用!$A$5:$AB$37,14,FALSE)),0),0)*AD53*0.5,0),"")</f>
        <v>1063750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(159,100円/月)</v>
      </c>
      <c r="H52" s="1089"/>
      <c r="I52" s="1089"/>
      <c r="J52" s="1089"/>
      <c r="K52" s="1089"/>
      <c r="L52" s="1191" t="str">
        <f>IFERROR("("&amp;TEXT(L51/H53,"#,##0円")&amp;"/月)","")</f>
        <v>(38,850円/月)</v>
      </c>
      <c r="M52" s="1192"/>
      <c r="N52" s="1192"/>
      <c r="O52" s="1192"/>
      <c r="P52" s="1088"/>
      <c r="Q52" s="1089" t="str">
        <f>IFERROR("("&amp;TEXT(Q51/H53,"#,##0円")&amp;"/月)","")</f>
        <v>(51,800円/月)</v>
      </c>
      <c r="R52" s="1089"/>
      <c r="S52" s="1089"/>
      <c r="T52" s="1089"/>
      <c r="U52" s="1089"/>
      <c r="V52" s="1089" t="str">
        <f>IFERROR("("&amp;TEXT(V51/H53,"#,##0円")&amp;"/月)","")</f>
        <v>(249,750円/月)</v>
      </c>
      <c r="W52" s="1089"/>
      <c r="X52" s="1089"/>
      <c r="Y52" s="1089"/>
      <c r="Z52" s="1089"/>
      <c r="AB52" s="58"/>
      <c r="AC52" s="1191" t="str">
        <f>IFERROR("("&amp;TEXT(AC51/AD53,"#,##0円")&amp;"/月)","")</f>
        <v>(294,150円/月)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216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2055</v>
      </c>
      <c r="V57" s="1039"/>
      <c r="W57" s="1039"/>
      <c r="X57" s="1039"/>
      <c r="Y57" s="1039"/>
      <c r="Z57" s="152">
        <f>IF(AND(B9&lt;&gt;"処遇加算なし",F15=4),IF(V21="✓",1,IF(V22="✓",2,"")),"")</f>
        <v>2</v>
      </c>
      <c r="AA57" s="145"/>
      <c r="AB57" s="149"/>
      <c r="AC57" s="1039" t="s">
        <v>2055</v>
      </c>
      <c r="AD57" s="1039"/>
      <c r="AE57" s="1039"/>
      <c r="AF57" s="1039"/>
      <c r="AG57" s="1039"/>
      <c r="AH57" s="425">
        <f>IF(AND(F15&lt;&gt;4,F15&lt;&gt;5),0,IF(AT8="○",1,0))</f>
        <v>1</v>
      </c>
      <c r="AI57" s="153"/>
      <c r="AJ57" s="149"/>
      <c r="AK57" s="1039" t="s">
        <v>2055</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2056</v>
      </c>
      <c r="V58" s="1047"/>
      <c r="W58" s="1047"/>
      <c r="X58" s="1047"/>
      <c r="Y58" s="1047"/>
      <c r="Z58" s="152">
        <f>IF(AND(B9&lt;&gt;"処遇加算なし",F15=4),IF(V24="✓",1,IF(V25="✓",2,IF(V26="✓",3,""))),"")</f>
        <v>1</v>
      </c>
      <c r="AA58" s="145"/>
      <c r="AB58" s="149"/>
      <c r="AC58" s="1047" t="s">
        <v>2056</v>
      </c>
      <c r="AD58" s="1047"/>
      <c r="AE58" s="1047"/>
      <c r="AF58" s="1047"/>
      <c r="AG58" s="1047"/>
      <c r="AH58" s="425">
        <f>IF(AND(F15&lt;&gt;4,F15&lt;&gt;5),0,IF(AU8="○",1,3))</f>
        <v>1</v>
      </c>
      <c r="AI58" s="153"/>
      <c r="AJ58" s="149"/>
      <c r="AK58" s="1047" t="s">
        <v>2056</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2057</v>
      </c>
      <c r="V59" s="1047"/>
      <c r="W59" s="1047"/>
      <c r="X59" s="1047"/>
      <c r="Y59" s="1047"/>
      <c r="Z59" s="152">
        <f>IF(AND(B9&lt;&gt;"処遇加算なし",F15=4),IF(V28="✓",1,IF(V29="✓",2,IF(V30="✓",3,""))),"")</f>
        <v>1</v>
      </c>
      <c r="AA59" s="145"/>
      <c r="AB59" s="149"/>
      <c r="AC59" s="1047" t="s">
        <v>2057</v>
      </c>
      <c r="AD59" s="1047"/>
      <c r="AE59" s="1047"/>
      <c r="AF59" s="1047"/>
      <c r="AG59" s="1047"/>
      <c r="AH59" s="425">
        <f>IF(AND(F15&lt;&gt;4,F15&lt;&gt;5),0,IF(AV8="○",1,3))</f>
        <v>1</v>
      </c>
      <c r="AI59" s="153"/>
      <c r="AJ59" s="149"/>
      <c r="AK59" s="1047" t="s">
        <v>2057</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2058</v>
      </c>
      <c r="V60" s="1047"/>
      <c r="W60" s="1047"/>
      <c r="X60" s="1047"/>
      <c r="Y60" s="1047"/>
      <c r="Z60" s="152">
        <f>IF(AND(B9&lt;&gt;"処遇加算なし",F15=4),IF(V32="✓",1,IF(V33="✓",2,"")),"")</f>
        <v>1</v>
      </c>
      <c r="AA60" s="145"/>
      <c r="AB60" s="149"/>
      <c r="AC60" s="1047" t="s">
        <v>2058</v>
      </c>
      <c r="AD60" s="1047"/>
      <c r="AE60" s="1047"/>
      <c r="AF60" s="1047"/>
      <c r="AG60" s="1047"/>
      <c r="AH60" s="425">
        <f>IF(AND(F15&lt;&gt;4,F15&lt;&gt;5),0,IF(AW8="○",1,3))</f>
        <v>1</v>
      </c>
      <c r="AI60" s="153"/>
      <c r="AJ60" s="149"/>
      <c r="AK60" s="1047" t="s">
        <v>2058</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2059</v>
      </c>
      <c r="V61" s="1047"/>
      <c r="W61" s="1047"/>
      <c r="X61" s="1047"/>
      <c r="Y61" s="1047"/>
      <c r="Z61" s="152">
        <f>IF(AND(B9&lt;&gt;"処遇加算なし",F15=4),IF(V36="✓",1,IF(V37="✓",2,"")),"")</f>
        <v>1</v>
      </c>
      <c r="AA61" s="145"/>
      <c r="AB61" s="149"/>
      <c r="AC61" s="1047" t="s">
        <v>2059</v>
      </c>
      <c r="AD61" s="1047"/>
      <c r="AE61" s="1047"/>
      <c r="AF61" s="1047"/>
      <c r="AG61" s="1047"/>
      <c r="AH61" s="425">
        <f>IF(AND(F15&lt;&gt;4,F15&lt;&gt;5),0,IF(AX8="○",1,2))</f>
        <v>1</v>
      </c>
      <c r="AI61" s="153"/>
      <c r="AJ61" s="149"/>
      <c r="AK61" s="1047" t="s">
        <v>2059</v>
      </c>
      <c r="AL61" s="1047"/>
      <c r="AM61" s="1047"/>
      <c r="AN61" s="1047"/>
      <c r="AO61" s="1047"/>
      <c r="AP61" s="425">
        <f>IF(AX8="○",1,2)</f>
        <v>1</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2060</v>
      </c>
      <c r="V62" s="1047"/>
      <c r="W62" s="1047"/>
      <c r="X62" s="1047"/>
      <c r="Y62" s="1047"/>
      <c r="Z62" s="152">
        <f>IF(AND(B9&lt;&gt;"処遇加算なし",F15=4),IF(V40="✓",1,IF(V41="✓",2,"")),"")</f>
        <v>1</v>
      </c>
      <c r="AA62" s="145"/>
      <c r="AB62" s="149"/>
      <c r="AC62" s="1047" t="s">
        <v>2060</v>
      </c>
      <c r="AD62" s="1047"/>
      <c r="AE62" s="1047"/>
      <c r="AF62" s="1047"/>
      <c r="AG62" s="1047"/>
      <c r="AH62" s="425">
        <f>IF(AND(F15&lt;&gt;4,F15&lt;&gt;5),0,IF(AY8="○",1,2))</f>
        <v>1</v>
      </c>
      <c r="AI62" s="153"/>
      <c r="AJ62" s="149"/>
      <c r="AK62" s="1047" t="s">
        <v>2060</v>
      </c>
      <c r="AL62" s="1047"/>
      <c r="AM62" s="1047"/>
      <c r="AN62" s="1047"/>
      <c r="AO62" s="1047"/>
      <c r="AP62" s="425">
        <f>IF(AY8="○",1,2)</f>
        <v>1</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2061</v>
      </c>
      <c r="V63" s="1039"/>
      <c r="W63" s="1039"/>
      <c r="X63" s="1039"/>
      <c r="Y63" s="1039"/>
      <c r="Z63" s="152">
        <f>IF(AND(B9&lt;&gt;"処遇加算なし",F15=4),IF(V44="✓",1,IF(V45="✓",2,"")),"")</f>
        <v>1</v>
      </c>
      <c r="AA63" s="145"/>
      <c r="AB63" s="149"/>
      <c r="AC63" s="1039" t="s">
        <v>2061</v>
      </c>
      <c r="AD63" s="1039"/>
      <c r="AE63" s="1039"/>
      <c r="AF63" s="1039"/>
      <c r="AG63" s="1039"/>
      <c r="AH63" s="425">
        <f>IF(AND(F15&lt;&gt;4,F15&lt;&gt;5),0,IF(AZ8="○",1,2))</f>
        <v>1</v>
      </c>
      <c r="AI63" s="153"/>
      <c r="AJ63" s="149"/>
      <c r="AK63" s="1039" t="s">
        <v>2061</v>
      </c>
      <c r="AL63" s="1039"/>
      <c r="AM63" s="1039"/>
      <c r="AN63" s="1039"/>
      <c r="AO63" s="1039"/>
      <c r="AP63" s="425">
        <f>IF(AZ8="○",1,2)</f>
        <v>1</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F1" zoomScaleNormal="53" zoomScaleSheetLayoutView="100" workbookViewId="0">
      <selection activeCell="AQ7" sqref="AQ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2325</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v>
      </c>
      <c r="AT1" s="1036"/>
      <c r="AU1" s="1036"/>
      <c r="AV1" s="1036"/>
      <c r="AW1" s="1036"/>
      <c r="AX1" s="1036"/>
      <c r="AY1" s="1036"/>
      <c r="AZ1" s="1036"/>
      <c r="BA1" s="1036"/>
      <c r="BB1" s="1036"/>
      <c r="BC1" s="1036"/>
      <c r="BD1" s="1036"/>
      <c r="BE1" s="1037"/>
      <c r="BF1" s="1034" t="str">
        <f>IFERROR(VLOOKUP(Y5,【参考】数式用!$AH$2:$AI$34,2,FALSE),"")</f>
        <v>生活介護</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f>IF(AND(L9="ベア加算",Q49="ベア加算"),1,"")</f>
        <v>1</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1334567890</v>
      </c>
      <c r="C5" s="1104"/>
      <c r="D5" s="1104"/>
      <c r="E5" s="1104"/>
      <c r="F5" s="1104"/>
      <c r="G5" s="1105" t="s">
        <v>2344</v>
      </c>
      <c r="H5" s="1105"/>
      <c r="I5" s="1105"/>
      <c r="J5" s="1106" t="s">
        <v>4</v>
      </c>
      <c r="K5" s="1106"/>
      <c r="L5" s="1106"/>
      <c r="M5" s="1107" t="s">
        <v>5</v>
      </c>
      <c r="N5" s="1107"/>
      <c r="O5" s="1107"/>
      <c r="P5" s="1009" t="s">
        <v>2352</v>
      </c>
      <c r="Q5" s="1010"/>
      <c r="R5" s="1010"/>
      <c r="S5" s="1010"/>
      <c r="T5" s="1010"/>
      <c r="U5" s="1010"/>
      <c r="V5" s="1010"/>
      <c r="W5" s="1010"/>
      <c r="X5" s="1011"/>
      <c r="Y5" s="1087" t="s">
        <v>2249</v>
      </c>
      <c r="Z5" s="1087"/>
      <c r="AA5" s="1087"/>
      <c r="AB5" s="1087"/>
      <c r="AC5" s="1087"/>
      <c r="AD5" s="1087"/>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13</v>
      </c>
      <c r="M9" s="1132"/>
      <c r="N9" s="1132"/>
      <c r="O9" s="1132"/>
      <c r="P9" s="1133"/>
      <c r="Q9" s="1108" t="s">
        <v>2052</v>
      </c>
      <c r="R9" s="1109"/>
      <c r="S9" s="1109"/>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1.7999999999999999E-2</v>
      </c>
      <c r="C10" s="1135"/>
      <c r="D10" s="1135"/>
      <c r="E10" s="1135"/>
      <c r="F10" s="1136"/>
      <c r="G10" s="1134">
        <f>IFERROR(VLOOKUP(Y5,【参考】数式用!$A$5:$J$37,MATCH(G9,【参考】数式用!$B$4:$J$4,0)+1,0),"")</f>
        <v>0</v>
      </c>
      <c r="H10" s="1135"/>
      <c r="I10" s="1135"/>
      <c r="J10" s="1135"/>
      <c r="K10" s="1136"/>
      <c r="L10" s="1140">
        <f>IFERROR(VLOOKUP(Y5,【参考】数式用!$A$5:$J$37,MATCH(L9,【参考】数式用!$B$4:$J$4,0)+1,0),"")</f>
        <v>1.0999999999999999E-2</v>
      </c>
      <c r="M10" s="1141"/>
      <c r="N10" s="1141"/>
      <c r="O10" s="1141"/>
      <c r="P10" s="1142"/>
      <c r="Q10" s="1146">
        <f>SUM(B10,G10,L10)</f>
        <v>2.8999999999999998E-2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新加算Ⅳ</v>
      </c>
      <c r="W11" s="1076"/>
      <c r="X11" s="1076"/>
      <c r="Y11" s="1076"/>
      <c r="Z11" s="1076"/>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075">
        <f>IFERROR(VLOOKUP(Y5,【参考】数式用!$A$5:$AB$37,MATCH(V11,【参考】数式用!$B$4:$AB$4,0)+1,FALSE),"")</f>
        <v>5.4999999999999993E-2</v>
      </c>
      <c r="W12" s="1075"/>
      <c r="X12" s="1075"/>
      <c r="Y12" s="1075"/>
      <c r="Z12" s="1075"/>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新加算Ⅴ(13)</v>
      </c>
      <c r="W14" s="1076"/>
      <c r="X14" s="1076"/>
      <c r="Y14" s="1076"/>
      <c r="Z14" s="1076"/>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f>IFERROR(VLOOKUP(Y5,【参考】数式用!$A$5:$AB$37,MATCH(V14,【参考】数式用!$B$4:$AB$4,0)+1,FALSE),"")</f>
        <v>4.0999999999999995E-2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v>
      </c>
      <c r="W37" s="1054" t="s">
        <v>15</v>
      </c>
      <c r="X37" s="1055"/>
      <c r="Y37" s="1055"/>
      <c r="Z37" s="1056"/>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v>
      </c>
      <c r="W41" s="1054" t="s">
        <v>15</v>
      </c>
      <c r="X41" s="1055"/>
      <c r="Y41" s="1055"/>
      <c r="Z41" s="1056"/>
      <c r="AA41" s="1022"/>
      <c r="AB41" s="1023"/>
      <c r="AC41" s="134" t="s">
        <v>83</v>
      </c>
      <c r="AD41" s="1161" t="s">
        <v>2283</v>
      </c>
      <c r="AE41" s="1162"/>
      <c r="AF41" s="1162"/>
      <c r="AG41" s="1162"/>
      <c r="AH41" s="1163"/>
      <c r="AI41" s="1022"/>
      <c r="AJ41" s="1023"/>
      <c r="AK41" s="134" t="s">
        <v>83</v>
      </c>
      <c r="AL41" s="1161" t="s">
        <v>2283</v>
      </c>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処遇加算Ⅰ</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処遇加算Ⅰ特定加算なしベア加算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処遇加算Ⅰ</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新加算Ⅲ</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4.3999999999999997E-2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1.0999999999999999E-2</v>
      </c>
      <c r="R50" s="1178"/>
      <c r="S50" s="1178"/>
      <c r="T50" s="1178"/>
      <c r="U50" s="1184"/>
      <c r="V50" s="1146">
        <f>SUM(G50,L50,Q50)</f>
        <v>5.4999999999999993E-2</v>
      </c>
      <c r="W50" s="1147"/>
      <c r="X50" s="1147"/>
      <c r="Y50" s="1147"/>
      <c r="Z50" s="1147"/>
      <c r="AA50" s="1033"/>
      <c r="AB50" s="1033"/>
      <c r="AC50" s="1185">
        <f>IFERROR(VLOOKUP(Y5,【参考】数式用!$A$5:$AB$37,MATCH(AC49,【参考】数式用!$B$4:$AB$4,0)+1,FALSE),"")</f>
        <v>6.699999999999999E-2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268400</v>
      </c>
      <c r="H51" s="1093"/>
      <c r="I51" s="1093"/>
      <c r="J51" s="1093"/>
      <c r="K51" s="55" t="s">
        <v>2117</v>
      </c>
      <c r="L51" s="1090">
        <f>IFERROR(ROUNDDOWN(ROUND(AM5*L50,0),0)*H53,"")</f>
        <v>0</v>
      </c>
      <c r="M51" s="1091"/>
      <c r="N51" s="1091"/>
      <c r="O51" s="1091"/>
      <c r="P51" s="55" t="s">
        <v>2117</v>
      </c>
      <c r="Q51" s="1092">
        <f>IFERROR(ROUNDDOWN(ROUND(AM5*Q50,0),0)*H53,"")</f>
        <v>67100</v>
      </c>
      <c r="R51" s="1093"/>
      <c r="S51" s="1093"/>
      <c r="T51" s="1093"/>
      <c r="U51" s="56" t="s">
        <v>2117</v>
      </c>
      <c r="V51" s="1193">
        <f>IFERROR(SUM(G51,L51,Q51),"")</f>
        <v>335500</v>
      </c>
      <c r="W51" s="1194"/>
      <c r="X51" s="1194"/>
      <c r="Y51" s="1194"/>
      <c r="Z51" s="57" t="s">
        <v>2117</v>
      </c>
      <c r="AB51" s="58"/>
      <c r="AC51" s="1092">
        <f>IFERROR(ROUNDDOWN(ROUND(AM5*AC50,0),0)*AD53,"")</f>
        <v>2043500</v>
      </c>
      <c r="AD51" s="1093"/>
      <c r="AE51" s="1093"/>
      <c r="AF51" s="1093"/>
      <c r="AG51" s="1093"/>
      <c r="AH51" s="56" t="s">
        <v>2117</v>
      </c>
      <c r="AS51" s="1044">
        <f>IFERROR(ROUNDDOWN(ROUND(AM5*(G50-B10),0),0)*H53,"")</f>
        <v>158600</v>
      </c>
      <c r="AT51" s="1044"/>
      <c r="AU51" s="1044"/>
      <c r="AV51" s="1044"/>
      <c r="AW51" s="1044">
        <f>IFERROR(ROUNDDOWN(ROUND(AM5*(L50-G10),0),0)*H53,"")</f>
        <v>0</v>
      </c>
      <c r="AX51" s="1044"/>
      <c r="AY51" s="1044"/>
      <c r="AZ51" s="1044"/>
      <c r="BA51" s="1044">
        <f>IFERROR(ROUNDDOWN(ROUND(AM5*(Q50-L10),0),0)*H53,"")</f>
        <v>0</v>
      </c>
      <c r="BB51" s="1044"/>
      <c r="BC51" s="1044"/>
      <c r="BD51" s="1044"/>
      <c r="BE51" s="1044">
        <f>IFERROR(ROUNDDOWN(ROUND(AM5*(AC50-Q10),0),0)*AD53,"")</f>
        <v>1159000</v>
      </c>
      <c r="BF51" s="1044"/>
      <c r="BG51" s="1044"/>
      <c r="BH51" s="1044"/>
      <c r="BI51" s="1044">
        <f>SUM(AS51:BH51)</f>
        <v>1317600</v>
      </c>
      <c r="BJ51" s="1044"/>
      <c r="BK51" s="1044"/>
      <c r="BL51" s="1044"/>
      <c r="BM51" s="141"/>
      <c r="BN51" s="1044">
        <f>IFERROR(ROUNDDOWN(ROUNDDOWN(ROUND(AM5*(VLOOKUP(Y5,【参考】数式用!$A$5:$AB$37,14,FALSE)),0),0)*AD53*0.5,0),"")</f>
        <v>838750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(134,200円/月)</v>
      </c>
      <c r="H52" s="1089"/>
      <c r="I52" s="1089"/>
      <c r="J52" s="1089"/>
      <c r="K52" s="1089"/>
      <c r="L52" s="1191" t="str">
        <f>IFERROR("("&amp;TEXT(L51/H53,"#,##0円")&amp;"/月)","")</f>
        <v>(0円/月)</v>
      </c>
      <c r="M52" s="1192"/>
      <c r="N52" s="1192"/>
      <c r="O52" s="1192"/>
      <c r="P52" s="1088"/>
      <c r="Q52" s="1089" t="str">
        <f>IFERROR("("&amp;TEXT(Q51/H53,"#,##0円")&amp;"/月)","")</f>
        <v>(33,550円/月)</v>
      </c>
      <c r="R52" s="1089"/>
      <c r="S52" s="1089"/>
      <c r="T52" s="1089"/>
      <c r="U52" s="1089"/>
      <c r="V52" s="1089" t="str">
        <f>IFERROR("("&amp;TEXT(V51/H53,"#,##0円")&amp;"/月)","")</f>
        <v>(167,750円/月)</v>
      </c>
      <c r="W52" s="1089"/>
      <c r="X52" s="1089"/>
      <c r="Y52" s="1089"/>
      <c r="Z52" s="1089"/>
      <c r="AB52" s="58"/>
      <c r="AC52" s="1191" t="str">
        <f>IFERROR("("&amp;TEXT(AC51/AD53,"#,##0円")&amp;"/月)","")</f>
        <v>(204,350円/月)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436">
        <f>IF(AND(B9&lt;&gt;"処遇加算なし",F15=4),IF(V21="✓",1,IF(V22="✓",2,"")),"")</f>
        <v>1</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43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43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436">
        <f>IF(AND(B9&lt;&gt;"処遇加算なし",F15=4),IF(V32="✓",1,IF(V33="✓",2,"")),"")</f>
        <v>2</v>
      </c>
      <c r="AA60" s="145"/>
      <c r="AB60" s="149"/>
      <c r="AC60" s="1047" t="s">
        <v>2380</v>
      </c>
      <c r="AD60" s="1047"/>
      <c r="AE60" s="1047"/>
      <c r="AF60" s="1047"/>
      <c r="AG60" s="1047"/>
      <c r="AH60" s="425">
        <f>IF(AND(F15&lt;&gt;4,F15&lt;&gt;5),0,IF(AW8="○",1,3))</f>
        <v>1</v>
      </c>
      <c r="AI60" s="153"/>
      <c r="AJ60" s="149"/>
      <c r="AK60" s="1047" t="s">
        <v>2380</v>
      </c>
      <c r="AL60" s="1047"/>
      <c r="AM60" s="1047"/>
      <c r="AN60" s="1047"/>
      <c r="AO60" s="1047"/>
      <c r="AP60" s="425">
        <f>IF(AW8="○",1,3)</f>
        <v>1</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43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43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43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F1" zoomScaleNormal="53" zoomScaleSheetLayoutView="100" workbookViewId="0">
      <selection activeCell="AA8" sqref="AA8:AP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2326</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東京都</v>
      </c>
      <c r="AJ1" s="1205"/>
      <c r="AK1" s="1205"/>
      <c r="AL1" s="1205"/>
      <c r="AM1" s="1205"/>
      <c r="AN1" s="1205"/>
      <c r="AO1" s="1205"/>
      <c r="AP1" s="1205"/>
      <c r="AS1" s="1035" t="str">
        <f>B9&amp;G9&amp;L9</f>
        <v>処遇加算Ⅲ特定加算なしベア加算なし</v>
      </c>
      <c r="AT1" s="1036"/>
      <c r="AU1" s="1036"/>
      <c r="AV1" s="1036"/>
      <c r="AW1" s="1036"/>
      <c r="AX1" s="1036"/>
      <c r="AY1" s="1036"/>
      <c r="AZ1" s="1036"/>
      <c r="BA1" s="1036"/>
      <c r="BB1" s="1036"/>
      <c r="BC1" s="1036"/>
      <c r="BD1" s="1036"/>
      <c r="BE1" s="1037"/>
      <c r="BF1" s="1034" t="str">
        <f>IFERROR(VLOOKUP(Y5,【参考】数式用!$AH$2:$AI$34,2,FALSE),"")</f>
        <v>就労継続支援Ａ型</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f>IF(AI1&lt;&gt;"",1,"")</f>
        <v>1</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4">
        <v>1334567892</v>
      </c>
      <c r="C5" s="1104"/>
      <c r="D5" s="1104"/>
      <c r="E5" s="1104"/>
      <c r="F5" s="1104"/>
      <c r="G5" s="1105" t="s">
        <v>2355</v>
      </c>
      <c r="H5" s="1105"/>
      <c r="I5" s="1105"/>
      <c r="J5" s="1106" t="s">
        <v>4</v>
      </c>
      <c r="K5" s="1106"/>
      <c r="L5" s="1106"/>
      <c r="M5" s="1107" t="s">
        <v>1182</v>
      </c>
      <c r="N5" s="1107"/>
      <c r="O5" s="1107"/>
      <c r="P5" s="1009" t="s">
        <v>2356</v>
      </c>
      <c r="Q5" s="1010"/>
      <c r="R5" s="1010"/>
      <c r="S5" s="1010"/>
      <c r="T5" s="1010"/>
      <c r="U5" s="1010"/>
      <c r="V5" s="1010"/>
      <c r="W5" s="1010"/>
      <c r="X5" s="1011"/>
      <c r="Y5" s="1087" t="s">
        <v>2257</v>
      </c>
      <c r="Z5" s="1087"/>
      <c r="AA5" s="1087"/>
      <c r="AB5" s="1087"/>
      <c r="AC5" s="1087"/>
      <c r="AD5" s="1087"/>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t="s">
        <v>232</v>
      </c>
      <c r="C9" s="1126"/>
      <c r="D9" s="1126"/>
      <c r="E9" s="1126"/>
      <c r="F9" s="1127"/>
      <c r="G9" s="1128" t="s">
        <v>11</v>
      </c>
      <c r="H9" s="1129"/>
      <c r="I9" s="1129"/>
      <c r="J9" s="1129"/>
      <c r="K9" s="1130"/>
      <c r="L9" s="1131" t="s">
        <v>9</v>
      </c>
      <c r="M9" s="1132"/>
      <c r="N9" s="1132"/>
      <c r="O9" s="1132"/>
      <c r="P9" s="1133"/>
      <c r="Q9" s="1108" t="s">
        <v>2052</v>
      </c>
      <c r="R9" s="1109"/>
      <c r="S9" s="1109"/>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f>IFERROR(VLOOKUP(Y5,【参考】数式用!$A$5:$J$37,MATCH(B9,【参考】数式用!$B$4:$J$4,0)+1,0),"")</f>
        <v>2.3E-2</v>
      </c>
      <c r="C10" s="1135"/>
      <c r="D10" s="1135"/>
      <c r="E10" s="1135"/>
      <c r="F10" s="1136"/>
      <c r="G10" s="1134">
        <f>IFERROR(VLOOKUP(Y5,【参考】数式用!$A$5:$J$37,MATCH(G9,【参考】数式用!$B$4:$J$4,0)+1,0),"")</f>
        <v>0</v>
      </c>
      <c r="H10" s="1135"/>
      <c r="I10" s="1135"/>
      <c r="J10" s="1135"/>
      <c r="K10" s="1136"/>
      <c r="L10" s="1140">
        <f>IFERROR(VLOOKUP(Y5,【参考】数式用!$A$5:$J$37,MATCH(L9,【参考】数式用!$B$4:$J$4,0)+1,0),"")</f>
        <v>0</v>
      </c>
      <c r="M10" s="1141"/>
      <c r="N10" s="1141"/>
      <c r="O10" s="1141"/>
      <c r="P10" s="1142"/>
      <c r="Q10" s="1146">
        <f>SUM(B10,G10,L10)</f>
        <v>2.3E-2</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新加算Ⅴ(11)</v>
      </c>
      <c r="W11" s="1076"/>
      <c r="X11" s="1076"/>
      <c r="Y11" s="1076"/>
      <c r="Z11" s="1076"/>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3"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3"/>
      <c r="D12" s="1103"/>
      <c r="E12" s="1103"/>
      <c r="F12" s="1103"/>
      <c r="G12" s="1103"/>
      <c r="H12" s="1103"/>
      <c r="I12" s="1103"/>
      <c r="J12" s="1103"/>
      <c r="K12" s="1103"/>
      <c r="L12" s="1103"/>
      <c r="M12" s="1103"/>
      <c r="N12" s="1103"/>
      <c r="O12" s="1103"/>
      <c r="P12" s="1103"/>
      <c r="Q12" s="1103"/>
      <c r="R12" s="1103"/>
      <c r="S12" s="1103"/>
      <c r="T12" s="1033"/>
      <c r="U12" s="1023"/>
      <c r="V12" s="1214">
        <f>IFERROR(VLOOKUP(Y5,【参考】数式用!$A$5:$AB$37,MATCH(V11,【参考】数式用!$B$4:$AB$4,0)+1,FALSE),"")</f>
        <v>0.05</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新加算Ⅴ(14)</v>
      </c>
      <c r="W14" s="1076"/>
      <c r="X14" s="1076"/>
      <c r="Y14" s="1076"/>
      <c r="Z14" s="1076"/>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f>IFERROR(VLOOKUP(Y5,【参考】数式用!$A$5:$AB$37,MATCH(V14,【参考】数式用!$B$4:$AB$4,0)+1,FALSE),"")</f>
        <v>3.2000000000000001E-2</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福祉専門職員配置等加算を算定する。</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処遇加算Ⅱ</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ベア加算</v>
      </c>
      <c r="BB48" s="1041"/>
      <c r="BC48" s="1041"/>
      <c r="BD48" s="1041"/>
      <c r="BE48" s="1043" t="str">
        <f>AS48&amp;AW48&amp;BA48</f>
        <v>処遇加算Ⅱ特定加算なしベア加算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処遇加算Ⅱ</v>
      </c>
      <c r="H49" s="1165"/>
      <c r="I49" s="1165"/>
      <c r="J49" s="1165"/>
      <c r="K49" s="1190"/>
      <c r="L49" s="1195" t="str">
        <f>IFERROR(IF(G9="","",IF(AND(AH61=1,AH62=1,AH63=1),"特定加算Ⅰ",IF(AND(AH61=1,AH62=2,AH63=1),"特定加算Ⅱ",IF(OR(AH61=2,AH62=2,AH63=2),"特定加算なし","")))),"")</f>
        <v>特定加算なし</v>
      </c>
      <c r="M49" s="1196"/>
      <c r="N49" s="1196"/>
      <c r="O49" s="1196"/>
      <c r="P49" s="1197"/>
      <c r="Q49" s="1164" t="str">
        <f>IFERROR(IF(OR(L9="ベア加算",AND(L9="ベア加算なし",AH57=1)),"ベア加算",IF(AH57=2,"ベア加算なし","")),"")</f>
        <v>ベア加算</v>
      </c>
      <c r="R49" s="1165"/>
      <c r="S49" s="1165"/>
      <c r="T49" s="1165"/>
      <c r="U49" s="1166"/>
      <c r="V49" s="1167" t="s">
        <v>10</v>
      </c>
      <c r="W49" s="1168"/>
      <c r="X49" s="1168"/>
      <c r="Y49" s="1168"/>
      <c r="Z49" s="1168"/>
      <c r="AA49" s="1033"/>
      <c r="AB49" s="1033"/>
      <c r="AC49" s="1174" t="str">
        <f>IFERROR(VLOOKUP(BE48,【参考】数式用2!E6:F23,2,FALSE),"")</f>
        <v>新加算Ⅳ</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f>IFERROR(VLOOKUP(Y5,【参考】数式用!$A$5:$J$37,MATCH(G49,【参考】数式用!$B$4:$J$4,0)+1,0),"")</f>
        <v>4.1000000000000002E-2</v>
      </c>
      <c r="H50" s="1178"/>
      <c r="I50" s="1178"/>
      <c r="J50" s="1178"/>
      <c r="K50" s="1179"/>
      <c r="L50" s="1180">
        <f>IFERROR(VLOOKUP(Y5,【参考】数式用!$A$5:$J$37,MATCH(L49,【参考】数式用!$B$4:$J$4,0)+1,0),"")</f>
        <v>0</v>
      </c>
      <c r="M50" s="1181"/>
      <c r="N50" s="1181"/>
      <c r="O50" s="1181"/>
      <c r="P50" s="1182"/>
      <c r="Q50" s="1183">
        <f>IFERROR(VLOOKUP(Y5,【参考】数式用!$A$5:$J$37,MATCH(Q49,【参考】数式用!$B$4:$J$4,0)+1,0),"")</f>
        <v>1.2999999999999999E-2</v>
      </c>
      <c r="R50" s="1178"/>
      <c r="S50" s="1178"/>
      <c r="T50" s="1178"/>
      <c r="U50" s="1184"/>
      <c r="V50" s="1146">
        <f>SUM(G50,L50,Q50)</f>
        <v>5.3999999999999999E-2</v>
      </c>
      <c r="W50" s="1147"/>
      <c r="X50" s="1147"/>
      <c r="Y50" s="1147"/>
      <c r="Z50" s="1147"/>
      <c r="AA50" s="1033"/>
      <c r="AB50" s="1033"/>
      <c r="AC50" s="1185">
        <f>IFERROR(VLOOKUP(Y5,【参考】数式用!$A$5:$AB$37,MATCH(AC49,【参考】数式用!$B$4:$AB$4,0)+1,FALSE),"")</f>
        <v>6.3E-2</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f>IFERROR(ROUNDDOWN(ROUND(AM5*G50,0),0)*H53,"")</f>
        <v>282900</v>
      </c>
      <c r="H51" s="1093"/>
      <c r="I51" s="1093"/>
      <c r="J51" s="1093"/>
      <c r="K51" s="55" t="s">
        <v>2117</v>
      </c>
      <c r="L51" s="1090">
        <f>IFERROR(ROUNDDOWN(ROUND(AM5*L50,0),0)*H53,"")</f>
        <v>0</v>
      </c>
      <c r="M51" s="1091"/>
      <c r="N51" s="1091"/>
      <c r="O51" s="1091"/>
      <c r="P51" s="55" t="s">
        <v>2117</v>
      </c>
      <c r="Q51" s="1092">
        <f>IFERROR(ROUNDDOWN(ROUND(AM5*Q50,0),0)*H53,"")</f>
        <v>89700</v>
      </c>
      <c r="R51" s="1093"/>
      <c r="S51" s="1093"/>
      <c r="T51" s="1093"/>
      <c r="U51" s="56" t="s">
        <v>2117</v>
      </c>
      <c r="V51" s="1193">
        <f>IFERROR(SUM(G51,L51,Q51),"")</f>
        <v>372600</v>
      </c>
      <c r="W51" s="1194"/>
      <c r="X51" s="1194"/>
      <c r="Y51" s="1194"/>
      <c r="Z51" s="57" t="s">
        <v>2117</v>
      </c>
      <c r="AB51" s="58"/>
      <c r="AC51" s="1092">
        <f>IFERROR(ROUNDDOWN(ROUND(AM5*AC50,0),0)*AD53,"")</f>
        <v>2173500</v>
      </c>
      <c r="AD51" s="1093"/>
      <c r="AE51" s="1093"/>
      <c r="AF51" s="1093"/>
      <c r="AG51" s="1093"/>
      <c r="AH51" s="56" t="s">
        <v>2117</v>
      </c>
      <c r="AS51" s="1044">
        <f>IFERROR(ROUNDDOWN(ROUND(AM5*(G50-B10),0),0)*H53,"")</f>
        <v>124200</v>
      </c>
      <c r="AT51" s="1044"/>
      <c r="AU51" s="1044"/>
      <c r="AV51" s="1044"/>
      <c r="AW51" s="1044">
        <f>IFERROR(ROUNDDOWN(ROUND(AM5*(L50-G10),0),0)*H53,"")</f>
        <v>0</v>
      </c>
      <c r="AX51" s="1044"/>
      <c r="AY51" s="1044"/>
      <c r="AZ51" s="1044"/>
      <c r="BA51" s="1044">
        <f>IFERROR(ROUNDDOWN(ROUND(AM5*(Q50-L10),0),0)*H53,"")</f>
        <v>89700</v>
      </c>
      <c r="BB51" s="1044"/>
      <c r="BC51" s="1044"/>
      <c r="BD51" s="1044"/>
      <c r="BE51" s="1044">
        <f>IFERROR(ROUNDDOWN(ROUND(AM5*(AC50-Q10),0),0)*AD53,"")</f>
        <v>1380000</v>
      </c>
      <c r="BF51" s="1044"/>
      <c r="BG51" s="1044"/>
      <c r="BH51" s="1044"/>
      <c r="BI51" s="1044">
        <f>SUM(AS51:BH51)</f>
        <v>1593900</v>
      </c>
      <c r="BJ51" s="1044"/>
      <c r="BK51" s="1044"/>
      <c r="BL51" s="1044"/>
      <c r="BM51" s="141"/>
      <c r="BN51" s="1044">
        <f>IFERROR(ROUNDDOWN(ROUNDDOWN(ROUND(AM5*(VLOOKUP(Y5,【参考】数式用!$A$5:$AB$37,14,FALSE)),0),0)*AD53*0.5,0),"")</f>
        <v>1086750</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(141,450円/月)</v>
      </c>
      <c r="H52" s="1089"/>
      <c r="I52" s="1089"/>
      <c r="J52" s="1089"/>
      <c r="K52" s="1089"/>
      <c r="L52" s="1191" t="str">
        <f>IFERROR("("&amp;TEXT(L51/H53,"#,##0円")&amp;"/月)","")</f>
        <v>(0円/月)</v>
      </c>
      <c r="M52" s="1192"/>
      <c r="N52" s="1192"/>
      <c r="O52" s="1192"/>
      <c r="P52" s="1088"/>
      <c r="Q52" s="1089" t="str">
        <f>IFERROR("("&amp;TEXT(Q51/H53,"#,##0円")&amp;"/月)","")</f>
        <v>(44,850円/月)</v>
      </c>
      <c r="R52" s="1089"/>
      <c r="S52" s="1089"/>
      <c r="T52" s="1089"/>
      <c r="U52" s="1089"/>
      <c r="V52" s="1089" t="str">
        <f>IFERROR("("&amp;TEXT(V51/H53,"#,##0円")&amp;"/月)","")</f>
        <v>(186,300円/月)</v>
      </c>
      <c r="W52" s="1089"/>
      <c r="X52" s="1089"/>
      <c r="Y52" s="1089"/>
      <c r="Z52" s="1089"/>
      <c r="AB52" s="58"/>
      <c r="AC52" s="1191" t="str">
        <f>IFERROR("("&amp;TEXT(AC51/AD53,"#,##0円")&amp;"/月)","")</f>
        <v>(217,350円/月)</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426">
        <f>IF(AND(B9&lt;&gt;"処遇加算なし",F15=4),IF(V21="✓",1,IF(V22="✓",2,"")),"")</f>
        <v>2</v>
      </c>
      <c r="AA57" s="145"/>
      <c r="AB57" s="149"/>
      <c r="AC57" s="1039" t="s">
        <v>2377</v>
      </c>
      <c r="AD57" s="1039"/>
      <c r="AE57" s="1039"/>
      <c r="AF57" s="1039"/>
      <c r="AG57" s="1039"/>
      <c r="AH57" s="425">
        <f>IF(AND(F15&lt;&gt;4,F15&lt;&gt;5),0,IF(AT8="○",1,0))</f>
        <v>1</v>
      </c>
      <c r="AI57" s="153"/>
      <c r="AJ57" s="149"/>
      <c r="AK57" s="1039" t="s">
        <v>2377</v>
      </c>
      <c r="AL57" s="1039"/>
      <c r="AM57" s="1039"/>
      <c r="AN57" s="1039"/>
      <c r="AO57" s="1039"/>
      <c r="AP57" s="425">
        <f>IF(AT8="○",1,0)</f>
        <v>1</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426">
        <f>IF(AND(B9&lt;&gt;"処遇加算なし",F15=4),IF(V24="✓",1,IF(V25="✓",2,IF(V26="✓",3,""))),"")</f>
        <v>2</v>
      </c>
      <c r="AA58" s="145"/>
      <c r="AB58" s="149"/>
      <c r="AC58" s="1047" t="s">
        <v>2378</v>
      </c>
      <c r="AD58" s="1047"/>
      <c r="AE58" s="1047"/>
      <c r="AF58" s="1047"/>
      <c r="AG58" s="1047"/>
      <c r="AH58" s="425">
        <f>IF(AND(F15&lt;&gt;4,F15&lt;&gt;5),0,IF(AU8="○",1,3))</f>
        <v>1</v>
      </c>
      <c r="AI58" s="153"/>
      <c r="AJ58" s="149"/>
      <c r="AK58" s="1047" t="s">
        <v>2378</v>
      </c>
      <c r="AL58" s="1047"/>
      <c r="AM58" s="1047"/>
      <c r="AN58" s="1047"/>
      <c r="AO58" s="1047"/>
      <c r="AP58" s="425">
        <f>IF(AU8="○",1,3)</f>
        <v>1</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426">
        <f>IF(AND(B9&lt;&gt;"処遇加算なし",F15=4),IF(V28="✓",1,IF(V29="✓",2,IF(V30="✓",3,""))),"")</f>
        <v>2</v>
      </c>
      <c r="AA59" s="145"/>
      <c r="AB59" s="149"/>
      <c r="AC59" s="1047" t="s">
        <v>2379</v>
      </c>
      <c r="AD59" s="1047"/>
      <c r="AE59" s="1047"/>
      <c r="AF59" s="1047"/>
      <c r="AG59" s="1047"/>
      <c r="AH59" s="425">
        <f>IF(AND(F15&lt;&gt;4,F15&lt;&gt;5),0,IF(AV8="○",1,3))</f>
        <v>1</v>
      </c>
      <c r="AI59" s="153"/>
      <c r="AJ59" s="149"/>
      <c r="AK59" s="1047" t="s">
        <v>2379</v>
      </c>
      <c r="AL59" s="1047"/>
      <c r="AM59" s="1047"/>
      <c r="AN59" s="1047"/>
      <c r="AO59" s="1047"/>
      <c r="AP59" s="425">
        <f>IF(AV8="○",1,3)</f>
        <v>1</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426">
        <f>IF(AND(B9&lt;&gt;"処遇加算なし",F15=4),IF(V32="✓",1,IF(V33="✓",2,"")),"")</f>
        <v>2</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426">
        <f>IF(AND(B9&lt;&gt;"処遇加算なし",F15=4),IF(V36="✓",1,IF(V37="✓",2,"")),"")</f>
        <v>2</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426">
        <f>IF(AND(B9&lt;&gt;"処遇加算なし",F15=4),IF(V40="✓",1,IF(V41="✓",2,"")),"")</f>
        <v>2</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426">
        <f>IF(AND(B9&lt;&gt;"処遇加算なし",F15=4),IF(V44="✓",1,IF(V45="✓",2,"")),"")</f>
        <v>2</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F1" zoomScaleNormal="53" zoomScaleSheetLayoutView="100" workbookViewId="0">
      <selection activeCell="AA14" sqref="AA14:AP1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2327</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1"/>
      <c r="AR2" s="431"/>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27"/>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0" t="s">
        <v>2111</v>
      </c>
      <c r="F15" s="54">
        <v>4</v>
      </c>
      <c r="G15" s="430" t="s">
        <v>2112</v>
      </c>
      <c r="H15" s="1060" t="s">
        <v>2113</v>
      </c>
      <c r="I15" s="1060"/>
      <c r="J15" s="1073"/>
      <c r="K15" s="54">
        <v>7</v>
      </c>
      <c r="L15" s="430" t="s">
        <v>2111</v>
      </c>
      <c r="M15" s="54">
        <v>3</v>
      </c>
      <c r="N15" s="430" t="s">
        <v>2112</v>
      </c>
      <c r="O15" s="430" t="s">
        <v>2114</v>
      </c>
      <c r="P15" s="104">
        <f>(K15*12+M15)-(D15*12+F15)+1</f>
        <v>12</v>
      </c>
      <c r="Q15" s="1060" t="s">
        <v>2115</v>
      </c>
      <c r="R15" s="1060"/>
      <c r="S15" s="105" t="s">
        <v>69</v>
      </c>
      <c r="U15" s="427"/>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29"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29"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29"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29"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29"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29"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29"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29"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29"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29"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29"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29"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29"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29"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29"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198" t="s">
        <v>13</v>
      </c>
      <c r="BB50" s="1199"/>
      <c r="BC50" s="1199"/>
      <c r="BD50" s="1200"/>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F1" zoomScaleNormal="53" zoomScaleSheetLayoutView="100" workbookViewId="0">
      <selection activeCell="AO7" sqref="AO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2328</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438"/>
      <c r="AR2" s="438"/>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435"/>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439" t="s">
        <v>2111</v>
      </c>
      <c r="F15" s="54">
        <v>4</v>
      </c>
      <c r="G15" s="439" t="s">
        <v>2112</v>
      </c>
      <c r="H15" s="1060" t="s">
        <v>2113</v>
      </c>
      <c r="I15" s="1060"/>
      <c r="J15" s="1073"/>
      <c r="K15" s="54">
        <v>7</v>
      </c>
      <c r="L15" s="439" t="s">
        <v>2111</v>
      </c>
      <c r="M15" s="54">
        <v>3</v>
      </c>
      <c r="N15" s="439" t="s">
        <v>2112</v>
      </c>
      <c r="O15" s="439" t="s">
        <v>2114</v>
      </c>
      <c r="P15" s="104">
        <f>(K15*12+M15)-(D15*12+F15)+1</f>
        <v>12</v>
      </c>
      <c r="Q15" s="1060" t="s">
        <v>2115</v>
      </c>
      <c r="R15" s="1060"/>
      <c r="S15" s="105" t="s">
        <v>69</v>
      </c>
      <c r="U15" s="435"/>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440"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440"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440"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440"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440"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440"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440"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440"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440"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440"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440"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440"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440"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440"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440"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2329</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2330</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F1" zoomScaleNormal="53" zoomScaleSheetLayoutView="100" workbookViewId="0">
      <selection activeCell="AQ7" sqref="AQ7:AQ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2331</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F1" zoomScaleNormal="53" zoomScaleSheetLayoutView="100" workbookViewId="0">
      <selection activeCell="AQ14" sqref="AQ1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2332</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4" t="s">
        <v>2333</v>
      </c>
      <c r="O1" s="1074"/>
      <c r="P1" s="1074"/>
      <c r="Q1" s="1074"/>
      <c r="R1" s="1074"/>
      <c r="S1" s="1074"/>
      <c r="T1" s="1074"/>
      <c r="U1" s="1074"/>
      <c r="V1" s="1074"/>
      <c r="W1" s="1074"/>
      <c r="X1" s="1074"/>
      <c r="Y1" s="1074"/>
      <c r="Z1" s="1074"/>
      <c r="AA1" s="1074"/>
      <c r="AB1" s="1074"/>
      <c r="AC1" s="1074"/>
      <c r="AD1" s="1074"/>
      <c r="AE1" s="1074"/>
      <c r="AF1" s="1204" t="s">
        <v>25</v>
      </c>
      <c r="AG1" s="1204"/>
      <c r="AH1" s="1204"/>
      <c r="AI1" s="1205" t="str">
        <f>IF(G5="","",G5)</f>
        <v/>
      </c>
      <c r="AJ1" s="1205"/>
      <c r="AK1" s="1205"/>
      <c r="AL1" s="1205"/>
      <c r="AM1" s="1205"/>
      <c r="AN1" s="1205"/>
      <c r="AO1" s="1205"/>
      <c r="AP1" s="1205"/>
      <c r="AS1" s="1035" t="str">
        <f>B9&amp;G9&amp;L9</f>
        <v/>
      </c>
      <c r="AT1" s="1036"/>
      <c r="AU1" s="1036"/>
      <c r="AV1" s="1036"/>
      <c r="AW1" s="1036"/>
      <c r="AX1" s="1036"/>
      <c r="AY1" s="1036"/>
      <c r="AZ1" s="1036"/>
      <c r="BA1" s="1036"/>
      <c r="BB1" s="1036"/>
      <c r="BC1" s="1036"/>
      <c r="BD1" s="1036"/>
      <c r="BE1" s="1037"/>
      <c r="BF1" s="1034" t="str">
        <f>IFERROR(VLOOKUP(Y5,【参考】数式用!$AH$2:$AI$34,2,FALSE),"")</f>
        <v/>
      </c>
      <c r="BG1" s="1034"/>
      <c r="BH1" s="1034"/>
      <c r="BI1" s="1034"/>
      <c r="BJ1" s="1034"/>
      <c r="BK1" s="1034"/>
      <c r="BL1" s="1034"/>
      <c r="BM1" s="1034"/>
      <c r="BN1" s="1034"/>
      <c r="BO1" s="1034"/>
      <c r="BP1" s="1034"/>
      <c r="CE1" s="74" t="s">
        <v>2190</v>
      </c>
    </row>
    <row r="2" spans="1:88" s="75" customFormat="1" ht="19.5" customHeight="1" thickBot="1">
      <c r="C2" s="73"/>
      <c r="D2" s="73"/>
      <c r="E2" s="73"/>
      <c r="F2" s="73"/>
      <c r="G2" s="73"/>
      <c r="H2" s="73"/>
      <c r="I2" s="73"/>
      <c r="J2" s="73"/>
      <c r="K2" s="73"/>
      <c r="L2" s="73"/>
      <c r="M2" s="73"/>
      <c r="N2" s="1074"/>
      <c r="O2" s="1074"/>
      <c r="P2" s="1074"/>
      <c r="Q2" s="1074"/>
      <c r="R2" s="1074"/>
      <c r="S2" s="1074"/>
      <c r="T2" s="1074"/>
      <c r="U2" s="1074"/>
      <c r="V2" s="1074"/>
      <c r="W2" s="1074"/>
      <c r="X2" s="1074"/>
      <c r="Y2" s="1074"/>
      <c r="Z2" s="1074"/>
      <c r="AA2" s="1074"/>
      <c r="AB2" s="1074"/>
      <c r="AC2" s="1074"/>
      <c r="AD2" s="1074"/>
      <c r="AE2" s="1074"/>
      <c r="AF2" s="73"/>
      <c r="AG2" s="73"/>
      <c r="AH2" s="73"/>
      <c r="AI2" s="73"/>
      <c r="AJ2" s="73"/>
      <c r="AK2" s="73"/>
      <c r="AL2" s="73"/>
      <c r="AM2" s="73"/>
      <c r="AN2" s="73"/>
      <c r="AO2" s="73"/>
      <c r="AP2" s="73"/>
      <c r="AQ2" s="536"/>
      <c r="AR2" s="536"/>
      <c r="CE2" s="992" t="s">
        <v>2193</v>
      </c>
      <c r="CF2" s="992"/>
      <c r="CG2" s="992"/>
      <c r="CH2" s="992"/>
      <c r="CI2" s="1209" t="str">
        <f>IF(AI1&lt;&gt;"",1,"")</f>
        <v/>
      </c>
      <c r="CJ2" s="1210"/>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11" t="str">
        <f>IF(AND(L9="ベア加算",Q49="ベア加算"),1,"")</f>
        <v/>
      </c>
      <c r="CJ3" s="1212"/>
    </row>
    <row r="4" spans="1:88" ht="28.5" customHeight="1">
      <c r="B4" s="1116" t="s">
        <v>2238</v>
      </c>
      <c r="C4" s="1116"/>
      <c r="D4" s="1116"/>
      <c r="E4" s="1116"/>
      <c r="F4" s="1116"/>
      <c r="G4" s="1117" t="s">
        <v>0</v>
      </c>
      <c r="H4" s="1117"/>
      <c r="I4" s="1117"/>
      <c r="J4" s="1118" t="s">
        <v>1</v>
      </c>
      <c r="K4" s="1119"/>
      <c r="L4" s="1119"/>
      <c r="M4" s="1119"/>
      <c r="N4" s="1119"/>
      <c r="O4" s="1120"/>
      <c r="P4" s="987" t="s">
        <v>2</v>
      </c>
      <c r="Q4" s="988"/>
      <c r="R4" s="988"/>
      <c r="S4" s="988"/>
      <c r="T4" s="988"/>
      <c r="U4" s="988"/>
      <c r="V4" s="988"/>
      <c r="W4" s="988"/>
      <c r="X4" s="989"/>
      <c r="Y4" s="1118" t="s">
        <v>3</v>
      </c>
      <c r="Z4" s="1119"/>
      <c r="AA4" s="1119"/>
      <c r="AB4" s="1119"/>
      <c r="AC4" s="1119"/>
      <c r="AD4" s="1120"/>
      <c r="AE4" s="1084" t="s">
        <v>2318</v>
      </c>
      <c r="AF4" s="1085"/>
      <c r="AG4" s="1085"/>
      <c r="AH4" s="1086"/>
      <c r="AI4" s="1084" t="s">
        <v>2319</v>
      </c>
      <c r="AJ4" s="1085"/>
      <c r="AK4" s="1085"/>
      <c r="AL4" s="1086"/>
      <c r="AM4" s="1084" t="s">
        <v>2320</v>
      </c>
      <c r="AN4" s="1085"/>
      <c r="AO4" s="1085"/>
      <c r="AP4" s="1086"/>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4"/>
      <c r="C5" s="1104"/>
      <c r="D5" s="1104"/>
      <c r="E5" s="1104"/>
      <c r="F5" s="1104"/>
      <c r="G5" s="1105"/>
      <c r="H5" s="1105"/>
      <c r="I5" s="1105"/>
      <c r="J5" s="1106"/>
      <c r="K5" s="1106"/>
      <c r="L5" s="1106"/>
      <c r="M5" s="1107"/>
      <c r="N5" s="1107"/>
      <c r="O5" s="1107"/>
      <c r="P5" s="1215"/>
      <c r="Q5" s="1216"/>
      <c r="R5" s="1216"/>
      <c r="S5" s="1216"/>
      <c r="T5" s="1216"/>
      <c r="U5" s="1216"/>
      <c r="V5" s="1216"/>
      <c r="W5" s="1216"/>
      <c r="X5" s="1217"/>
      <c r="Y5" s="1087"/>
      <c r="Z5" s="1087"/>
      <c r="AA5" s="1087"/>
      <c r="AB5" s="1087"/>
      <c r="AC5" s="1087"/>
      <c r="AD5" s="1087"/>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3" t="s">
        <v>2188</v>
      </c>
      <c r="CF7" s="1213"/>
      <c r="CG7" s="1213"/>
      <c r="CH7" s="1213"/>
      <c r="CI7" s="990" t="str">
        <f>IF(AND(AH62=1,AD41=""),1,"")</f>
        <v/>
      </c>
      <c r="CJ7" s="991"/>
    </row>
    <row r="8" spans="1:88" ht="17.25" customHeight="1" thickBot="1">
      <c r="B8" s="1110" t="s">
        <v>2146</v>
      </c>
      <c r="C8" s="1111"/>
      <c r="D8" s="1111"/>
      <c r="E8" s="1111"/>
      <c r="F8" s="1111"/>
      <c r="G8" s="1111"/>
      <c r="H8" s="1111"/>
      <c r="I8" s="1111"/>
      <c r="J8" s="1111"/>
      <c r="K8" s="1111"/>
      <c r="L8" s="1111"/>
      <c r="M8" s="1111"/>
      <c r="N8" s="1111"/>
      <c r="O8" s="1111"/>
      <c r="P8" s="1111"/>
      <c r="Q8" s="1111"/>
      <c r="R8" s="1111"/>
      <c r="S8" s="1112"/>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6" t="str">
        <f>IF(L9="ベア加算","",IF(OR(V8="新加算Ⅰ",V8="新加算Ⅱ",V8="新加算Ⅲ",V8="新加算Ⅳ"),"○",""))</f>
        <v/>
      </c>
      <c r="AU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6" t="str">
        <f>IF(OR(V8="新加算Ⅰ",V8="新加算Ⅱ",V8="新加算Ⅲ",V8="新加算Ⅴ(１)",V8="新加算Ⅴ(３)",V8="新加算Ⅴ(８)"),"○","")</f>
        <v/>
      </c>
      <c r="AX8" s="1206" t="str">
        <f>IF(OR(V8="新加算Ⅰ",V8="新加算Ⅱ",V8="新加算Ⅴ(１)",V8="新加算Ⅴ(２)",V8="新加算Ⅴ(３)",V8="新加算Ⅴ(４)",V8="新加算Ⅴ(５)",V8="新加算Ⅴ(６)",V8="新加算Ⅴ(７)",V8="新加算Ⅴ(９)",V8="新加算Ⅴ(10)",V8="新加算Ⅴ(12)"),"○","")</f>
        <v/>
      </c>
      <c r="AY8" s="1206" t="str">
        <f>IF(OR(V8="新加算Ⅰ",V8="新加算Ⅴ(１)",V8="新加算Ⅴ(２)",V8="新加算Ⅴ(５)",V8="新加算Ⅴ(７)",V8="新加算Ⅴ(10)"),"○","")</f>
        <v/>
      </c>
      <c r="AZ8" s="1206" t="str">
        <f>IF(OR(V8="新加算Ⅰ",V8="新加算Ⅱ",V8="新加算Ⅴ(１)",V8="新加算Ⅴ(２)",V8="新加算Ⅴ(３)",V8="新加算Ⅴ(４)",V8="新加算Ⅴ(５)",V8="新加算Ⅴ(６)",V8="新加算Ⅴ(７)",V8="新加算Ⅴ(９)",V8="新加算Ⅴ(10)",V8="新加算Ⅴ(12)"),"○","")</f>
        <v/>
      </c>
      <c r="BA8" s="84"/>
      <c r="CE8" s="1213" t="s">
        <v>2188</v>
      </c>
      <c r="CF8" s="1213"/>
      <c r="CG8" s="1213"/>
      <c r="CH8" s="1213"/>
      <c r="CI8" s="990" t="str">
        <f>IF(AND(AP62=1,AL41=""),1,"")</f>
        <v/>
      </c>
      <c r="CJ8" s="991"/>
    </row>
    <row r="9" spans="1:88" ht="26.25" customHeight="1">
      <c r="B9" s="1125"/>
      <c r="C9" s="1126"/>
      <c r="D9" s="1126"/>
      <c r="E9" s="1126"/>
      <c r="F9" s="1127"/>
      <c r="G9" s="1128"/>
      <c r="H9" s="1129"/>
      <c r="I9" s="1129"/>
      <c r="J9" s="1129"/>
      <c r="K9" s="1130"/>
      <c r="L9" s="1131"/>
      <c r="M9" s="1132"/>
      <c r="N9" s="1132"/>
      <c r="O9" s="1132"/>
      <c r="P9" s="1133"/>
      <c r="Q9" s="1108" t="s">
        <v>2052</v>
      </c>
      <c r="R9" s="1109"/>
      <c r="S9" s="1109"/>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7"/>
      <c r="AU9" s="1207"/>
      <c r="AV9" s="1207"/>
      <c r="AW9" s="1207"/>
      <c r="AX9" s="1207"/>
      <c r="AY9" s="1207"/>
      <c r="AZ9" s="1207"/>
      <c r="BA9" s="84"/>
      <c r="CE9" s="992" t="s">
        <v>2188</v>
      </c>
      <c r="CF9" s="992"/>
      <c r="CG9" s="992"/>
      <c r="CH9" s="992"/>
      <c r="CI9" s="990" t="str">
        <f>IF(OR(AH62=1,AP62=1),1,"")</f>
        <v/>
      </c>
      <c r="CJ9" s="991"/>
    </row>
    <row r="10" spans="1:88" ht="11.25" customHeight="1">
      <c r="B10" s="1134" t="str">
        <f>IFERROR(VLOOKUP(Y5,【参考】数式用!$A$5:$J$37,MATCH(B9,【参考】数式用!$B$4:$J$4,0)+1,0),"")</f>
        <v/>
      </c>
      <c r="C10" s="1135"/>
      <c r="D10" s="1135"/>
      <c r="E10" s="1135"/>
      <c r="F10" s="1136"/>
      <c r="G10" s="1134" t="str">
        <f>IFERROR(VLOOKUP(Y5,【参考】数式用!$A$5:$J$37,MATCH(G9,【参考】数式用!$B$4:$J$4,0)+1,0),"")</f>
        <v/>
      </c>
      <c r="H10" s="1135"/>
      <c r="I10" s="1135"/>
      <c r="J10" s="1135"/>
      <c r="K10" s="1136"/>
      <c r="L10" s="1140" t="str">
        <f>IFERROR(VLOOKUP(Y5,【参考】数式用!$A$5:$J$37,MATCH(L9,【参考】数式用!$B$4:$J$4,0)+1,0),"")</f>
        <v/>
      </c>
      <c r="M10" s="1141"/>
      <c r="N10" s="1141"/>
      <c r="O10" s="1141"/>
      <c r="P10" s="1142"/>
      <c r="Q10" s="1146">
        <f>SUM(B10,G10,L10)</f>
        <v>0</v>
      </c>
      <c r="R10" s="1147"/>
      <c r="S10" s="1147"/>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7"/>
      <c r="C11" s="1138"/>
      <c r="D11" s="1138"/>
      <c r="E11" s="1138"/>
      <c r="F11" s="1139"/>
      <c r="G11" s="1137"/>
      <c r="H11" s="1138"/>
      <c r="I11" s="1138"/>
      <c r="J11" s="1138"/>
      <c r="K11" s="1139"/>
      <c r="L11" s="1143"/>
      <c r="M11" s="1144"/>
      <c r="N11" s="1144"/>
      <c r="O11" s="1144"/>
      <c r="P11" s="1145"/>
      <c r="Q11" s="1146"/>
      <c r="R11" s="1147"/>
      <c r="S11" s="1147"/>
      <c r="T11" s="1033"/>
      <c r="U11" s="1023"/>
      <c r="V11" s="1076" t="str">
        <f>IFERROR(IF(VLOOKUP(AS1,【参考】数式用2!E6:L23,5,FALSE)="","",VLOOKUP(AS1,【参考】数式用2!E6:L23,5,FALSE)),"")</f>
        <v/>
      </c>
      <c r="W11" s="1076"/>
      <c r="X11" s="1076"/>
      <c r="Y11" s="1076"/>
      <c r="Z11" s="107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6" t="str">
        <f>IF(L9="ベア加算","",IF(OR(V11="新加算Ⅰ",V11="新加算Ⅱ",V11="新加算Ⅲ",V11="新加算Ⅳ"),"○",""))</f>
        <v/>
      </c>
      <c r="AU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6" t="str">
        <f>IF(OR(V11="新加算Ⅰ",V11="新加算Ⅱ",V11="新加算Ⅲ",V11="新加算Ⅴ(１)",V11="新加算Ⅴ(３)",V11="新加算Ⅴ(８)"),"○","")</f>
        <v/>
      </c>
      <c r="AX11" s="1206" t="str">
        <f>IF(OR(V11="新加算Ⅰ",V11="新加算Ⅱ",V11="新加算Ⅴ(１)",V11="新加算Ⅴ(２)",V11="新加算Ⅴ(３)",V11="新加算Ⅴ(４)",V11="新加算Ⅴ(５)",V11="新加算Ⅴ(６)",V11="新加算Ⅴ(７)",V11="新加算Ⅴ(９)",V11="新加算Ⅴ(10)",V11="新加算Ⅴ(12)"),"○","")</f>
        <v/>
      </c>
      <c r="AY11" s="1206" t="str">
        <f>IF(OR(V11="新加算Ⅰ",V11="新加算Ⅴ(１)",V11="新加算Ⅴ(２)",V11="新加算Ⅴ(５)",V11="新加算Ⅴ(７)",V11="新加算Ⅴ(10)"),"○","")</f>
        <v/>
      </c>
      <c r="AZ11" s="1206"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3"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3"/>
      <c r="D12" s="1103"/>
      <c r="E12" s="1103"/>
      <c r="F12" s="1103"/>
      <c r="G12" s="1103"/>
      <c r="H12" s="1103"/>
      <c r="I12" s="1103"/>
      <c r="J12" s="1103"/>
      <c r="K12" s="1103"/>
      <c r="L12" s="1103"/>
      <c r="M12" s="1103"/>
      <c r="N12" s="1103"/>
      <c r="O12" s="1103"/>
      <c r="P12" s="1103"/>
      <c r="Q12" s="1103"/>
      <c r="R12" s="1103"/>
      <c r="S12" s="1103"/>
      <c r="T12" s="1033"/>
      <c r="U12" s="1023"/>
      <c r="V12" s="1214" t="str">
        <f>IFERROR(VLOOKUP(Y5,【参考】数式用!$A$5:$AB$37,MATCH(V11,【参考】数式用!$B$4:$AB$4,0)+1,FALSE),"")</f>
        <v/>
      </c>
      <c r="W12" s="1214"/>
      <c r="X12" s="1214"/>
      <c r="Y12" s="1214"/>
      <c r="Z12" s="1214"/>
      <c r="AA12" s="995"/>
      <c r="AB12" s="995"/>
      <c r="AC12" s="995"/>
      <c r="AD12" s="995"/>
      <c r="AE12" s="995"/>
      <c r="AF12" s="995"/>
      <c r="AG12" s="995"/>
      <c r="AH12" s="995"/>
      <c r="AI12" s="995"/>
      <c r="AJ12" s="995"/>
      <c r="AK12" s="995"/>
      <c r="AL12" s="995"/>
      <c r="AM12" s="995"/>
      <c r="AN12" s="995"/>
      <c r="AO12" s="995"/>
      <c r="AP12" s="996"/>
      <c r="AS12" s="83"/>
      <c r="AT12" s="1207"/>
      <c r="AU12" s="1207"/>
      <c r="AV12" s="1207"/>
      <c r="AW12" s="1207"/>
      <c r="AX12" s="1207"/>
      <c r="AY12" s="1207"/>
      <c r="AZ12" s="1207"/>
      <c r="BA12" s="84"/>
    </row>
    <row r="13" spans="1:88" ht="12" customHeight="1">
      <c r="A13" s="78"/>
      <c r="B13" s="1067" t="s">
        <v>2116</v>
      </c>
      <c r="C13" s="1068"/>
      <c r="D13" s="1068"/>
      <c r="E13" s="1068"/>
      <c r="F13" s="1068"/>
      <c r="G13" s="1068"/>
      <c r="H13" s="1068"/>
      <c r="I13" s="1068"/>
      <c r="J13" s="1068"/>
      <c r="K13" s="1068"/>
      <c r="L13" s="1068"/>
      <c r="M13" s="1068"/>
      <c r="N13" s="1068"/>
      <c r="O13" s="1068"/>
      <c r="P13" s="1068"/>
      <c r="Q13" s="1068"/>
      <c r="R13" s="1068"/>
      <c r="S13" s="1069"/>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0"/>
      <c r="C14" s="1071"/>
      <c r="D14" s="1071"/>
      <c r="E14" s="1071"/>
      <c r="F14" s="1071"/>
      <c r="G14" s="1071"/>
      <c r="H14" s="1071"/>
      <c r="I14" s="1071"/>
      <c r="J14" s="1071"/>
      <c r="K14" s="1071"/>
      <c r="L14" s="1071"/>
      <c r="M14" s="1071"/>
      <c r="N14" s="1071"/>
      <c r="O14" s="1071"/>
      <c r="P14" s="1071"/>
      <c r="Q14" s="1071"/>
      <c r="R14" s="1071"/>
      <c r="S14" s="1072"/>
      <c r="U14" s="533"/>
      <c r="V14" s="1076" t="str">
        <f>IFERROR(IF(VLOOKUP(AS1,【参考】数式用2!E6:L23,7,FALSE)="","",VLOOKUP(AS1,【参考】数式用2!E6:L23,7,FALSE)),"")</f>
        <v/>
      </c>
      <c r="W14" s="1076"/>
      <c r="X14" s="1076"/>
      <c r="Y14" s="1076"/>
      <c r="Z14" s="107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6" t="str">
        <f>IF(L9="ベア加算","",IF(OR(V14="新加算Ⅰ",V14="新加算Ⅱ",V14="新加算Ⅲ",V14="新加算Ⅳ"),"○",""))</f>
        <v/>
      </c>
      <c r="AU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6" t="str">
        <f>IF(OR(V14="新加算Ⅰ",V14="新加算Ⅱ",V14="新加算Ⅲ",V14="新加算Ⅴ(１)",V14="新加算Ⅴ(３)",V14="新加算Ⅴ(８)"),"○","")</f>
        <v/>
      </c>
      <c r="AX14" s="1206" t="str">
        <f>IF(OR(V14="新加算Ⅰ",V14="新加算Ⅱ",V14="新加算Ⅴ(１)",V14="新加算Ⅴ(２)",V14="新加算Ⅴ(３)",V14="新加算Ⅴ(４)",V14="新加算Ⅴ(５)",V14="新加算Ⅴ(６)",V14="新加算Ⅴ(７)",V14="新加算Ⅴ(９)",V14="新加算Ⅴ(10)",V14="新加算Ⅴ(12)"),"○","")</f>
        <v/>
      </c>
      <c r="AY14" s="1206" t="str">
        <f>IF(OR(V14="新加算Ⅰ",V14="新加算Ⅴ(１)",V14="新加算Ⅴ(２)",V14="新加算Ⅴ(５)",V14="新加算Ⅴ(７)",V14="新加算Ⅴ(10)"),"○","")</f>
        <v/>
      </c>
      <c r="AZ14" s="1206"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8" t="s">
        <v>2110</v>
      </c>
      <c r="C15" s="1059"/>
      <c r="D15" s="54">
        <v>6</v>
      </c>
      <c r="E15" s="537" t="s">
        <v>2111</v>
      </c>
      <c r="F15" s="54">
        <v>4</v>
      </c>
      <c r="G15" s="537" t="s">
        <v>2112</v>
      </c>
      <c r="H15" s="1060" t="s">
        <v>2113</v>
      </c>
      <c r="I15" s="1060"/>
      <c r="J15" s="1073"/>
      <c r="K15" s="54">
        <v>7</v>
      </c>
      <c r="L15" s="537" t="s">
        <v>2111</v>
      </c>
      <c r="M15" s="54">
        <v>3</v>
      </c>
      <c r="N15" s="537" t="s">
        <v>2112</v>
      </c>
      <c r="O15" s="537" t="s">
        <v>2114</v>
      </c>
      <c r="P15" s="104">
        <f>(K15*12+M15)-(D15*12+F15)+1</f>
        <v>12</v>
      </c>
      <c r="Q15" s="1060" t="s">
        <v>2115</v>
      </c>
      <c r="R15" s="1060"/>
      <c r="S15" s="105" t="s">
        <v>69</v>
      </c>
      <c r="U15" s="533"/>
      <c r="V15" s="1061" t="str">
        <f>IFERROR(VLOOKUP(Y5,【参考】数式用!$A$5:$AB$37,MATCH(V14,【参考】数式用!$B$4:$AB$4,0)+1,FALSE),"")</f>
        <v/>
      </c>
      <c r="W15" s="1062"/>
      <c r="X15" s="1062"/>
      <c r="Y15" s="1062"/>
      <c r="Z15" s="1063"/>
      <c r="AA15" s="1026"/>
      <c r="AB15" s="1027"/>
      <c r="AC15" s="1027"/>
      <c r="AD15" s="1027"/>
      <c r="AE15" s="1027"/>
      <c r="AF15" s="1027"/>
      <c r="AG15" s="1027"/>
      <c r="AH15" s="1027"/>
      <c r="AI15" s="1027"/>
      <c r="AJ15" s="1027"/>
      <c r="AK15" s="1027"/>
      <c r="AL15" s="1027"/>
      <c r="AM15" s="1027"/>
      <c r="AN15" s="1027"/>
      <c r="AO15" s="1027"/>
      <c r="AP15" s="1028"/>
      <c r="AS15" s="83"/>
      <c r="AT15" s="1208"/>
      <c r="AU15" s="1208"/>
      <c r="AV15" s="1208"/>
      <c r="AW15" s="1208"/>
      <c r="AX15" s="1208"/>
      <c r="AY15" s="1208"/>
      <c r="AZ15" s="1208"/>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4"/>
      <c r="W16" s="1065"/>
      <c r="X16" s="1065"/>
      <c r="Y16" s="1065"/>
      <c r="Z16" s="1066"/>
      <c r="AA16" s="1029"/>
      <c r="AB16" s="1030"/>
      <c r="AC16" s="1030"/>
      <c r="AD16" s="1030"/>
      <c r="AE16" s="1030"/>
      <c r="AF16" s="1030"/>
      <c r="AG16" s="1030"/>
      <c r="AH16" s="1030"/>
      <c r="AI16" s="1030"/>
      <c r="AJ16" s="1030"/>
      <c r="AK16" s="1030"/>
      <c r="AL16" s="1030"/>
      <c r="AM16" s="1030"/>
      <c r="AN16" s="1030"/>
      <c r="AO16" s="1030"/>
      <c r="AP16" s="1031"/>
      <c r="AS16" s="83"/>
      <c r="AT16" s="1207"/>
      <c r="AU16" s="1207"/>
      <c r="AV16" s="1207"/>
      <c r="AW16" s="1207"/>
      <c r="AX16" s="1207"/>
      <c r="AY16" s="1207"/>
      <c r="AZ16" s="1207"/>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9" t="s">
        <v>2063</v>
      </c>
      <c r="C18" s="1169"/>
      <c r="D18" s="1169"/>
      <c r="E18" s="1169"/>
      <c r="F18" s="1169"/>
      <c r="G18" s="1169"/>
      <c r="H18" s="1169"/>
      <c r="I18" s="1169"/>
      <c r="J18" s="1169"/>
      <c r="K18" s="1169"/>
      <c r="L18" s="1169"/>
      <c r="M18" s="1169"/>
      <c r="N18" s="1169"/>
      <c r="O18" s="1169"/>
      <c r="P18" s="1169"/>
      <c r="Q18" s="1169"/>
      <c r="R18" s="1169"/>
      <c r="S18" s="1169"/>
      <c r="AI18" s="116"/>
      <c r="AJ18" s="116"/>
      <c r="AK18" s="116"/>
      <c r="AL18" s="116"/>
      <c r="AM18" s="116"/>
      <c r="AN18" s="116"/>
      <c r="AO18" s="116"/>
      <c r="AP18" s="116"/>
      <c r="AQ18" s="116"/>
    </row>
    <row r="19" spans="2:60" ht="6" customHeight="1" thickBot="1">
      <c r="B19" s="1169"/>
      <c r="C19" s="1169"/>
      <c r="D19" s="1169"/>
      <c r="E19" s="1169"/>
      <c r="F19" s="1169"/>
      <c r="G19" s="1169"/>
      <c r="H19" s="1169"/>
      <c r="I19" s="1169"/>
      <c r="J19" s="1169"/>
      <c r="K19" s="1169"/>
      <c r="L19" s="1169"/>
      <c r="M19" s="1169"/>
      <c r="N19" s="1169"/>
      <c r="O19" s="1169"/>
      <c r="P19" s="1169"/>
      <c r="Q19" s="1169"/>
      <c r="R19" s="1169"/>
      <c r="S19" s="1169"/>
      <c r="AI19" s="116"/>
      <c r="AJ19" s="116"/>
      <c r="AK19" s="116"/>
      <c r="AL19" s="116"/>
      <c r="AM19" s="116"/>
      <c r="AN19" s="116"/>
      <c r="AO19" s="116"/>
      <c r="AP19" s="116"/>
      <c r="AQ19" s="116"/>
    </row>
    <row r="20" spans="2:60" ht="12.95" customHeight="1">
      <c r="B20" s="1170"/>
      <c r="C20" s="1170"/>
      <c r="D20" s="1170"/>
      <c r="E20" s="1170"/>
      <c r="F20" s="1170"/>
      <c r="G20" s="1170"/>
      <c r="H20" s="1170"/>
      <c r="I20" s="1170"/>
      <c r="J20" s="1170"/>
      <c r="K20" s="1170"/>
      <c r="L20" s="1170"/>
      <c r="M20" s="1170"/>
      <c r="N20" s="1170"/>
      <c r="O20" s="1170"/>
      <c r="P20" s="1170"/>
      <c r="Q20" s="1170"/>
      <c r="R20" s="1170"/>
      <c r="S20" s="1170"/>
      <c r="T20" s="117"/>
      <c r="U20" s="78"/>
      <c r="V20" s="1160" t="s">
        <v>216</v>
      </c>
      <c r="W20" s="1160"/>
      <c r="X20" s="1160"/>
      <c r="Y20" s="1160"/>
      <c r="Z20" s="1160"/>
      <c r="AA20" s="91"/>
      <c r="AB20" s="91"/>
      <c r="AC20" s="1160" t="str">
        <f>IF(F15=4,"R6.4～R6.5",IF(F15=5,"R6.5",""))</f>
        <v>R6.4～R6.5</v>
      </c>
      <c r="AD20" s="1160"/>
      <c r="AE20" s="1160"/>
      <c r="AF20" s="1160"/>
      <c r="AG20" s="1160"/>
      <c r="AH20" s="1160"/>
      <c r="AI20" s="91"/>
      <c r="AJ20" s="91"/>
      <c r="AK20" s="1160" t="str">
        <f>IF(OR(F15=4,F15=5),"R6.6","R"&amp;D15&amp;"."&amp;F15)&amp;"～R"&amp;K15&amp;"."&amp;M15</f>
        <v>R6.6～R7.3</v>
      </c>
      <c r="AL20" s="1160"/>
      <c r="AM20" s="1160"/>
      <c r="AN20" s="1160"/>
      <c r="AO20" s="1160"/>
      <c r="AP20" s="1160"/>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48" t="s">
        <v>2122</v>
      </c>
      <c r="C21" s="1149"/>
      <c r="D21" s="1149"/>
      <c r="E21" s="1149"/>
      <c r="F21" s="1150"/>
      <c r="G21" s="1077" t="s">
        <v>217</v>
      </c>
      <c r="H21" s="1078"/>
      <c r="I21" s="1078"/>
      <c r="J21" s="1078"/>
      <c r="K21" s="1078"/>
      <c r="L21" s="1078"/>
      <c r="M21" s="1078"/>
      <c r="N21" s="1078"/>
      <c r="O21" s="1078"/>
      <c r="P21" s="1078"/>
      <c r="Q21" s="1078"/>
      <c r="R21" s="1078"/>
      <c r="S21" s="1078"/>
      <c r="T21" s="1079"/>
      <c r="U21" s="118"/>
      <c r="V21" s="538" t="str">
        <f>IFERROR(IF(L9="ベア加算","✓",""),"")</f>
        <v/>
      </c>
      <c r="W21" s="1032" t="s">
        <v>14</v>
      </c>
      <c r="X21" s="1032"/>
      <c r="Y21" s="1032"/>
      <c r="Z21" s="1032"/>
      <c r="AA21" s="1022" t="s">
        <v>12</v>
      </c>
      <c r="AB21" s="1023"/>
      <c r="AC21" s="120"/>
      <c r="AD21" s="1053" t="s">
        <v>14</v>
      </c>
      <c r="AE21" s="1053"/>
      <c r="AF21" s="1053"/>
      <c r="AG21" s="1053"/>
      <c r="AH21" s="1053"/>
      <c r="AI21" s="1022" t="s">
        <v>12</v>
      </c>
      <c r="AJ21" s="1023"/>
      <c r="AK21" s="121"/>
      <c r="AL21" s="1053" t="s">
        <v>14</v>
      </c>
      <c r="AM21" s="1053"/>
      <c r="AN21" s="1053"/>
      <c r="AO21" s="1053"/>
      <c r="AP21" s="1053"/>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4"/>
      <c r="C22" s="1155"/>
      <c r="D22" s="1155"/>
      <c r="E22" s="1155"/>
      <c r="F22" s="1156"/>
      <c r="G22" s="1081"/>
      <c r="H22" s="1082"/>
      <c r="I22" s="1082"/>
      <c r="J22" s="1082"/>
      <c r="K22" s="1082"/>
      <c r="L22" s="1082"/>
      <c r="M22" s="1082"/>
      <c r="N22" s="1082"/>
      <c r="O22" s="1082"/>
      <c r="P22" s="1082"/>
      <c r="Q22" s="1082"/>
      <c r="R22" s="1082"/>
      <c r="S22" s="1082"/>
      <c r="T22" s="1083"/>
      <c r="U22" s="118"/>
      <c r="V22" s="122" t="str">
        <f>IFERROR(IF(L9="ベア加算なし","✓",""),"")</f>
        <v/>
      </c>
      <c r="W22" s="1054" t="s">
        <v>15</v>
      </c>
      <c r="X22" s="1032"/>
      <c r="Y22" s="1055"/>
      <c r="Z22" s="1056"/>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48" t="s">
        <v>2068</v>
      </c>
      <c r="C24" s="1149"/>
      <c r="D24" s="1149"/>
      <c r="E24" s="1149"/>
      <c r="F24" s="1150"/>
      <c r="G24" s="1077" t="s">
        <v>2321</v>
      </c>
      <c r="H24" s="1078"/>
      <c r="I24" s="1078"/>
      <c r="J24" s="1078"/>
      <c r="K24" s="1078"/>
      <c r="L24" s="1078"/>
      <c r="M24" s="1078"/>
      <c r="N24" s="1078"/>
      <c r="O24" s="1078"/>
      <c r="P24" s="1078"/>
      <c r="Q24" s="1078"/>
      <c r="R24" s="1078"/>
      <c r="S24" s="1078"/>
      <c r="T24" s="1079"/>
      <c r="U24" s="118"/>
      <c r="V24" s="538" t="str">
        <f>IFERROR(IF(OR(B9="処遇加算Ⅰ",B9="処遇加算Ⅱ"),"✓",""),"")</f>
        <v/>
      </c>
      <c r="W24" s="1157" t="s">
        <v>2097</v>
      </c>
      <c r="X24" s="1158"/>
      <c r="Y24" s="1158"/>
      <c r="Z24" s="115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1"/>
      <c r="C25" s="1152"/>
      <c r="D25" s="1152"/>
      <c r="E25" s="1152"/>
      <c r="F25" s="1153"/>
      <c r="G25" s="1026"/>
      <c r="H25" s="1027"/>
      <c r="I25" s="1027"/>
      <c r="J25" s="1027"/>
      <c r="K25" s="1027"/>
      <c r="L25" s="1027"/>
      <c r="M25" s="1027"/>
      <c r="N25" s="1027"/>
      <c r="O25" s="1027"/>
      <c r="P25" s="1027"/>
      <c r="Q25" s="1027"/>
      <c r="R25" s="1027"/>
      <c r="S25" s="1027"/>
      <c r="T25" s="1080"/>
      <c r="U25" s="118"/>
      <c r="V25" s="538" t="str">
        <f>IFERROR(IF(B9="処遇加算Ⅲ","✓",""),"")</f>
        <v/>
      </c>
      <c r="W25" s="1157" t="s">
        <v>19</v>
      </c>
      <c r="X25" s="1158"/>
      <c r="Y25" s="1158"/>
      <c r="Z25" s="115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4"/>
      <c r="C26" s="1155"/>
      <c r="D26" s="1155"/>
      <c r="E26" s="1155"/>
      <c r="F26" s="1156"/>
      <c r="G26" s="1081"/>
      <c r="H26" s="1082"/>
      <c r="I26" s="1082"/>
      <c r="J26" s="1082"/>
      <c r="K26" s="1082"/>
      <c r="L26" s="1082"/>
      <c r="M26" s="1082"/>
      <c r="N26" s="1082"/>
      <c r="O26" s="1082"/>
      <c r="P26" s="1082"/>
      <c r="Q26" s="1082"/>
      <c r="R26" s="1082"/>
      <c r="S26" s="1082"/>
      <c r="T26" s="1083"/>
      <c r="U26" s="92"/>
      <c r="V26" s="538" t="str">
        <f>IFERROR(IF(B9="処遇加算なし","✓",""),"")</f>
        <v/>
      </c>
      <c r="W26" s="1157" t="s">
        <v>2098</v>
      </c>
      <c r="X26" s="1158"/>
      <c r="Y26" s="1158"/>
      <c r="Z26" s="115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48" t="s">
        <v>2069</v>
      </c>
      <c r="C28" s="1149"/>
      <c r="D28" s="1149"/>
      <c r="E28" s="1149"/>
      <c r="F28" s="1150"/>
      <c r="G28" s="1077" t="s">
        <v>2322</v>
      </c>
      <c r="H28" s="1078"/>
      <c r="I28" s="1078"/>
      <c r="J28" s="1078"/>
      <c r="K28" s="1078"/>
      <c r="L28" s="1078"/>
      <c r="M28" s="1078"/>
      <c r="N28" s="1078"/>
      <c r="O28" s="1078"/>
      <c r="P28" s="1078"/>
      <c r="Q28" s="1078"/>
      <c r="R28" s="1078"/>
      <c r="S28" s="1078"/>
      <c r="T28" s="1079"/>
      <c r="U28" s="118"/>
      <c r="V28" s="538" t="str">
        <f>IFERROR(IF(OR(B9="処遇加算Ⅰ",B9="処遇加算Ⅱ"),"✓",""),"")</f>
        <v/>
      </c>
      <c r="W28" s="1157" t="s">
        <v>2097</v>
      </c>
      <c r="X28" s="1158"/>
      <c r="Y28" s="1158"/>
      <c r="Z28" s="115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1"/>
      <c r="C29" s="1152"/>
      <c r="D29" s="1152"/>
      <c r="E29" s="1152"/>
      <c r="F29" s="1153"/>
      <c r="G29" s="1026"/>
      <c r="H29" s="1027"/>
      <c r="I29" s="1027"/>
      <c r="J29" s="1027"/>
      <c r="K29" s="1027"/>
      <c r="L29" s="1027"/>
      <c r="M29" s="1027"/>
      <c r="N29" s="1027"/>
      <c r="O29" s="1027"/>
      <c r="P29" s="1027"/>
      <c r="Q29" s="1027"/>
      <c r="R29" s="1027"/>
      <c r="S29" s="1027"/>
      <c r="T29" s="1080"/>
      <c r="U29" s="118"/>
      <c r="V29" s="538" t="str">
        <f>IFERROR(IF(B9="処遇加算Ⅲ","✓",""),"")</f>
        <v/>
      </c>
      <c r="W29" s="1157" t="s">
        <v>19</v>
      </c>
      <c r="X29" s="1158"/>
      <c r="Y29" s="1158"/>
      <c r="Z29" s="115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4"/>
      <c r="C30" s="1155"/>
      <c r="D30" s="1155"/>
      <c r="E30" s="1155"/>
      <c r="F30" s="1156"/>
      <c r="G30" s="1081"/>
      <c r="H30" s="1082"/>
      <c r="I30" s="1082"/>
      <c r="J30" s="1082"/>
      <c r="K30" s="1082"/>
      <c r="L30" s="1082"/>
      <c r="M30" s="1082"/>
      <c r="N30" s="1082"/>
      <c r="O30" s="1082"/>
      <c r="P30" s="1082"/>
      <c r="Q30" s="1082"/>
      <c r="R30" s="1082"/>
      <c r="S30" s="1082"/>
      <c r="T30" s="1083"/>
      <c r="U30" s="92"/>
      <c r="V30" s="538" t="str">
        <f>IFERROR(IF(B9="処遇加算なし","✓",""),"")</f>
        <v/>
      </c>
      <c r="W30" s="1157" t="s">
        <v>2098</v>
      </c>
      <c r="X30" s="1158"/>
      <c r="Y30" s="1158"/>
      <c r="Z30" s="115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4" t="s">
        <v>2070</v>
      </c>
      <c r="C32" s="1124"/>
      <c r="D32" s="1124"/>
      <c r="E32" s="1124"/>
      <c r="F32" s="1124"/>
      <c r="G32" s="1077" t="s">
        <v>2323</v>
      </c>
      <c r="H32" s="1078"/>
      <c r="I32" s="1078"/>
      <c r="J32" s="1078"/>
      <c r="K32" s="1078"/>
      <c r="L32" s="1078"/>
      <c r="M32" s="1078"/>
      <c r="N32" s="1078"/>
      <c r="O32" s="1078"/>
      <c r="P32" s="1078"/>
      <c r="Q32" s="1078"/>
      <c r="R32" s="1078"/>
      <c r="S32" s="1078"/>
      <c r="T32" s="1079"/>
      <c r="U32" s="118"/>
      <c r="V32" s="538" t="str">
        <f>IFERROR(IF(B9="処遇加算Ⅰ","✓",""),"")</f>
        <v/>
      </c>
      <c r="W32" s="1054" t="s">
        <v>14</v>
      </c>
      <c r="X32" s="1055"/>
      <c r="Y32" s="1055"/>
      <c r="Z32" s="1056"/>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4"/>
      <c r="C33" s="1124"/>
      <c r="D33" s="1124"/>
      <c r="E33" s="1124"/>
      <c r="F33" s="1124"/>
      <c r="G33" s="1026"/>
      <c r="H33" s="1027"/>
      <c r="I33" s="1027"/>
      <c r="J33" s="1027"/>
      <c r="K33" s="1027"/>
      <c r="L33" s="1027"/>
      <c r="M33" s="1027"/>
      <c r="N33" s="1027"/>
      <c r="O33" s="1027"/>
      <c r="P33" s="1027"/>
      <c r="Q33" s="1027"/>
      <c r="R33" s="1027"/>
      <c r="S33" s="1027"/>
      <c r="T33" s="1080"/>
      <c r="U33" s="118"/>
      <c r="V33" s="538" t="str">
        <f>IFERROR(IF(AND(B9&lt;&gt;"",B9&lt;&gt;"処遇加算Ⅰ"),"✓",""),"")</f>
        <v/>
      </c>
      <c r="W33" s="1054" t="s">
        <v>15</v>
      </c>
      <c r="X33" s="1055"/>
      <c r="Y33" s="1055"/>
      <c r="Z33" s="1056"/>
      <c r="AA33" s="1033"/>
      <c r="AB33" s="1023"/>
      <c r="AC33" s="120"/>
      <c r="AD33" s="1057" t="s">
        <v>17</v>
      </c>
      <c r="AE33" s="1057"/>
      <c r="AF33" s="1057"/>
      <c r="AG33" s="1057"/>
      <c r="AH33" s="1057"/>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4"/>
      <c r="C34" s="1124"/>
      <c r="D34" s="1124"/>
      <c r="E34" s="1124"/>
      <c r="F34" s="1124"/>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4" t="s">
        <v>2071</v>
      </c>
      <c r="C36" s="1124"/>
      <c r="D36" s="1124"/>
      <c r="E36" s="1124"/>
      <c r="F36" s="1124"/>
      <c r="G36" s="1094" t="s">
        <v>2324</v>
      </c>
      <c r="H36" s="1095"/>
      <c r="I36" s="1095"/>
      <c r="J36" s="1095"/>
      <c r="K36" s="1095"/>
      <c r="L36" s="1095"/>
      <c r="M36" s="1095"/>
      <c r="N36" s="1095"/>
      <c r="O36" s="1095"/>
      <c r="P36" s="1095"/>
      <c r="Q36" s="1095"/>
      <c r="R36" s="1095"/>
      <c r="S36" s="1095"/>
      <c r="T36" s="1096"/>
      <c r="U36" s="118"/>
      <c r="V36" s="538" t="str">
        <f>IFERROR(IF(OR(G9="特定加算Ⅰ",G9="特定加算Ⅱ"),"✓",""),"")</f>
        <v/>
      </c>
      <c r="W36" s="1054" t="s">
        <v>14</v>
      </c>
      <c r="X36" s="1055"/>
      <c r="Y36" s="1055"/>
      <c r="Z36" s="1056"/>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4"/>
      <c r="C37" s="1124"/>
      <c r="D37" s="1124"/>
      <c r="E37" s="1124"/>
      <c r="F37" s="1124"/>
      <c r="G37" s="1097"/>
      <c r="H37" s="1098"/>
      <c r="I37" s="1098"/>
      <c r="J37" s="1098"/>
      <c r="K37" s="1098"/>
      <c r="L37" s="1098"/>
      <c r="M37" s="1098"/>
      <c r="N37" s="1098"/>
      <c r="O37" s="1098"/>
      <c r="P37" s="1098"/>
      <c r="Q37" s="1098"/>
      <c r="R37" s="1098"/>
      <c r="S37" s="1098"/>
      <c r="T37" s="1099"/>
      <c r="U37" s="118"/>
      <c r="V37" s="538" t="str">
        <f>IFERROR(IF(G9="特定加算なし","✓",""),"")</f>
        <v/>
      </c>
      <c r="W37" s="1054" t="s">
        <v>15</v>
      </c>
      <c r="X37" s="1055"/>
      <c r="Y37" s="1055"/>
      <c r="Z37" s="1056"/>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4"/>
      <c r="C38" s="1124"/>
      <c r="D38" s="1124"/>
      <c r="E38" s="1124"/>
      <c r="F38" s="1124"/>
      <c r="G38" s="1100"/>
      <c r="H38" s="1101"/>
      <c r="I38" s="1101"/>
      <c r="J38" s="1101"/>
      <c r="K38" s="1101"/>
      <c r="L38" s="1101"/>
      <c r="M38" s="1101"/>
      <c r="N38" s="1101"/>
      <c r="O38" s="1101"/>
      <c r="P38" s="1101"/>
      <c r="Q38" s="1101"/>
      <c r="R38" s="1101"/>
      <c r="S38" s="1101"/>
      <c r="T38" s="1102"/>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4" t="s">
        <v>2072</v>
      </c>
      <c r="C40" s="1124"/>
      <c r="D40" s="1124"/>
      <c r="E40" s="1124"/>
      <c r="F40" s="1124"/>
      <c r="G40" s="1077" t="str">
        <f>IFERROR(VLOOKUP(Y5,【参考】数式用!AQ5:AR37,2,0),"")</f>
        <v/>
      </c>
      <c r="H40" s="1078"/>
      <c r="I40" s="1078"/>
      <c r="J40" s="1078"/>
      <c r="K40" s="1078"/>
      <c r="L40" s="1078"/>
      <c r="M40" s="1078"/>
      <c r="N40" s="1078"/>
      <c r="O40" s="1078"/>
      <c r="P40" s="1078"/>
      <c r="Q40" s="1078"/>
      <c r="R40" s="1078"/>
      <c r="S40" s="1078"/>
      <c r="T40" s="1079"/>
      <c r="U40" s="92"/>
      <c r="V40" s="538" t="str">
        <f>IFERROR(IF(G9="特定加算Ⅰ","✓",""),"")</f>
        <v/>
      </c>
      <c r="W40" s="1054" t="s">
        <v>14</v>
      </c>
      <c r="X40" s="1055"/>
      <c r="Y40" s="1055"/>
      <c r="Z40" s="1056"/>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4"/>
      <c r="C41" s="1124"/>
      <c r="D41" s="1124"/>
      <c r="E41" s="1124"/>
      <c r="F41" s="1124"/>
      <c r="G41" s="1026"/>
      <c r="H41" s="1027"/>
      <c r="I41" s="1027"/>
      <c r="J41" s="1027"/>
      <c r="K41" s="1027"/>
      <c r="L41" s="1027"/>
      <c r="M41" s="1027"/>
      <c r="N41" s="1027"/>
      <c r="O41" s="1027"/>
      <c r="P41" s="1027"/>
      <c r="Q41" s="1027"/>
      <c r="R41" s="1027"/>
      <c r="S41" s="1027"/>
      <c r="T41" s="1080"/>
      <c r="U41" s="92"/>
      <c r="V41" s="538" t="str">
        <f>IFERROR(IF(OR(G9="特定加算Ⅱ",G9="特定加算なし"),"✓",""),"")</f>
        <v/>
      </c>
      <c r="W41" s="1054" t="s">
        <v>15</v>
      </c>
      <c r="X41" s="1055"/>
      <c r="Y41" s="1055"/>
      <c r="Z41" s="1056"/>
      <c r="AA41" s="1022"/>
      <c r="AB41" s="1023"/>
      <c r="AC41" s="134" t="s">
        <v>83</v>
      </c>
      <c r="AD41" s="1161"/>
      <c r="AE41" s="1162"/>
      <c r="AF41" s="1162"/>
      <c r="AG41" s="1162"/>
      <c r="AH41" s="1163"/>
      <c r="AI41" s="1022"/>
      <c r="AJ41" s="1023"/>
      <c r="AK41" s="134" t="s">
        <v>83</v>
      </c>
      <c r="AL41" s="1161"/>
      <c r="AM41" s="1162"/>
      <c r="AN41" s="1162"/>
      <c r="AO41" s="1162"/>
      <c r="AP41" s="1163"/>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4"/>
      <c r="C42" s="1124"/>
      <c r="D42" s="1124"/>
      <c r="E42" s="1124"/>
      <c r="F42" s="1124"/>
      <c r="G42" s="1081"/>
      <c r="H42" s="1082"/>
      <c r="I42" s="1082"/>
      <c r="J42" s="1082"/>
      <c r="K42" s="1082"/>
      <c r="L42" s="1082"/>
      <c r="M42" s="1082"/>
      <c r="N42" s="1082"/>
      <c r="O42" s="1082"/>
      <c r="P42" s="1082"/>
      <c r="Q42" s="1082"/>
      <c r="R42" s="1082"/>
      <c r="S42" s="1082"/>
      <c r="T42" s="1083"/>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4" t="s">
        <v>2073</v>
      </c>
      <c r="C44" s="1124"/>
      <c r="D44" s="1124"/>
      <c r="E44" s="1124"/>
      <c r="F44" s="1124"/>
      <c r="G44" s="1077" t="s">
        <v>2375</v>
      </c>
      <c r="H44" s="1078"/>
      <c r="I44" s="1078"/>
      <c r="J44" s="1078"/>
      <c r="K44" s="1078"/>
      <c r="L44" s="1078"/>
      <c r="M44" s="1078"/>
      <c r="N44" s="1078"/>
      <c r="O44" s="1078"/>
      <c r="P44" s="1078"/>
      <c r="Q44" s="1078"/>
      <c r="R44" s="1078"/>
      <c r="S44" s="1078"/>
      <c r="T44" s="1079"/>
      <c r="U44" s="118"/>
      <c r="V44" s="538" t="str">
        <f>IFERROR(IF(OR(G9="特定加算Ⅰ",G9="特定加算Ⅱ"),"✓",""),"")</f>
        <v/>
      </c>
      <c r="W44" s="1054" t="s">
        <v>14</v>
      </c>
      <c r="X44" s="1055"/>
      <c r="Y44" s="1055"/>
      <c r="Z44" s="1056"/>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4"/>
      <c r="C45" s="1124"/>
      <c r="D45" s="1124"/>
      <c r="E45" s="1124"/>
      <c r="F45" s="1124"/>
      <c r="G45" s="1081"/>
      <c r="H45" s="1082"/>
      <c r="I45" s="1082"/>
      <c r="J45" s="1082"/>
      <c r="K45" s="1082"/>
      <c r="L45" s="1082"/>
      <c r="M45" s="1082"/>
      <c r="N45" s="1082"/>
      <c r="O45" s="1082"/>
      <c r="P45" s="1082"/>
      <c r="Q45" s="1082"/>
      <c r="R45" s="1082"/>
      <c r="S45" s="1082"/>
      <c r="T45" s="1083"/>
      <c r="U45" s="118"/>
      <c r="V45" s="538" t="str">
        <f>IFERROR(IF(G9="特定加算なし","✓",""),"")</f>
        <v/>
      </c>
      <c r="W45" s="1054" t="s">
        <v>15</v>
      </c>
      <c r="X45" s="1055"/>
      <c r="Y45" s="1055"/>
      <c r="Z45" s="1056"/>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9" t="s">
        <v>2137</v>
      </c>
      <c r="C47" s="1169"/>
      <c r="D47" s="1169"/>
      <c r="E47" s="1169"/>
      <c r="F47" s="1169"/>
      <c r="G47" s="1169"/>
      <c r="H47" s="1169"/>
      <c r="I47" s="1169"/>
      <c r="J47" s="1169"/>
      <c r="K47" s="1169"/>
      <c r="L47" s="1169"/>
      <c r="M47" s="1169"/>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1"/>
      <c r="C48" s="1122"/>
      <c r="D48" s="1122"/>
      <c r="E48" s="1122"/>
      <c r="F48" s="1123"/>
      <c r="G48" s="1110" t="str">
        <f>IF(F15=4,"R6.4～R6.5",IF(F15=5,"R6.5",""))</f>
        <v>R6.4～R6.5</v>
      </c>
      <c r="H48" s="1111"/>
      <c r="I48" s="1111"/>
      <c r="J48" s="1111"/>
      <c r="K48" s="1111"/>
      <c r="L48" s="1111"/>
      <c r="M48" s="1111"/>
      <c r="N48" s="1111"/>
      <c r="O48" s="1111"/>
      <c r="P48" s="1111"/>
      <c r="Q48" s="1111"/>
      <c r="R48" s="1111"/>
      <c r="S48" s="1111"/>
      <c r="T48" s="1111"/>
      <c r="U48" s="1111"/>
      <c r="V48" s="1111"/>
      <c r="W48" s="1111"/>
      <c r="X48" s="1111"/>
      <c r="Y48" s="1111"/>
      <c r="Z48" s="1112"/>
      <c r="AA48" s="1022" t="s">
        <v>12</v>
      </c>
      <c r="AB48" s="1023"/>
      <c r="AC48" s="1188" t="str">
        <f>IF(OR(F15=4,F15=5),"R6.6","R"&amp;D15&amp;"."&amp;F15)&amp;"～R"&amp;K15&amp;"."&amp;M15</f>
        <v>R6.6～R7.3</v>
      </c>
      <c r="AD48" s="1188"/>
      <c r="AE48" s="1188"/>
      <c r="AF48" s="1188"/>
      <c r="AG48" s="1188"/>
      <c r="AH48" s="1188"/>
      <c r="AS48" s="1041" t="str">
        <f>IFERROR(IF(AND(OR(AP58=1,AP58=2),OR(AP59=1,AP59=2),OR(AP60=1,AP60=2)),"処遇加算Ⅰ",IF(AND(OR(AP58=1,AP58=2),OR(AP59=1,AP59=2),OR(AP60=0,AP60=3)),"処遇加算Ⅱ",IF(OR(OR(AP58=1,AP58=2),OR(AP59=1,AP59=2)),"処遇加算Ⅲ",""))),"")</f>
        <v/>
      </c>
      <c r="AT48" s="1041"/>
      <c r="AU48" s="1041"/>
      <c r="AV48" s="1041"/>
      <c r="AW48" s="1042" t="str">
        <f>IFERROR(IF(AND(AP61=1,AP62=1,AP63=1),"特定加算Ⅰ",IF(AND(AP61=1,AP62=2,AP63=1),"特定加算Ⅱ",IF(OR(AP61=2,AP62=2,AP63=2),"特定加算なし",""))),"")</f>
        <v>特定加算なし</v>
      </c>
      <c r="AX48" s="1042"/>
      <c r="AY48" s="1042"/>
      <c r="AZ48" s="1042"/>
      <c r="BA48" s="1041" t="str">
        <f>IFERROR(IF(OR(L9="ベア加算",AP57=1),"ベア加算",IF(AP57=2,"ベア加算なし","")),"")</f>
        <v/>
      </c>
      <c r="BB48" s="1041"/>
      <c r="BC48" s="1041"/>
      <c r="BD48" s="1041"/>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13" t="s">
        <v>2016</v>
      </c>
      <c r="C49" s="1114"/>
      <c r="D49" s="1114"/>
      <c r="E49" s="1114"/>
      <c r="F49" s="1115"/>
      <c r="G49" s="1189" t="str">
        <f>IFERROR(IF(AND(OR(AH58=1,AH58=2),OR(AH59=1,AH59=2),OR(AH60=1,AH60=2)),"処遇加算Ⅰ",IF(AND(OR(AH58=1,AH58=2),OR(AH59=1,AH59=2),OR(AH60=0,AH60=3)),"処遇加算Ⅱ",IF(OR(OR(AH58=1,AH58=2),OR(AH59=1,AH59=2)),"処遇加算Ⅲ",""))),"")</f>
        <v/>
      </c>
      <c r="H49" s="1165"/>
      <c r="I49" s="1165"/>
      <c r="J49" s="1165"/>
      <c r="K49" s="1190"/>
      <c r="L49" s="1195" t="str">
        <f>IFERROR(IF(G9="","",IF(AND(AH61=1,AH62=1,AH63=1),"特定加算Ⅰ",IF(AND(AH61=1,AH62=2,AH63=1),"特定加算Ⅱ",IF(OR(AH61=2,AH62=2,AH63=2),"特定加算なし","")))),"")</f>
        <v/>
      </c>
      <c r="M49" s="1196"/>
      <c r="N49" s="1196"/>
      <c r="O49" s="1196"/>
      <c r="P49" s="1197"/>
      <c r="Q49" s="1164" t="str">
        <f>IFERROR(IF(OR(L9="ベア加算",AND(L9="ベア加算なし",AH57=1)),"ベア加算",IF(AH57=2,"ベア加算なし","")),"")</f>
        <v/>
      </c>
      <c r="R49" s="1165"/>
      <c r="S49" s="1165"/>
      <c r="T49" s="1165"/>
      <c r="U49" s="1166"/>
      <c r="V49" s="1167" t="s">
        <v>10</v>
      </c>
      <c r="W49" s="1168"/>
      <c r="X49" s="1168"/>
      <c r="Y49" s="1168"/>
      <c r="Z49" s="1168"/>
      <c r="AA49" s="1033"/>
      <c r="AB49" s="1033"/>
      <c r="AC49" s="1174" t="str">
        <f>IFERROR(VLOOKUP(BE48,【参考】数式用2!E6:F23,2,FALSE),"")</f>
        <v/>
      </c>
      <c r="AD49" s="1175"/>
      <c r="AE49" s="1175"/>
      <c r="AF49" s="1175"/>
      <c r="AG49" s="1175"/>
      <c r="AH49" s="117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3" t="s">
        <v>2017</v>
      </c>
      <c r="C50" s="1114"/>
      <c r="D50" s="1114"/>
      <c r="E50" s="1114"/>
      <c r="F50" s="1115"/>
      <c r="G50" s="1177" t="str">
        <f>IFERROR(VLOOKUP(Y5,【参考】数式用!$A$5:$J$37,MATCH(G49,【参考】数式用!$B$4:$J$4,0)+1,0),"")</f>
        <v/>
      </c>
      <c r="H50" s="1178"/>
      <c r="I50" s="1178"/>
      <c r="J50" s="1178"/>
      <c r="K50" s="1179"/>
      <c r="L50" s="1180" t="str">
        <f>IFERROR(VLOOKUP(Y5,【参考】数式用!$A$5:$J$37,MATCH(L49,【参考】数式用!$B$4:$J$4,0)+1,0),"")</f>
        <v/>
      </c>
      <c r="M50" s="1181"/>
      <c r="N50" s="1181"/>
      <c r="O50" s="1181"/>
      <c r="P50" s="1182"/>
      <c r="Q50" s="1183" t="str">
        <f>IFERROR(VLOOKUP(Y5,【参考】数式用!$A$5:$J$37,MATCH(Q49,【参考】数式用!$B$4:$J$4,0)+1,0),"")</f>
        <v/>
      </c>
      <c r="R50" s="1178"/>
      <c r="S50" s="1178"/>
      <c r="T50" s="1178"/>
      <c r="U50" s="1184"/>
      <c r="V50" s="1146">
        <f>SUM(G50,L50,Q50)</f>
        <v>0</v>
      </c>
      <c r="W50" s="1147"/>
      <c r="X50" s="1147"/>
      <c r="Y50" s="1147"/>
      <c r="Z50" s="1147"/>
      <c r="AA50" s="1033"/>
      <c r="AB50" s="1033"/>
      <c r="AC50" s="1185" t="str">
        <f>IFERROR(VLOOKUP(Y5,【参考】数式用!$A$5:$AB$37,MATCH(AC49,【参考】数式用!$B$4:$AB$4,0)+1,FALSE),"")</f>
        <v/>
      </c>
      <c r="AD50" s="1186"/>
      <c r="AE50" s="1186"/>
      <c r="AF50" s="1186"/>
      <c r="AG50" s="1186"/>
      <c r="AH50" s="1187"/>
      <c r="AS50" s="1039" t="s">
        <v>2047</v>
      </c>
      <c r="AT50" s="1039"/>
      <c r="AU50" s="1039"/>
      <c r="AV50" s="1039"/>
      <c r="AW50" s="1039" t="s">
        <v>2048</v>
      </c>
      <c r="AX50" s="1039"/>
      <c r="AY50" s="1039"/>
      <c r="AZ50" s="1039"/>
      <c r="BA50" s="1039" t="s">
        <v>13</v>
      </c>
      <c r="BB50" s="1039"/>
      <c r="BC50" s="1039"/>
      <c r="BD50" s="1039"/>
      <c r="BE50" s="1039" t="s">
        <v>2049</v>
      </c>
      <c r="BF50" s="1039"/>
      <c r="BG50" s="1039"/>
      <c r="BH50" s="1039"/>
      <c r="BI50" s="1039" t="s">
        <v>2052</v>
      </c>
      <c r="BJ50" s="1039"/>
      <c r="BK50" s="1039"/>
      <c r="BL50" s="1039"/>
      <c r="BM50" s="141"/>
      <c r="BN50" s="1039" t="s">
        <v>2051</v>
      </c>
      <c r="BO50" s="1039"/>
      <c r="BP50" s="1039"/>
      <c r="BQ50" s="1039"/>
      <c r="BR50" s="1039"/>
      <c r="BS50" s="1039"/>
      <c r="BT50" s="141"/>
      <c r="BV50" s="1198" t="s">
        <v>2054</v>
      </c>
      <c r="BW50" s="1199"/>
      <c r="BX50" s="1199"/>
      <c r="BY50" s="1199"/>
      <c r="BZ50" s="1199"/>
      <c r="CA50" s="1200"/>
      <c r="CD50" s="142"/>
    </row>
    <row r="51" spans="2:86" ht="17.25" customHeight="1">
      <c r="B51" s="1171" t="s">
        <v>2121</v>
      </c>
      <c r="C51" s="1172"/>
      <c r="D51" s="1172"/>
      <c r="E51" s="1172"/>
      <c r="F51" s="1173"/>
      <c r="G51" s="1093" t="str">
        <f>IFERROR(ROUNDDOWN(ROUND(AM5*G50,0),0)*H53,"")</f>
        <v/>
      </c>
      <c r="H51" s="1093"/>
      <c r="I51" s="1093"/>
      <c r="J51" s="1093"/>
      <c r="K51" s="55" t="s">
        <v>2117</v>
      </c>
      <c r="L51" s="1090" t="str">
        <f>IFERROR(ROUNDDOWN(ROUND(AM5*L50,0),0)*H53,"")</f>
        <v/>
      </c>
      <c r="M51" s="1091"/>
      <c r="N51" s="1091"/>
      <c r="O51" s="1091"/>
      <c r="P51" s="55" t="s">
        <v>2117</v>
      </c>
      <c r="Q51" s="1092" t="str">
        <f>IFERROR(ROUNDDOWN(ROUND(AM5*Q50,0),0)*H53,"")</f>
        <v/>
      </c>
      <c r="R51" s="1093"/>
      <c r="S51" s="1093"/>
      <c r="T51" s="1093"/>
      <c r="U51" s="56" t="s">
        <v>2117</v>
      </c>
      <c r="V51" s="1193">
        <f>IFERROR(SUM(G51,L51,Q51),"")</f>
        <v>0</v>
      </c>
      <c r="W51" s="1194"/>
      <c r="X51" s="1194"/>
      <c r="Y51" s="1194"/>
      <c r="Z51" s="57" t="s">
        <v>2117</v>
      </c>
      <c r="AB51" s="58"/>
      <c r="AC51" s="1092" t="str">
        <f>IFERROR(ROUNDDOWN(ROUND(AM5*AC50,0),0)*AD53,"")</f>
        <v/>
      </c>
      <c r="AD51" s="1093"/>
      <c r="AE51" s="1093"/>
      <c r="AF51" s="1093"/>
      <c r="AG51" s="1093"/>
      <c r="AH51" s="56" t="s">
        <v>2117</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1">
        <f>IF(AND(Q49="ベア加算なし",BA48="ベア加算"),ROUNDDOWN(ROUND(AM5*VLOOKUP(Y5,【参考】数式用!$A$5:$AB$37,9,FALSE),0),0)*AD53,0)</f>
        <v>0</v>
      </c>
      <c r="BW51" s="1202"/>
      <c r="BX51" s="1202"/>
      <c r="BY51" s="1202"/>
      <c r="BZ51" s="1202"/>
      <c r="CA51" s="1203"/>
      <c r="CD51" s="142"/>
    </row>
    <row r="52" spans="2:86" ht="13.5" customHeight="1">
      <c r="B52" s="1171"/>
      <c r="C52" s="1172"/>
      <c r="D52" s="1172"/>
      <c r="E52" s="1172"/>
      <c r="F52" s="1173"/>
      <c r="G52" s="1088" t="str">
        <f>IFERROR("("&amp;TEXT(G51/H53,"#,##0円")&amp;"/月)","")</f>
        <v/>
      </c>
      <c r="H52" s="1089"/>
      <c r="I52" s="1089"/>
      <c r="J52" s="1089"/>
      <c r="K52" s="1089"/>
      <c r="L52" s="1191" t="str">
        <f>IFERROR("("&amp;TEXT(L51/H53,"#,##0円")&amp;"/月)","")</f>
        <v/>
      </c>
      <c r="M52" s="1192"/>
      <c r="N52" s="1192"/>
      <c r="O52" s="1192"/>
      <c r="P52" s="1088"/>
      <c r="Q52" s="1089" t="str">
        <f>IFERROR("("&amp;TEXT(Q51/H53,"#,##0円")&amp;"/月)","")</f>
        <v/>
      </c>
      <c r="R52" s="1089"/>
      <c r="S52" s="1089"/>
      <c r="T52" s="1089"/>
      <c r="U52" s="1089"/>
      <c r="V52" s="1089" t="str">
        <f>IFERROR("("&amp;TEXT(V51/H53,"#,##0円")&amp;"/月)","")</f>
        <v>(0円/月)</v>
      </c>
      <c r="W52" s="1089"/>
      <c r="X52" s="1089"/>
      <c r="Y52" s="1089"/>
      <c r="Z52" s="1089"/>
      <c r="AB52" s="58"/>
      <c r="AC52" s="1191" t="str">
        <f>IFERROR("("&amp;TEXT(AC51/AD53,"#,##0円")&amp;"/月)","")</f>
        <v/>
      </c>
      <c r="AD52" s="1192"/>
      <c r="AE52" s="1192"/>
      <c r="AF52" s="1192"/>
      <c r="AG52" s="1192"/>
      <c r="AH52" s="1088"/>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3" t="s">
        <v>2376</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2203</v>
      </c>
      <c r="AT56" s="1052"/>
      <c r="AU56" s="1052"/>
      <c r="AV56" s="1052"/>
      <c r="AW56" s="1052" t="s">
        <v>2202</v>
      </c>
      <c r="AX56" s="1052"/>
      <c r="AY56" s="1052"/>
      <c r="AZ56" s="1052"/>
    </row>
    <row r="57" spans="2:86" ht="15.95" customHeight="1">
      <c r="U57" s="1039" t="s">
        <v>2377</v>
      </c>
      <c r="V57" s="1039"/>
      <c r="W57" s="1039"/>
      <c r="X57" s="1039"/>
      <c r="Y57" s="1039"/>
      <c r="Z57" s="534" t="str">
        <f>IF(AND(B9&lt;&gt;"処遇加算なし",F15=4),IF(V21="✓",1,IF(V22="✓",2,"")),"")</f>
        <v/>
      </c>
      <c r="AA57" s="145"/>
      <c r="AB57" s="149"/>
      <c r="AC57" s="1039" t="s">
        <v>2377</v>
      </c>
      <c r="AD57" s="1039"/>
      <c r="AE57" s="1039"/>
      <c r="AF57" s="1039"/>
      <c r="AG57" s="1039"/>
      <c r="AH57" s="425">
        <f>IF(AND(F15&lt;&gt;4,F15&lt;&gt;5),0,IF(AT8="○",1,0))</f>
        <v>0</v>
      </c>
      <c r="AI57" s="153"/>
      <c r="AJ57" s="149"/>
      <c r="AK57" s="1039" t="s">
        <v>2377</v>
      </c>
      <c r="AL57" s="1039"/>
      <c r="AM57" s="1039"/>
      <c r="AN57" s="1039"/>
      <c r="AO57" s="1039"/>
      <c r="AP57" s="425">
        <f>IF(AT8="○",1,0)</f>
        <v>0</v>
      </c>
      <c r="AQ57" s="145"/>
      <c r="AR57" s="145"/>
      <c r="AS57" s="1038"/>
      <c r="AT57" s="1038"/>
      <c r="AU57" s="1038"/>
      <c r="AV57" s="1038"/>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2378</v>
      </c>
      <c r="V58" s="1047"/>
      <c r="W58" s="1047"/>
      <c r="X58" s="1047"/>
      <c r="Y58" s="1047"/>
      <c r="Z58" s="534" t="str">
        <f>IF(AND(B9&lt;&gt;"処遇加算なし",F15=4),IF(V24="✓",1,IF(V25="✓",2,IF(V26="✓",3,""))),"")</f>
        <v/>
      </c>
      <c r="AA58" s="145"/>
      <c r="AB58" s="149"/>
      <c r="AC58" s="1047" t="s">
        <v>2378</v>
      </c>
      <c r="AD58" s="1047"/>
      <c r="AE58" s="1047"/>
      <c r="AF58" s="1047"/>
      <c r="AG58" s="1047"/>
      <c r="AH58" s="425">
        <f>IF(AND(F15&lt;&gt;4,F15&lt;&gt;5),0,IF(AU8="○",1,3))</f>
        <v>3</v>
      </c>
      <c r="AI58" s="153"/>
      <c r="AJ58" s="149"/>
      <c r="AK58" s="1047" t="s">
        <v>2378</v>
      </c>
      <c r="AL58" s="1047"/>
      <c r="AM58" s="1047"/>
      <c r="AN58" s="1047"/>
      <c r="AO58" s="1047"/>
      <c r="AP58" s="425">
        <f>IF(AU8="○",1,3)</f>
        <v>3</v>
      </c>
      <c r="AQ58" s="145"/>
      <c r="AR58" s="145"/>
      <c r="AS58" s="1039" t="str">
        <f>IF(OR(AND(Z58=1,AH58=3),AND(Z58=1,AP58=3),AND(Z58=2,AH58=3,AH59=3),AND(Z58=2,AP58=3,AP59=3)),"○","")</f>
        <v/>
      </c>
      <c r="AT58" s="1039"/>
      <c r="AU58" s="1039"/>
      <c r="AV58" s="1039"/>
      <c r="AW58" s="1039" t="str">
        <f>IF(OR(AND(Z58=1,AH58=2),AND(Z58=1,AP58=2),AND(Z58=2,AH58=2,AH59=2),AND(Z58=2,AP58=2,AP59=2)),"○","")</f>
        <v/>
      </c>
      <c r="AX58" s="1039"/>
      <c r="AY58" s="1039"/>
      <c r="AZ58" s="1039"/>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2379</v>
      </c>
      <c r="V59" s="1047"/>
      <c r="W59" s="1047"/>
      <c r="X59" s="1047"/>
      <c r="Y59" s="1047"/>
      <c r="Z59" s="534" t="str">
        <f>IF(AND(B9&lt;&gt;"処遇加算なし",F15=4),IF(V28="✓",1,IF(V29="✓",2,IF(V30="✓",3,""))),"")</f>
        <v/>
      </c>
      <c r="AA59" s="145"/>
      <c r="AB59" s="149"/>
      <c r="AC59" s="1047" t="s">
        <v>2379</v>
      </c>
      <c r="AD59" s="1047"/>
      <c r="AE59" s="1047"/>
      <c r="AF59" s="1047"/>
      <c r="AG59" s="1047"/>
      <c r="AH59" s="425">
        <f>IF(AND(F15&lt;&gt;4,F15&lt;&gt;5),0,IF(AV8="○",1,3))</f>
        <v>3</v>
      </c>
      <c r="AI59" s="153"/>
      <c r="AJ59" s="149"/>
      <c r="AK59" s="1047" t="s">
        <v>2379</v>
      </c>
      <c r="AL59" s="1047"/>
      <c r="AM59" s="1047"/>
      <c r="AN59" s="1047"/>
      <c r="AO59" s="1047"/>
      <c r="AP59" s="425">
        <f>IF(AV8="○",1,3)</f>
        <v>3</v>
      </c>
      <c r="AQ59" s="145"/>
      <c r="AR59" s="145"/>
      <c r="AS59" s="1039" t="str">
        <f>IF(OR(AND(Z59=1,AH59=3),AND(Z59=1,AP59=3),AND(Z59=2,AH58=3,AH59=3),AND(Z59=2,AP58=3,AP59=3)),"○","")</f>
        <v/>
      </c>
      <c r="AT59" s="1039"/>
      <c r="AU59" s="1039"/>
      <c r="AV59" s="1039"/>
      <c r="AW59" s="1039" t="str">
        <f>IF(OR(AND(Z59=1,AH58=2),AND(Z59=1,AP58=2),AND(Z59=2,AH58=2,AH59=2),AND(Z59=2,AP58=2,AP59=2)),"○","")</f>
        <v/>
      </c>
      <c r="AX59" s="1039"/>
      <c r="AY59" s="1039"/>
      <c r="AZ59" s="1039"/>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2380</v>
      </c>
      <c r="V60" s="1047"/>
      <c r="W60" s="1047"/>
      <c r="X60" s="1047"/>
      <c r="Y60" s="1047"/>
      <c r="Z60" s="534" t="str">
        <f>IF(AND(B9&lt;&gt;"処遇加算なし",F15=4),IF(V32="✓",1,IF(V33="✓",2,"")),"")</f>
        <v/>
      </c>
      <c r="AA60" s="145"/>
      <c r="AB60" s="149"/>
      <c r="AC60" s="1047" t="s">
        <v>2380</v>
      </c>
      <c r="AD60" s="1047"/>
      <c r="AE60" s="1047"/>
      <c r="AF60" s="1047"/>
      <c r="AG60" s="1047"/>
      <c r="AH60" s="425">
        <f>IF(AND(F15&lt;&gt;4,F15&lt;&gt;5),0,IF(AW8="○",1,3))</f>
        <v>3</v>
      </c>
      <c r="AI60" s="153"/>
      <c r="AJ60" s="149"/>
      <c r="AK60" s="1047" t="s">
        <v>2380</v>
      </c>
      <c r="AL60" s="1047"/>
      <c r="AM60" s="1047"/>
      <c r="AN60" s="1047"/>
      <c r="AO60" s="1047"/>
      <c r="AP60" s="425">
        <f>IF(AW8="○",1,3)</f>
        <v>3</v>
      </c>
      <c r="AQ60" s="145"/>
      <c r="AR60" s="145"/>
      <c r="AS60" s="1040" t="str">
        <f>IF(OR(AND(Z60=1,AH60=3),AND(Z60=1,AP60=3)),"○","")</f>
        <v/>
      </c>
      <c r="AT60" s="1040"/>
      <c r="AU60" s="1040"/>
      <c r="AV60" s="1040"/>
      <c r="AW60" s="1040" t="str">
        <f>IF(OR(AND(Z60=1,AH60=2),AND(Z60=1,AP60=2)),"○","")</f>
        <v/>
      </c>
      <c r="AX60" s="1040"/>
      <c r="AY60" s="1040"/>
      <c r="AZ60" s="1040"/>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2381</v>
      </c>
      <c r="V61" s="1047"/>
      <c r="W61" s="1047"/>
      <c r="X61" s="1047"/>
      <c r="Y61" s="1047"/>
      <c r="Z61" s="534" t="str">
        <f>IF(AND(B9&lt;&gt;"処遇加算なし",F15=4),IF(V36="✓",1,IF(V37="✓",2,"")),"")</f>
        <v/>
      </c>
      <c r="AA61" s="145"/>
      <c r="AB61" s="149"/>
      <c r="AC61" s="1047" t="s">
        <v>2381</v>
      </c>
      <c r="AD61" s="1047"/>
      <c r="AE61" s="1047"/>
      <c r="AF61" s="1047"/>
      <c r="AG61" s="1047"/>
      <c r="AH61" s="425">
        <f>IF(AND(F15&lt;&gt;4,F15&lt;&gt;5),0,IF(AX8="○",1,2))</f>
        <v>2</v>
      </c>
      <c r="AI61" s="153"/>
      <c r="AJ61" s="149"/>
      <c r="AK61" s="1047" t="s">
        <v>2381</v>
      </c>
      <c r="AL61" s="1047"/>
      <c r="AM61" s="1047"/>
      <c r="AN61" s="1047"/>
      <c r="AO61" s="1047"/>
      <c r="AP61" s="425">
        <f>IF(AX8="○",1,2)</f>
        <v>2</v>
      </c>
      <c r="AQ61" s="145"/>
      <c r="AR61" s="145"/>
      <c r="AS61" s="1039" t="str">
        <f>IF(OR(AND(Z61=1,AH61=2),AND(Z61=1,AP61=2)),"○","")</f>
        <v/>
      </c>
      <c r="AT61" s="1039"/>
      <c r="AU61" s="1039"/>
      <c r="AV61" s="1039"/>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2382</v>
      </c>
      <c r="V62" s="1047"/>
      <c r="W62" s="1047"/>
      <c r="X62" s="1047"/>
      <c r="Y62" s="1047"/>
      <c r="Z62" s="534" t="str">
        <f>IF(AND(B9&lt;&gt;"処遇加算なし",F15=4),IF(V40="✓",1,IF(V41="✓",2,"")),"")</f>
        <v/>
      </c>
      <c r="AA62" s="145"/>
      <c r="AB62" s="149"/>
      <c r="AC62" s="1047" t="s">
        <v>2382</v>
      </c>
      <c r="AD62" s="1047"/>
      <c r="AE62" s="1047"/>
      <c r="AF62" s="1047"/>
      <c r="AG62" s="1047"/>
      <c r="AH62" s="425">
        <f>IF(AND(F15&lt;&gt;4,F15&lt;&gt;5),0,IF(AY8="○",1,2))</f>
        <v>2</v>
      </c>
      <c r="AI62" s="153"/>
      <c r="AJ62" s="149"/>
      <c r="AK62" s="1047" t="s">
        <v>2382</v>
      </c>
      <c r="AL62" s="1047"/>
      <c r="AM62" s="1047"/>
      <c r="AN62" s="1047"/>
      <c r="AO62" s="1047"/>
      <c r="AP62" s="425">
        <f>IF(AY8="○",1,2)</f>
        <v>2</v>
      </c>
      <c r="AQ62" s="145"/>
      <c r="AR62" s="145"/>
      <c r="AS62" s="1039" t="str">
        <f>IF(OR(AND(Z62=1,AH62=2),AND(Z62=1,AP62=2)),"○","")</f>
        <v/>
      </c>
      <c r="AT62" s="1039"/>
      <c r="AU62" s="1039"/>
      <c r="AV62" s="1039"/>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39" t="s">
        <v>2383</v>
      </c>
      <c r="V63" s="1039"/>
      <c r="W63" s="1039"/>
      <c r="X63" s="1039"/>
      <c r="Y63" s="1039"/>
      <c r="Z63" s="534" t="str">
        <f>IF(AND(B9&lt;&gt;"処遇加算なし",F15=4),IF(V44="✓",1,IF(V45="✓",2,"")),"")</f>
        <v/>
      </c>
      <c r="AA63" s="145"/>
      <c r="AB63" s="149"/>
      <c r="AC63" s="1039" t="s">
        <v>2383</v>
      </c>
      <c r="AD63" s="1039"/>
      <c r="AE63" s="1039"/>
      <c r="AF63" s="1039"/>
      <c r="AG63" s="1039"/>
      <c r="AH63" s="425">
        <f>IF(AND(F15&lt;&gt;4,F15&lt;&gt;5),0,IF(AZ8="○",1,2))</f>
        <v>2</v>
      </c>
      <c r="AI63" s="153"/>
      <c r="AJ63" s="149"/>
      <c r="AK63" s="1039" t="s">
        <v>2383</v>
      </c>
      <c r="AL63" s="1039"/>
      <c r="AM63" s="1039"/>
      <c r="AN63" s="1039"/>
      <c r="AO63" s="1039"/>
      <c r="AP63" s="425">
        <f>IF(AZ8="○",1,2)</f>
        <v>2</v>
      </c>
      <c r="AQ63" s="145"/>
      <c r="AR63" s="145"/>
      <c r="AS63" s="1039" t="str">
        <f>IF(OR(AND(Z63=1,AH63=2),AND(Z63=1,AP63=2)),"○","")</f>
        <v/>
      </c>
      <c r="AT63" s="1039"/>
      <c r="AU63" s="1039"/>
      <c r="AV63" s="1039"/>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8" t="s">
        <v>224</v>
      </c>
      <c r="B2" s="1220" t="s">
        <v>2239</v>
      </c>
      <c r="C2" s="1221"/>
      <c r="D2" s="1221"/>
      <c r="E2" s="1222"/>
      <c r="F2" s="1223" t="s">
        <v>2240</v>
      </c>
      <c r="G2" s="1224"/>
      <c r="H2" s="1224"/>
      <c r="I2" s="1218" t="s">
        <v>2241</v>
      </c>
      <c r="J2" s="1225"/>
      <c r="K2" s="1228" t="s">
        <v>2242</v>
      </c>
      <c r="L2" s="1229"/>
      <c r="M2" s="1229"/>
      <c r="N2" s="1229"/>
      <c r="O2" s="1229"/>
      <c r="P2" s="1229"/>
      <c r="Q2" s="1229"/>
      <c r="R2" s="1229"/>
      <c r="S2" s="1229"/>
      <c r="T2" s="1229"/>
      <c r="U2" s="1229"/>
      <c r="V2" s="1229"/>
      <c r="W2" s="1229"/>
      <c r="X2" s="1229"/>
      <c r="Y2" s="1229"/>
      <c r="Z2" s="1229"/>
      <c r="AA2" s="1229"/>
      <c r="AB2" s="1230"/>
      <c r="AC2" s="1248" t="s">
        <v>2243</v>
      </c>
      <c r="AD2" s="449"/>
      <c r="AE2" s="1244" t="s">
        <v>224</v>
      </c>
      <c r="AF2" s="1246" t="s">
        <v>2277</v>
      </c>
      <c r="AH2" s="444" t="s">
        <v>2244</v>
      </c>
      <c r="AI2" s="445" t="s">
        <v>2244</v>
      </c>
      <c r="AK2" s="451" t="s">
        <v>181</v>
      </c>
      <c r="AM2" s="451" t="s">
        <v>16</v>
      </c>
      <c r="AO2" s="452" t="s">
        <v>226</v>
      </c>
      <c r="AQ2" s="1238" t="s">
        <v>2008</v>
      </c>
      <c r="AR2" s="1241" t="s">
        <v>225</v>
      </c>
    </row>
    <row r="3" spans="1:44" ht="51.75" customHeight="1" thickBot="1">
      <c r="A3" s="1219"/>
      <c r="B3" s="1231" t="s">
        <v>228</v>
      </c>
      <c r="C3" s="1232"/>
      <c r="D3" s="1232"/>
      <c r="E3" s="1233"/>
      <c r="F3" s="1234" t="s">
        <v>229</v>
      </c>
      <c r="G3" s="1234"/>
      <c r="H3" s="1234"/>
      <c r="I3" s="1226"/>
      <c r="J3" s="1227"/>
      <c r="K3" s="1235" t="s">
        <v>230</v>
      </c>
      <c r="L3" s="1236"/>
      <c r="M3" s="1236"/>
      <c r="N3" s="1236"/>
      <c r="O3" s="1236"/>
      <c r="P3" s="1236"/>
      <c r="Q3" s="1236"/>
      <c r="R3" s="1236"/>
      <c r="S3" s="1236"/>
      <c r="T3" s="1236"/>
      <c r="U3" s="1236"/>
      <c r="V3" s="1236"/>
      <c r="W3" s="1236"/>
      <c r="X3" s="1236"/>
      <c r="Y3" s="1236"/>
      <c r="Z3" s="1236"/>
      <c r="AA3" s="1236"/>
      <c r="AB3" s="1237"/>
      <c r="AC3" s="1249"/>
      <c r="AD3" s="449"/>
      <c r="AE3" s="1245"/>
      <c r="AF3" s="1247"/>
      <c r="AH3" s="443" t="s">
        <v>2245</v>
      </c>
      <c r="AI3" s="446" t="s">
        <v>2245</v>
      </c>
      <c r="AK3" s="453"/>
      <c r="AM3" s="453"/>
      <c r="AO3" s="454" t="s">
        <v>18</v>
      </c>
      <c r="AQ3" s="1239"/>
      <c r="AR3" s="1242"/>
    </row>
    <row r="4" spans="1:44" ht="41.25" customHeight="1" thickBot="1">
      <c r="A4" s="1219"/>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50"/>
      <c r="AD4" s="449"/>
      <c r="AE4" s="1245"/>
      <c r="AF4" s="1247"/>
      <c r="AH4" s="443" t="s">
        <v>2280</v>
      </c>
      <c r="AI4" s="446" t="s">
        <v>2280</v>
      </c>
      <c r="AO4" s="454" t="s">
        <v>237</v>
      </c>
      <c r="AQ4" s="1240"/>
      <c r="AR4" s="124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2239</v>
      </c>
      <c r="C3" s="1251" t="s">
        <v>2240</v>
      </c>
      <c r="D3" s="1251" t="s">
        <v>2241</v>
      </c>
      <c r="E3" s="1251" t="s">
        <v>227</v>
      </c>
      <c r="F3" s="1253" t="s">
        <v>2067</v>
      </c>
      <c r="G3" s="1251" t="s">
        <v>2103</v>
      </c>
      <c r="H3" s="1251"/>
      <c r="I3" s="1251" t="s">
        <v>2104</v>
      </c>
      <c r="J3" s="1251"/>
      <c r="K3" s="1251" t="s">
        <v>2105</v>
      </c>
      <c r="L3" s="1251"/>
      <c r="M3" s="1256" t="s">
        <v>2037</v>
      </c>
      <c r="N3" s="1256" t="s">
        <v>2038</v>
      </c>
      <c r="O3" s="1256" t="s">
        <v>2039</v>
      </c>
      <c r="P3" s="1256" t="s">
        <v>2040</v>
      </c>
      <c r="Q3" s="1256" t="s">
        <v>2041</v>
      </c>
      <c r="R3" s="1256" t="s">
        <v>2042</v>
      </c>
      <c r="S3" s="1256" t="s">
        <v>2043</v>
      </c>
    </row>
    <row r="4" spans="2:19">
      <c r="B4" s="1252"/>
      <c r="C4" s="1251"/>
      <c r="D4" s="1251"/>
      <c r="E4" s="1251"/>
      <c r="F4" s="1254"/>
      <c r="G4" s="1251"/>
      <c r="H4" s="1251"/>
      <c r="I4" s="1251"/>
      <c r="J4" s="1251"/>
      <c r="K4" s="1251"/>
      <c r="L4" s="1251"/>
      <c r="M4" s="1256"/>
      <c r="N4" s="1256"/>
      <c r="O4" s="1256"/>
      <c r="P4" s="1256"/>
      <c r="Q4" s="1256"/>
      <c r="R4" s="1256"/>
      <c r="S4" s="1256"/>
    </row>
    <row r="5" spans="2:19">
      <c r="B5" s="1252"/>
      <c r="C5" s="1251"/>
      <c r="D5" s="1251"/>
      <c r="E5" s="1251"/>
      <c r="F5" s="1255"/>
      <c r="G5" s="1251"/>
      <c r="H5" s="1251"/>
      <c r="I5" s="1251"/>
      <c r="J5" s="1251"/>
      <c r="K5" s="1251"/>
      <c r="L5" s="1251"/>
      <c r="M5" s="1256"/>
      <c r="N5" s="1256"/>
      <c r="O5" s="1256"/>
      <c r="P5" s="1256"/>
      <c r="Q5" s="1256"/>
      <c r="R5" s="1256"/>
      <c r="S5" s="1256"/>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　伸也</cp:lastModifiedBy>
  <cp:lastPrinted>2024-03-18T06:59:04Z</cp:lastPrinted>
  <dcterms:created xsi:type="dcterms:W3CDTF">2015-06-05T18:19:34Z</dcterms:created>
  <dcterms:modified xsi:type="dcterms:W3CDTF">2024-03-28T08:38:54Z</dcterms:modified>
</cp:coreProperties>
</file>