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組織共用フォルダ\その他フォルダ\04計理係専用\計理係予算ライン専用\00　予算編成\令和６年度\●財政局提出用\★予算事業一覧\02　2月公表　歳出予算、補助金・歳入一覧等\01　作業用\ホームページ掲載データ\"/>
    </mc:Choice>
  </mc:AlternateContent>
  <xr:revisionPtr revIDLastSave="0" documentId="13_ncr:1_{D1C94BB5-DAA2-49D4-98E7-EAE9282F1E8B}" xr6:coauthVersionLast="47" xr6:coauthVersionMax="47" xr10:uidLastSave="{00000000-0000-0000-0000-000000000000}"/>
  <bookViews>
    <workbookView xWindow="-110" yWindow="-110" windowWidth="19420" windowHeight="11760" xr2:uid="{5E9F3BE2-9546-4F1D-BC4B-1DA282E5D378}"/>
  </bookViews>
  <sheets>
    <sheet name="一般会計" sheetId="1" r:id="rId1"/>
  </sheets>
  <externalReferences>
    <externalReference r:id="rId2"/>
    <externalReference r:id="rId3"/>
  </externalReferences>
  <definedNames>
    <definedName name="_xlnm._FilterDatabase" localSheetId="0" hidden="1">一般会計!$A$1:$HM$195</definedName>
    <definedName name="①">#REF!</definedName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一般会計!$A$5:$I$191</definedName>
    <definedName name="_xlnm.Print_Area">#REF!</definedName>
    <definedName name="_xlnm.Print_Titles" localSheetId="0">一般会計!$7:$11</definedName>
    <definedName name="rrr">'[1]様式16（見直しチェックシート）'!$U$53:$V$53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分類">'[2]様式17(見直し一覧)'!$A$38:$A$47</definedName>
    <definedName name="予算">#REF!</definedName>
    <definedName name="予備費金額">#REF!</definedName>
    <definedName name="予備費税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6" i="1" l="1"/>
  <c r="C182" i="1"/>
  <c r="C180" i="1"/>
  <c r="C178" i="1"/>
  <c r="C176" i="1"/>
  <c r="C174" i="1"/>
  <c r="C172" i="1"/>
  <c r="C168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2" i="1"/>
  <c r="C130" i="1"/>
  <c r="C128" i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4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I191" i="1"/>
  <c r="E191" i="1"/>
  <c r="I190" i="1"/>
  <c r="H190" i="1"/>
  <c r="E190" i="1"/>
  <c r="F189" i="1"/>
  <c r="E189" i="1"/>
  <c r="F188" i="1"/>
  <c r="E188" i="1"/>
  <c r="G187" i="1"/>
  <c r="G189" i="1" s="1"/>
  <c r="G186" i="1"/>
  <c r="G188" i="1" s="1"/>
  <c r="F185" i="1"/>
  <c r="E185" i="1"/>
  <c r="F184" i="1"/>
  <c r="E184" i="1"/>
  <c r="G183" i="1"/>
  <c r="G182" i="1"/>
  <c r="G181" i="1"/>
  <c r="G180" i="1"/>
  <c r="G179" i="1"/>
  <c r="G178" i="1"/>
  <c r="G177" i="1"/>
  <c r="G176" i="1"/>
  <c r="G175" i="1"/>
  <c r="G174" i="1"/>
  <c r="G173" i="1"/>
  <c r="G185" i="1" s="1"/>
  <c r="G172" i="1"/>
  <c r="G184" i="1" s="1"/>
  <c r="F171" i="1"/>
  <c r="E171" i="1"/>
  <c r="F170" i="1"/>
  <c r="E170" i="1"/>
  <c r="G169" i="1"/>
  <c r="G171" i="1" s="1"/>
  <c r="G168" i="1"/>
  <c r="G170" i="1" s="1"/>
  <c r="E167" i="1"/>
  <c r="E166" i="1"/>
  <c r="G165" i="1"/>
  <c r="G164" i="1"/>
  <c r="G163" i="1"/>
  <c r="G162" i="1"/>
  <c r="F161" i="1"/>
  <c r="F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F135" i="1"/>
  <c r="E135" i="1"/>
  <c r="E134" i="1"/>
  <c r="G133" i="1"/>
  <c r="G132" i="1"/>
  <c r="G131" i="1"/>
  <c r="G130" i="1"/>
  <c r="G129" i="1"/>
  <c r="G128" i="1"/>
  <c r="G127" i="1"/>
  <c r="G126" i="1"/>
  <c r="G125" i="1"/>
  <c r="F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135" i="1" s="1"/>
  <c r="G78" i="1"/>
  <c r="F77" i="1"/>
  <c r="E77" i="1"/>
  <c r="F76" i="1"/>
  <c r="E76" i="1"/>
  <c r="G75" i="1"/>
  <c r="G77" i="1" s="1"/>
  <c r="G74" i="1"/>
  <c r="G76" i="1" s="1"/>
  <c r="F73" i="1"/>
  <c r="E73" i="1"/>
  <c r="F72" i="1"/>
  <c r="E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73" i="1" s="1"/>
  <c r="G16" i="1"/>
  <c r="G72" i="1" s="1"/>
  <c r="F15" i="1"/>
  <c r="E15" i="1"/>
  <c r="F14" i="1"/>
  <c r="E14" i="1"/>
  <c r="G13" i="1"/>
  <c r="G12" i="1"/>
  <c r="G14" i="1" l="1"/>
  <c r="G15" i="1"/>
  <c r="F190" i="1"/>
  <c r="F134" i="1"/>
  <c r="G124" i="1"/>
  <c r="F166" i="1"/>
  <c r="G160" i="1"/>
  <c r="G166" i="1" s="1"/>
  <c r="F191" i="1"/>
  <c r="F167" i="1"/>
  <c r="G161" i="1"/>
  <c r="G191" i="1" l="1"/>
  <c r="G167" i="1"/>
  <c r="G190" i="1"/>
  <c r="G134" i="1"/>
</calcChain>
</file>

<file path=xl/sharedStrings.xml><?xml version="1.0" encoding="utf-8"?>
<sst xmlns="http://schemas.openxmlformats.org/spreadsheetml/2006/main" count="458" uniqueCount="60">
  <si>
    <t>予算事業一覧</t>
    <rPh sb="4" eb="6">
      <t>イチラン</t>
    </rPh>
    <phoneticPr fontId="6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</si>
  <si>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6"/>
  </si>
  <si>
    <t>所属名　環境局　</t>
    <rPh sb="0" eb="2">
      <t>ショゾク</t>
    </rPh>
    <rPh sb="2" eb="3">
      <t>メイ</t>
    </rPh>
    <rPh sb="4" eb="7">
      <t>カンキョウキョク</t>
    </rPh>
    <phoneticPr fontId="6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</si>
  <si>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6"/>
  </si>
  <si>
    <t>(単位：千円)</t>
    <phoneticPr fontId="6"/>
  </si>
  <si>
    <t>通し</t>
    <phoneticPr fontId="6"/>
  </si>
  <si>
    <t>科 目</t>
    <rPh sb="0" eb="1">
      <t>カ</t>
    </rPh>
    <rPh sb="2" eb="3">
      <t>メ</t>
    </rPh>
    <phoneticPr fontId="6"/>
  </si>
  <si>
    <t>事  業  名</t>
    <phoneticPr fontId="6"/>
  </si>
  <si>
    <t>担 当 課</t>
    <rPh sb="0" eb="1">
      <t>タン</t>
    </rPh>
    <rPh sb="2" eb="3">
      <t>トウ</t>
    </rPh>
    <rPh sb="4" eb="5">
      <t>カ</t>
    </rPh>
    <phoneticPr fontId="6"/>
  </si>
  <si>
    <t>5 年 度</t>
    <phoneticPr fontId="6"/>
  </si>
  <si>
    <t>6 年 度</t>
    <rPh sb="2" eb="3">
      <t>ネン</t>
    </rPh>
    <rPh sb="4" eb="5">
      <t>ド</t>
    </rPh>
    <phoneticPr fontId="11"/>
  </si>
  <si>
    <t>増  減</t>
    <rPh sb="0" eb="1">
      <t>ゾウ</t>
    </rPh>
    <rPh sb="3" eb="4">
      <t>ゲン</t>
    </rPh>
    <phoneticPr fontId="6"/>
  </si>
  <si>
    <t>備  考</t>
    <phoneticPr fontId="6"/>
  </si>
  <si>
    <t>番号</t>
    <phoneticPr fontId="6"/>
  </si>
  <si>
    <t>(款-項-目)</t>
    <rPh sb="1" eb="2">
      <t>カン</t>
    </rPh>
    <rPh sb="3" eb="4">
      <t>コウ</t>
    </rPh>
    <rPh sb="5" eb="6">
      <t>モク</t>
    </rPh>
    <phoneticPr fontId="6"/>
  </si>
  <si>
    <t>当 初 ①</t>
    <phoneticPr fontId="6"/>
  </si>
  <si>
    <t>予 算 案 ②</t>
  </si>
  <si>
    <t>（② - ①）</t>
    <phoneticPr fontId="6"/>
  </si>
  <si>
    <t>6-1-1</t>
  </si>
  <si>
    <t>環境局職員の人件費</t>
  </si>
  <si>
    <t>職員課</t>
  </si>
  <si>
    <t>　　</t>
  </si>
  <si>
    <t>出</t>
    <rPh sb="0" eb="1">
      <t>デ</t>
    </rPh>
    <phoneticPr fontId="6"/>
  </si>
  <si>
    <t>税</t>
    <rPh sb="0" eb="1">
      <t>ゼイ</t>
    </rPh>
    <phoneticPr fontId="6"/>
  </si>
  <si>
    <t>職員費計</t>
    <rPh sb="0" eb="2">
      <t>ショクイン</t>
    </rPh>
    <rPh sb="2" eb="3">
      <t>ヒ</t>
    </rPh>
    <rPh sb="3" eb="4">
      <t>ケイ</t>
    </rPh>
    <phoneticPr fontId="6"/>
  </si>
  <si>
    <t>6-1-2</t>
  </si>
  <si>
    <t>総務課　他</t>
  </si>
  <si>
    <t>環境管理課</t>
  </si>
  <si>
    <t>総務課</t>
  </si>
  <si>
    <t>環境管理課　他</t>
  </si>
  <si>
    <t>区ＣＭ</t>
  </si>
  <si>
    <t>区ＣＭ出</t>
    <rPh sb="0" eb="1">
      <t>ク</t>
    </rPh>
    <rPh sb="3" eb="4">
      <t>デ</t>
    </rPh>
    <phoneticPr fontId="11"/>
  </si>
  <si>
    <t>区ＣＭ税</t>
    <rPh sb="0" eb="1">
      <t>ク</t>
    </rPh>
    <rPh sb="3" eb="4">
      <t>ゼイ</t>
    </rPh>
    <phoneticPr fontId="11"/>
  </si>
  <si>
    <t>環境施策課</t>
  </si>
  <si>
    <t>環境規制課</t>
  </si>
  <si>
    <t>環境施策課　他</t>
  </si>
  <si>
    <t>企画課</t>
  </si>
  <si>
    <t>環境費計</t>
    <rPh sb="0" eb="3">
      <t>カンキョウヒ</t>
    </rPh>
    <rPh sb="3" eb="4">
      <t>ケイ</t>
    </rPh>
    <phoneticPr fontId="6"/>
  </si>
  <si>
    <t>6-1-3</t>
  </si>
  <si>
    <t>環境創造基金積立金計</t>
    <rPh sb="0" eb="2">
      <t>カンキョウ</t>
    </rPh>
    <rPh sb="2" eb="4">
      <t>ソウゾウ</t>
    </rPh>
    <rPh sb="4" eb="6">
      <t>キキン</t>
    </rPh>
    <rPh sb="6" eb="8">
      <t>ツミタテ</t>
    </rPh>
    <rPh sb="8" eb="9">
      <t>キン</t>
    </rPh>
    <rPh sb="9" eb="10">
      <t>ケイ</t>
    </rPh>
    <phoneticPr fontId="6"/>
  </si>
  <si>
    <t>6-2-1</t>
  </si>
  <si>
    <t>職員課　他</t>
  </si>
  <si>
    <t>一般廃棄物指導課　他</t>
  </si>
  <si>
    <t>一般廃棄物指導課</t>
  </si>
  <si>
    <t>事業管理課　他</t>
  </si>
  <si>
    <t>事業管理課</t>
  </si>
  <si>
    <t>施設管理課　他</t>
  </si>
  <si>
    <t>施設管理課</t>
  </si>
  <si>
    <t>廃棄物処理費計</t>
    <rPh sb="0" eb="3">
      <t>ハイキブツ</t>
    </rPh>
    <rPh sb="3" eb="5">
      <t>ショリ</t>
    </rPh>
    <rPh sb="5" eb="6">
      <t>ヒ</t>
    </rPh>
    <rPh sb="6" eb="7">
      <t>ケイ</t>
    </rPh>
    <phoneticPr fontId="6"/>
  </si>
  <si>
    <t>6-2-2</t>
  </si>
  <si>
    <t>家庭ごみ減量課　他</t>
  </si>
  <si>
    <t>家庭ごみ減量課</t>
  </si>
  <si>
    <t>減量美化推進費計</t>
    <rPh sb="0" eb="7">
      <t>ゲンリョウビカスイシンヒ</t>
    </rPh>
    <rPh sb="7" eb="8">
      <t>ケイ</t>
    </rPh>
    <phoneticPr fontId="6"/>
  </si>
  <si>
    <t>6-2-3</t>
  </si>
  <si>
    <t>環境美化運動推進基金積立金計</t>
    <rPh sb="0" eb="2">
      <t>カンキョウ</t>
    </rPh>
    <rPh sb="2" eb="6">
      <t>ビカウンドウ</t>
    </rPh>
    <rPh sb="6" eb="8">
      <t>スイシン</t>
    </rPh>
    <rPh sb="8" eb="10">
      <t>キキン</t>
    </rPh>
    <rPh sb="10" eb="12">
      <t>ツミタテ</t>
    </rPh>
    <rPh sb="12" eb="13">
      <t>キン</t>
    </rPh>
    <rPh sb="13" eb="14">
      <t>ケイ</t>
    </rPh>
    <phoneticPr fontId="6"/>
  </si>
  <si>
    <t>6-3-1</t>
  </si>
  <si>
    <t>斎場霊園費計</t>
    <rPh sb="0" eb="5">
      <t>サイジョウレイエンヒ</t>
    </rPh>
    <rPh sb="5" eb="6">
      <t>ケイ</t>
    </rPh>
    <phoneticPr fontId="6"/>
  </si>
  <si>
    <t>6-3-2</t>
  </si>
  <si>
    <t>泉南メモリアルパーク運営基金積立金計</t>
    <rPh sb="0" eb="2">
      <t>センナン</t>
    </rPh>
    <rPh sb="10" eb="12">
      <t>ウンエイ</t>
    </rPh>
    <rPh sb="12" eb="14">
      <t>キキン</t>
    </rPh>
    <rPh sb="14" eb="16">
      <t>ツミタテ</t>
    </rPh>
    <rPh sb="16" eb="17">
      <t>キン</t>
    </rPh>
    <rPh sb="17" eb="18">
      <t>ケイ</t>
    </rPh>
    <phoneticPr fontId="6"/>
  </si>
  <si>
    <t>所属計</t>
    <rPh sb="0" eb="2">
      <t>ショゾク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</si>
</sst>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"/>
    <numFmt numFmtId="178" formatCode="\(#,##0\);\(&quot;△ &quot;#,##0\)"/>
    <numFmt numFmtId="179" formatCode="0_ "/>
  </numFmts>
  <fonts count="14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0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76" fontId="2" fillId="0" borderId="13" xfId="2" applyNumberFormat="1" applyFont="1" applyBorder="1" applyAlignment="1">
      <alignment vertical="center" shrinkToFit="1"/>
    </xf>
    <xf numFmtId="176" fontId="2" fillId="0" borderId="15" xfId="2" applyNumberFormat="1" applyFont="1" applyBorder="1" applyAlignment="1">
      <alignment vertical="center" shrinkToFit="1"/>
    </xf>
    <xf numFmtId="176" fontId="2" fillId="0" borderId="0" xfId="2" applyNumberFormat="1" applyFont="1" applyAlignment="1">
      <alignment vertical="center"/>
    </xf>
    <xf numFmtId="177" fontId="2" fillId="0" borderId="9" xfId="2" applyNumberFormat="1" applyFont="1" applyBorder="1" applyAlignment="1">
      <alignment vertical="center" shrinkToFit="1"/>
    </xf>
    <xf numFmtId="178" fontId="2" fillId="0" borderId="9" xfId="2" applyNumberFormat="1" applyFont="1" applyBorder="1" applyAlignment="1">
      <alignment vertical="center" shrinkToFit="1"/>
    </xf>
    <xf numFmtId="178" fontId="2" fillId="0" borderId="11" xfId="2" applyNumberFormat="1" applyFont="1" applyBorder="1" applyAlignment="1">
      <alignment vertical="center" shrinkToFit="1"/>
    </xf>
    <xf numFmtId="176" fontId="2" fillId="0" borderId="19" xfId="2" applyNumberFormat="1" applyFont="1" applyBorder="1" applyAlignment="1">
      <alignment vertical="center" shrinkToFit="1"/>
    </xf>
    <xf numFmtId="176" fontId="2" fillId="0" borderId="20" xfId="2" applyNumberFormat="1" applyFont="1" applyBorder="1" applyAlignment="1">
      <alignment vertical="center" shrinkToFit="1"/>
    </xf>
    <xf numFmtId="0" fontId="12" fillId="0" borderId="0" xfId="3" applyFill="1" applyAlignment="1">
      <alignment vertical="center"/>
    </xf>
    <xf numFmtId="177" fontId="2" fillId="0" borderId="0" xfId="2" applyNumberFormat="1" applyFont="1" applyAlignment="1">
      <alignment vertical="center"/>
    </xf>
    <xf numFmtId="176" fontId="2" fillId="0" borderId="13" xfId="2" applyNumberFormat="1" applyFont="1" applyBorder="1" applyAlignment="1">
      <alignment horizontal="right" vertical="center" shrinkToFit="1"/>
    </xf>
    <xf numFmtId="176" fontId="2" fillId="0" borderId="15" xfId="2" applyNumberFormat="1" applyFont="1" applyBorder="1" applyAlignment="1">
      <alignment horizontal="right" vertical="center" shrinkToFit="1"/>
    </xf>
    <xf numFmtId="177" fontId="2" fillId="0" borderId="27" xfId="2" applyNumberFormat="1" applyFont="1" applyBorder="1" applyAlignment="1">
      <alignment vertical="center" shrinkToFit="1"/>
    </xf>
    <xf numFmtId="178" fontId="2" fillId="0" borderId="27" xfId="2" applyNumberFormat="1" applyFont="1" applyBorder="1" applyAlignment="1">
      <alignment vertical="center" shrinkToFit="1"/>
    </xf>
    <xf numFmtId="178" fontId="2" fillId="0" borderId="29" xfId="2" applyNumberFormat="1" applyFont="1" applyBorder="1" applyAlignment="1">
      <alignment vertical="center" shrinkToFit="1"/>
    </xf>
    <xf numFmtId="179" fontId="4" fillId="0" borderId="16" xfId="2" applyNumberFormat="1" applyFont="1" applyBorder="1" applyAlignment="1">
      <alignment horizontal="center" vertical="center"/>
    </xf>
    <xf numFmtId="179" fontId="4" fillId="0" borderId="17" xfId="2" applyNumberFormat="1" applyFont="1" applyBorder="1" applyAlignment="1">
      <alignment horizontal="center" vertical="center"/>
    </xf>
    <xf numFmtId="179" fontId="4" fillId="0" borderId="18" xfId="2" applyNumberFormat="1" applyFont="1" applyBorder="1" applyAlignment="1">
      <alignment horizontal="center" vertical="center"/>
    </xf>
    <xf numFmtId="179" fontId="4" fillId="0" borderId="21" xfId="2" applyNumberFormat="1" applyFont="1" applyBorder="1" applyAlignment="1">
      <alignment horizontal="center" vertical="center"/>
    </xf>
    <xf numFmtId="179" fontId="4" fillId="0" borderId="22" xfId="2" applyNumberFormat="1" applyFont="1" applyBorder="1" applyAlignment="1">
      <alignment horizontal="center" vertical="center"/>
    </xf>
    <xf numFmtId="179" fontId="4" fillId="0" borderId="8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 wrapText="1"/>
    </xf>
    <xf numFmtId="176" fontId="4" fillId="0" borderId="7" xfId="2" applyNumberFormat="1" applyFont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13" fillId="0" borderId="13" xfId="3" applyNumberFormat="1" applyFont="1" applyFill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176" fontId="4" fillId="0" borderId="13" xfId="2" applyNumberFormat="1" applyFont="1" applyBorder="1" applyAlignment="1">
      <alignment horizontal="center" vertical="center" wrapText="1"/>
    </xf>
    <xf numFmtId="176" fontId="4" fillId="0" borderId="9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right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left" vertical="center" wrapText="1"/>
    </xf>
    <xf numFmtId="176" fontId="4" fillId="0" borderId="23" xfId="2" applyNumberFormat="1" applyFont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/>
    </xf>
    <xf numFmtId="176" fontId="4" fillId="0" borderId="19" xfId="2" applyNumberFormat="1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③予算事業別調書(目次様式)" xfId="2" xr:uid="{575E70B0-7FAC-485D-BB71-F6F5CDFF3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ja0002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/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2493-7DD6-492C-B785-35DB319F96E4}">
  <sheetPr>
    <tabColor rgb="FFFFFF00"/>
  </sheetPr>
  <dimension ref="A1:Q195"/>
  <sheetViews>
    <sheetView tabSelected="1" view="pageBreakPreview" topLeftCell="A44" zoomScale="115" zoomScaleNormal="100" zoomScaleSheetLayoutView="115" workbookViewId="0">
      <selection activeCell="C44" sqref="C44:C45"/>
    </sheetView>
  </sheetViews>
  <sheetFormatPr defaultColWidth="8.6328125" defaultRowHeight="18" customHeight="1"/>
  <cols>
    <col min="1" max="1" width="3.7265625" style="1" customWidth="1"/>
    <col min="2" max="2" width="12.453125" style="1" customWidth="1"/>
    <col min="3" max="3" width="23.7265625" style="1" customWidth="1"/>
    <col min="4" max="4" width="17.453125" style="1" customWidth="1"/>
    <col min="5" max="5" width="12.453125" style="1" customWidth="1"/>
    <col min="6" max="7" width="12.453125" style="2" customWidth="1"/>
    <col min="8" max="8" width="6.26953125" style="1" customWidth="1"/>
    <col min="9" max="9" width="9.36328125" style="1" customWidth="1"/>
    <col min="10" max="10" width="3.26953125" style="1" bestFit="1" customWidth="1"/>
    <col min="11" max="11" width="7.36328125" style="1" bestFit="1" customWidth="1"/>
    <col min="12" max="12" width="2.90625" style="1" customWidth="1"/>
    <col min="13" max="13" width="10.26953125" style="1" bestFit="1" customWidth="1"/>
    <col min="14" max="16" width="13" style="1" bestFit="1" customWidth="1"/>
    <col min="17" max="17" width="10.26953125" style="1" bestFit="1" customWidth="1"/>
    <col min="18" max="221" width="8.6328125" style="1" customWidth="1"/>
    <col min="222" max="16384" width="8.6328125" style="1"/>
  </cols>
  <sheetData>
    <row r="1" spans="1:17" ht="17.25" customHeight="1">
      <c r="G1" s="3"/>
    </row>
    <row r="2" spans="1:17" ht="17.25" customHeight="1">
      <c r="A2" s="4"/>
      <c r="B2" s="4"/>
      <c r="G2" s="5"/>
      <c r="I2" s="6"/>
    </row>
    <row r="3" spans="1:17" ht="17.25" customHeight="1">
      <c r="A3" s="4"/>
      <c r="B3" s="4"/>
      <c r="G3" s="5"/>
      <c r="I3" s="6"/>
    </row>
    <row r="4" spans="1:17" ht="17.25" customHeight="1">
      <c r="G4" s="5"/>
    </row>
    <row r="5" spans="1:17" ht="18" customHeight="1">
      <c r="A5" s="4" t="s">
        <v>0</v>
      </c>
      <c r="B5" s="4"/>
      <c r="G5" s="1"/>
      <c r="H5" s="7"/>
      <c r="I5" s="7"/>
    </row>
    <row r="6" spans="1:17" ht="15" customHeight="1">
      <c r="G6" s="1"/>
    </row>
    <row r="7" spans="1:17" ht="18" customHeight="1">
      <c r="A7" s="8" t="s">
        <v>1</v>
      </c>
      <c r="B7" s="8"/>
      <c r="F7" s="8"/>
      <c r="G7" s="8"/>
      <c r="I7" s="9" t="s">
        <v>2</v>
      </c>
    </row>
    <row r="8" spans="1:17" ht="10.5" customHeight="1">
      <c r="F8" s="8"/>
      <c r="G8" s="8"/>
    </row>
    <row r="9" spans="1:17" ht="27" customHeight="1" thickBot="1">
      <c r="E9" s="49" t="s">
        <v>3</v>
      </c>
      <c r="F9" s="49"/>
      <c r="G9" s="10"/>
      <c r="I9" s="11" t="s">
        <v>4</v>
      </c>
    </row>
    <row r="10" spans="1:17" ht="15" customHeight="1">
      <c r="A10" s="12" t="s">
        <v>5</v>
      </c>
      <c r="B10" s="13" t="s">
        <v>6</v>
      </c>
      <c r="C10" s="50" t="s">
        <v>7</v>
      </c>
      <c r="D10" s="52" t="s">
        <v>8</v>
      </c>
      <c r="E10" s="14" t="s">
        <v>9</v>
      </c>
      <c r="F10" s="13" t="s">
        <v>10</v>
      </c>
      <c r="G10" s="14" t="s">
        <v>11</v>
      </c>
      <c r="H10" s="53" t="s">
        <v>12</v>
      </c>
      <c r="I10" s="54"/>
    </row>
    <row r="11" spans="1:17" ht="15" customHeight="1">
      <c r="A11" s="15" t="s">
        <v>13</v>
      </c>
      <c r="B11" s="16" t="s">
        <v>14</v>
      </c>
      <c r="C11" s="51"/>
      <c r="D11" s="51"/>
      <c r="E11" s="17" t="s">
        <v>15</v>
      </c>
      <c r="F11" s="17" t="s">
        <v>16</v>
      </c>
      <c r="G11" s="17" t="s">
        <v>17</v>
      </c>
      <c r="H11" s="40"/>
      <c r="I11" s="55"/>
    </row>
    <row r="12" spans="1:17" ht="15" customHeight="1">
      <c r="A12" s="41">
        <v>1</v>
      </c>
      <c r="B12" s="43" t="s">
        <v>18</v>
      </c>
      <c r="C12" s="56" t="s">
        <v>19</v>
      </c>
      <c r="D12" s="47" t="s">
        <v>20</v>
      </c>
      <c r="E12" s="18">
        <v>13917891</v>
      </c>
      <c r="F12" s="18">
        <v>13667463</v>
      </c>
      <c r="G12" s="18">
        <f>F12-E12</f>
        <v>-250428</v>
      </c>
      <c r="H12" s="39" t="s">
        <v>21</v>
      </c>
      <c r="I12" s="19"/>
      <c r="J12" s="1" t="s">
        <v>22</v>
      </c>
      <c r="L12" s="20"/>
      <c r="Q12" s="20"/>
    </row>
    <row r="13" spans="1:17" ht="15" customHeight="1">
      <c r="A13" s="42"/>
      <c r="B13" s="44"/>
      <c r="C13" s="46"/>
      <c r="D13" s="48"/>
      <c r="E13" s="21">
        <v>13917891</v>
      </c>
      <c r="F13" s="21">
        <v>13667463</v>
      </c>
      <c r="G13" s="22">
        <f t="shared" ref="G13:G75" si="0">F13-E13</f>
        <v>-250428</v>
      </c>
      <c r="H13" s="40"/>
      <c r="I13" s="23"/>
      <c r="J13" s="1" t="s">
        <v>23</v>
      </c>
      <c r="L13" s="20"/>
      <c r="Q13" s="20"/>
    </row>
    <row r="14" spans="1:17" ht="15" customHeight="1">
      <c r="A14" s="33" t="s">
        <v>24</v>
      </c>
      <c r="B14" s="34"/>
      <c r="C14" s="34"/>
      <c r="D14" s="35"/>
      <c r="E14" s="18">
        <f>SUM(E12)</f>
        <v>13917891</v>
      </c>
      <c r="F14" s="18">
        <f t="shared" ref="F14" si="1">SUM(F12)</f>
        <v>13667463</v>
      </c>
      <c r="G14" s="24">
        <f t="shared" si="0"/>
        <v>-250428</v>
      </c>
      <c r="H14" s="39"/>
      <c r="I14" s="25"/>
      <c r="N14" s="20"/>
      <c r="Q14" s="20"/>
    </row>
    <row r="15" spans="1:17" ht="15" customHeight="1">
      <c r="A15" s="36"/>
      <c r="B15" s="37"/>
      <c r="C15" s="37"/>
      <c r="D15" s="38"/>
      <c r="E15" s="21">
        <f t="shared" ref="E15:F15" si="2">SUM(E13)</f>
        <v>13917891</v>
      </c>
      <c r="F15" s="21">
        <f t="shared" si="2"/>
        <v>13667463</v>
      </c>
      <c r="G15" s="22">
        <f t="shared" si="0"/>
        <v>-250428</v>
      </c>
      <c r="H15" s="40"/>
      <c r="I15" s="23"/>
      <c r="O15" s="26"/>
      <c r="P15" s="26"/>
      <c r="Q15" s="20"/>
    </row>
    <row r="16" spans="1:17" ht="15" customHeight="1">
      <c r="A16" s="41">
        <v>2</v>
      </c>
      <c r="B16" s="43" t="s">
        <v>25</v>
      </c>
      <c r="C16" s="45" t="str">
        <f>HYPERLINK("https://www.city.osaka.lg.jp/kankyo/cmsfiles/contents/0000025/25420/r60202.xlsx","環境総務関係事務費")</f>
        <v>環境総務関係事務費</v>
      </c>
      <c r="D16" s="47" t="s">
        <v>26</v>
      </c>
      <c r="E16" s="18">
        <v>59941</v>
      </c>
      <c r="F16" s="18">
        <v>34114</v>
      </c>
      <c r="G16" s="18">
        <f t="shared" si="0"/>
        <v>-25827</v>
      </c>
      <c r="H16" s="39"/>
      <c r="I16" s="19"/>
      <c r="J16" s="1" t="s">
        <v>22</v>
      </c>
      <c r="L16" s="20"/>
      <c r="M16" s="20"/>
      <c r="P16" s="20"/>
      <c r="Q16" s="20"/>
    </row>
    <row r="17" spans="1:17" ht="15" customHeight="1">
      <c r="A17" s="42"/>
      <c r="B17" s="44"/>
      <c r="C17" s="46"/>
      <c r="D17" s="48"/>
      <c r="E17" s="21">
        <v>59939</v>
      </c>
      <c r="F17" s="21">
        <v>34111</v>
      </c>
      <c r="G17" s="22">
        <f t="shared" si="0"/>
        <v>-25828</v>
      </c>
      <c r="H17" s="40"/>
      <c r="I17" s="23"/>
      <c r="J17" s="1" t="s">
        <v>23</v>
      </c>
      <c r="L17" s="20"/>
      <c r="M17" s="20"/>
      <c r="Q17" s="20"/>
    </row>
    <row r="18" spans="1:17" ht="15" customHeight="1">
      <c r="A18" s="41">
        <v>3</v>
      </c>
      <c r="B18" s="43" t="s">
        <v>25</v>
      </c>
      <c r="C18" s="45" t="str">
        <f>HYPERLINK("https://www.city.osaka.lg.jp/kankyo/cmsfiles/contents/0000025/25420/r60203.xlsx","あべのルシアス庁舎管理")</f>
        <v>あべのルシアス庁舎管理</v>
      </c>
      <c r="D18" s="47" t="s">
        <v>26</v>
      </c>
      <c r="E18" s="18">
        <v>219375</v>
      </c>
      <c r="F18" s="18">
        <v>222461</v>
      </c>
      <c r="G18" s="18">
        <f t="shared" si="0"/>
        <v>3086</v>
      </c>
      <c r="H18" s="39"/>
      <c r="I18" s="19"/>
      <c r="J18" s="1" t="s">
        <v>22</v>
      </c>
      <c r="L18" s="20"/>
      <c r="P18" s="20"/>
      <c r="Q18" s="20"/>
    </row>
    <row r="19" spans="1:17" ht="15" customHeight="1">
      <c r="A19" s="42"/>
      <c r="B19" s="44"/>
      <c r="C19" s="46"/>
      <c r="D19" s="48"/>
      <c r="E19" s="21">
        <v>218138</v>
      </c>
      <c r="F19" s="21">
        <v>221219</v>
      </c>
      <c r="G19" s="22">
        <f t="shared" si="0"/>
        <v>3081</v>
      </c>
      <c r="H19" s="40"/>
      <c r="I19" s="23"/>
      <c r="J19" s="1" t="s">
        <v>23</v>
      </c>
      <c r="L19" s="20"/>
      <c r="Q19" s="20"/>
    </row>
    <row r="20" spans="1:17" ht="15" customHeight="1">
      <c r="A20" s="41">
        <v>4</v>
      </c>
      <c r="B20" s="43" t="s">
        <v>25</v>
      </c>
      <c r="C20" s="45" t="str">
        <f>HYPERLINK("https://www.city.osaka.lg.jp/kankyo/cmsfiles/contents/0000025/25420/r60204.xlsx","ＡＴＣ庁舎管理")</f>
        <v>ＡＴＣ庁舎管理</v>
      </c>
      <c r="D20" s="47" t="s">
        <v>27</v>
      </c>
      <c r="E20" s="18">
        <v>63257</v>
      </c>
      <c r="F20" s="18">
        <v>63986</v>
      </c>
      <c r="G20" s="18">
        <f t="shared" si="0"/>
        <v>729</v>
      </c>
      <c r="H20" s="39"/>
      <c r="I20" s="19"/>
      <c r="J20" s="1" t="s">
        <v>22</v>
      </c>
      <c r="L20" s="20"/>
      <c r="P20" s="20"/>
      <c r="Q20" s="20"/>
    </row>
    <row r="21" spans="1:17" ht="15" customHeight="1">
      <c r="A21" s="42"/>
      <c r="B21" s="44"/>
      <c r="C21" s="46"/>
      <c r="D21" s="48"/>
      <c r="E21" s="21">
        <v>63257</v>
      </c>
      <c r="F21" s="21">
        <v>63986</v>
      </c>
      <c r="G21" s="22">
        <f t="shared" si="0"/>
        <v>729</v>
      </c>
      <c r="H21" s="40"/>
      <c r="I21" s="23"/>
      <c r="J21" s="1" t="s">
        <v>23</v>
      </c>
      <c r="L21" s="20"/>
      <c r="Q21" s="20"/>
    </row>
    <row r="22" spans="1:17" ht="15" customHeight="1">
      <c r="A22" s="41">
        <v>5</v>
      </c>
      <c r="B22" s="43" t="s">
        <v>25</v>
      </c>
      <c r="C22" s="45" t="str">
        <f>HYPERLINK("https://www.city.osaka.lg.jp/kankyo/cmsfiles/contents/0000025/25420/r60205.xlsx","ホームページ等広報事務費")</f>
        <v>ホームページ等広報事務費</v>
      </c>
      <c r="D22" s="47" t="s">
        <v>28</v>
      </c>
      <c r="E22" s="18">
        <v>388</v>
      </c>
      <c r="F22" s="18">
        <v>389</v>
      </c>
      <c r="G22" s="18">
        <f t="shared" si="0"/>
        <v>1</v>
      </c>
      <c r="H22" s="39"/>
      <c r="I22" s="19"/>
      <c r="J22" s="1" t="s">
        <v>22</v>
      </c>
      <c r="L22" s="20"/>
      <c r="P22" s="20"/>
      <c r="Q22" s="20"/>
    </row>
    <row r="23" spans="1:17" ht="15" customHeight="1">
      <c r="A23" s="42"/>
      <c r="B23" s="44"/>
      <c r="C23" s="46"/>
      <c r="D23" s="48"/>
      <c r="E23" s="21">
        <v>388</v>
      </c>
      <c r="F23" s="21">
        <v>389</v>
      </c>
      <c r="G23" s="22">
        <f t="shared" si="0"/>
        <v>1</v>
      </c>
      <c r="H23" s="40"/>
      <c r="I23" s="23"/>
      <c r="J23" s="1" t="s">
        <v>23</v>
      </c>
      <c r="L23" s="20"/>
      <c r="Q23" s="20"/>
    </row>
    <row r="24" spans="1:17" ht="15" customHeight="1">
      <c r="A24" s="41">
        <v>6</v>
      </c>
      <c r="B24" s="43" t="s">
        <v>25</v>
      </c>
      <c r="C24" s="45" t="str">
        <f>HYPERLINK("https://www.city.osaka.lg.jp/kankyo/cmsfiles/contents/0000025/25420/r60206.xlsx","環境対策関係事務費")</f>
        <v>環境対策関係事務費</v>
      </c>
      <c r="D24" s="47" t="s">
        <v>29</v>
      </c>
      <c r="E24" s="18">
        <v>8559</v>
      </c>
      <c r="F24" s="18">
        <v>9917</v>
      </c>
      <c r="G24" s="18">
        <f t="shared" si="0"/>
        <v>1358</v>
      </c>
      <c r="H24" s="39" t="s">
        <v>30</v>
      </c>
      <c r="I24" s="19">
        <v>376</v>
      </c>
      <c r="J24" s="1" t="s">
        <v>22</v>
      </c>
      <c r="K24" s="1" t="s">
        <v>31</v>
      </c>
      <c r="L24" s="20"/>
      <c r="P24" s="20"/>
      <c r="Q24" s="20"/>
    </row>
    <row r="25" spans="1:17" ht="15" customHeight="1">
      <c r="A25" s="42"/>
      <c r="B25" s="44"/>
      <c r="C25" s="46"/>
      <c r="D25" s="48"/>
      <c r="E25" s="21">
        <v>8559</v>
      </c>
      <c r="F25" s="21">
        <v>9917</v>
      </c>
      <c r="G25" s="22">
        <f t="shared" si="0"/>
        <v>1358</v>
      </c>
      <c r="H25" s="40"/>
      <c r="I25" s="23">
        <v>376</v>
      </c>
      <c r="J25" s="1" t="s">
        <v>23</v>
      </c>
      <c r="K25" s="1" t="s">
        <v>32</v>
      </c>
      <c r="L25" s="20"/>
      <c r="Q25" s="20"/>
    </row>
    <row r="26" spans="1:17" ht="15" customHeight="1">
      <c r="A26" s="41">
        <v>7</v>
      </c>
      <c r="B26" s="43" t="s">
        <v>25</v>
      </c>
      <c r="C26" s="45" t="str">
        <f>HYPERLINK("https://www.city.osaka.lg.jp/kankyo/cmsfiles/contents/0000025/25420/r60207.xlsx","エネルギー戦略関連事業")</f>
        <v>エネルギー戦略関連事業</v>
      </c>
      <c r="D26" s="47" t="s">
        <v>33</v>
      </c>
      <c r="E26" s="18">
        <v>9879</v>
      </c>
      <c r="F26" s="18">
        <v>17636</v>
      </c>
      <c r="G26" s="18">
        <f t="shared" si="0"/>
        <v>7757</v>
      </c>
      <c r="H26" s="39" t="s">
        <v>21</v>
      </c>
      <c r="I26" s="19"/>
      <c r="J26" s="1" t="s">
        <v>22</v>
      </c>
      <c r="L26" s="20"/>
      <c r="P26" s="20"/>
      <c r="Q26" s="20"/>
    </row>
    <row r="27" spans="1:17" ht="15" customHeight="1">
      <c r="A27" s="42"/>
      <c r="B27" s="44"/>
      <c r="C27" s="46"/>
      <c r="D27" s="48"/>
      <c r="E27" s="21">
        <v>9688</v>
      </c>
      <c r="F27" s="21">
        <v>17636</v>
      </c>
      <c r="G27" s="22">
        <f t="shared" si="0"/>
        <v>7948</v>
      </c>
      <c r="H27" s="40"/>
      <c r="I27" s="23"/>
      <c r="J27" s="1" t="s">
        <v>23</v>
      </c>
      <c r="L27" s="20"/>
      <c r="Q27" s="20"/>
    </row>
    <row r="28" spans="1:17" ht="15" customHeight="1">
      <c r="A28" s="41">
        <v>8</v>
      </c>
      <c r="B28" s="43" t="s">
        <v>25</v>
      </c>
      <c r="C28" s="45" t="str">
        <f>HYPERLINK("https://www.city.osaka.lg.jp/kankyo/cmsfiles/contents/0000025/25420/r60208.xlsx","大気汚染状況の常時監視・調査事業")</f>
        <v>大気汚染状況の常時監視・調査事業</v>
      </c>
      <c r="D28" s="47" t="s">
        <v>27</v>
      </c>
      <c r="E28" s="18">
        <v>135533</v>
      </c>
      <c r="F28" s="18">
        <v>138383</v>
      </c>
      <c r="G28" s="18">
        <f t="shared" si="0"/>
        <v>2850</v>
      </c>
      <c r="H28" s="39" t="s">
        <v>21</v>
      </c>
      <c r="I28" s="19"/>
      <c r="J28" s="1" t="s">
        <v>22</v>
      </c>
      <c r="L28" s="20"/>
      <c r="P28" s="20"/>
      <c r="Q28" s="20"/>
    </row>
    <row r="29" spans="1:17" ht="15" customHeight="1">
      <c r="A29" s="42"/>
      <c r="B29" s="44"/>
      <c r="C29" s="46"/>
      <c r="D29" s="48"/>
      <c r="E29" s="21">
        <v>135533</v>
      </c>
      <c r="F29" s="21">
        <v>138383</v>
      </c>
      <c r="G29" s="22">
        <f t="shared" si="0"/>
        <v>2850</v>
      </c>
      <c r="H29" s="40"/>
      <c r="I29" s="23"/>
      <c r="J29" s="1" t="s">
        <v>23</v>
      </c>
      <c r="L29" s="20"/>
      <c r="Q29" s="20"/>
    </row>
    <row r="30" spans="1:17" ht="15" customHeight="1">
      <c r="A30" s="41">
        <v>9</v>
      </c>
      <c r="B30" s="43" t="s">
        <v>25</v>
      </c>
      <c r="C30" s="45" t="str">
        <f>HYPERLINK("https://www.city.osaka.lg.jp/kankyo/cmsfiles/contents/0000025/25420/r60209.xlsx","窒素酸化物等対策事業")</f>
        <v>窒素酸化物等対策事業</v>
      </c>
      <c r="D30" s="47" t="s">
        <v>34</v>
      </c>
      <c r="E30" s="18">
        <v>2236</v>
      </c>
      <c r="F30" s="18">
        <v>2439</v>
      </c>
      <c r="G30" s="18">
        <f t="shared" si="0"/>
        <v>203</v>
      </c>
      <c r="H30" s="39" t="s">
        <v>21</v>
      </c>
      <c r="I30" s="19"/>
      <c r="J30" s="1" t="s">
        <v>22</v>
      </c>
      <c r="L30" s="20"/>
      <c r="P30" s="20"/>
      <c r="Q30" s="20"/>
    </row>
    <row r="31" spans="1:17" ht="15" customHeight="1">
      <c r="A31" s="42"/>
      <c r="B31" s="44"/>
      <c r="C31" s="46"/>
      <c r="D31" s="48"/>
      <c r="E31" s="21">
        <v>2236</v>
      </c>
      <c r="F31" s="21">
        <v>2439</v>
      </c>
      <c r="G31" s="22">
        <f t="shared" si="0"/>
        <v>203</v>
      </c>
      <c r="H31" s="40"/>
      <c r="I31" s="23"/>
      <c r="J31" s="1" t="s">
        <v>23</v>
      </c>
      <c r="L31" s="20"/>
      <c r="Q31" s="20"/>
    </row>
    <row r="32" spans="1:17" ht="15" customHeight="1">
      <c r="A32" s="41">
        <v>10</v>
      </c>
      <c r="B32" s="43" t="s">
        <v>25</v>
      </c>
      <c r="C32" s="45" t="str">
        <f>HYPERLINK("https://www.city.osaka.lg.jp/kankyo/cmsfiles/contents/0000025/25420/r60210.xlsx","充電スタンドの運用")</f>
        <v>充電スタンドの運用</v>
      </c>
      <c r="D32" s="47" t="s">
        <v>34</v>
      </c>
      <c r="E32" s="18">
        <v>187</v>
      </c>
      <c r="F32" s="18">
        <v>235</v>
      </c>
      <c r="G32" s="18">
        <f t="shared" si="0"/>
        <v>48</v>
      </c>
      <c r="H32" s="39" t="s">
        <v>21</v>
      </c>
      <c r="I32" s="19"/>
      <c r="J32" s="1" t="s">
        <v>22</v>
      </c>
      <c r="L32" s="20"/>
      <c r="P32" s="20"/>
      <c r="Q32" s="20"/>
    </row>
    <row r="33" spans="1:17" ht="15" customHeight="1">
      <c r="A33" s="42"/>
      <c r="B33" s="44"/>
      <c r="C33" s="46"/>
      <c r="D33" s="48"/>
      <c r="E33" s="21">
        <v>187</v>
      </c>
      <c r="F33" s="21">
        <v>235</v>
      </c>
      <c r="G33" s="22">
        <f t="shared" si="0"/>
        <v>48</v>
      </c>
      <c r="H33" s="40"/>
      <c r="I33" s="23"/>
      <c r="J33" s="1" t="s">
        <v>23</v>
      </c>
      <c r="L33" s="20"/>
      <c r="Q33" s="20"/>
    </row>
    <row r="34" spans="1:17" ht="15" customHeight="1">
      <c r="A34" s="41">
        <v>11</v>
      </c>
      <c r="B34" s="43" t="s">
        <v>25</v>
      </c>
      <c r="C34" s="45" t="str">
        <f>HYPERLINK("https://www.city.osaka.lg.jp/kankyo/cmsfiles/contents/0000025/25420/r60211.xlsx","大気汚染対策事業")</f>
        <v>大気汚染対策事業</v>
      </c>
      <c r="D34" s="47" t="s">
        <v>34</v>
      </c>
      <c r="E34" s="18">
        <v>3776</v>
      </c>
      <c r="F34" s="18">
        <v>24729</v>
      </c>
      <c r="G34" s="18">
        <f t="shared" si="0"/>
        <v>20953</v>
      </c>
      <c r="H34" s="39" t="s">
        <v>21</v>
      </c>
      <c r="I34" s="19"/>
      <c r="J34" s="1" t="s">
        <v>22</v>
      </c>
      <c r="L34" s="20"/>
      <c r="P34" s="20"/>
      <c r="Q34" s="20"/>
    </row>
    <row r="35" spans="1:17" ht="15" customHeight="1">
      <c r="A35" s="42"/>
      <c r="B35" s="44"/>
      <c r="C35" s="46"/>
      <c r="D35" s="48"/>
      <c r="E35" s="21">
        <v>3776</v>
      </c>
      <c r="F35" s="21">
        <v>24729</v>
      </c>
      <c r="G35" s="22">
        <f t="shared" si="0"/>
        <v>20953</v>
      </c>
      <c r="H35" s="40"/>
      <c r="I35" s="23"/>
      <c r="J35" s="1" t="s">
        <v>23</v>
      </c>
      <c r="L35" s="20"/>
      <c r="Q35" s="20"/>
    </row>
    <row r="36" spans="1:17" ht="15" customHeight="1">
      <c r="A36" s="41">
        <v>12</v>
      </c>
      <c r="B36" s="43" t="s">
        <v>25</v>
      </c>
      <c r="C36" s="45" t="str">
        <f>HYPERLINK("https://www.city.osaka.lg.jp/kankyo/cmsfiles/contents/0000025/25420/r60212.xlsx","悪臭防止対策事業")</f>
        <v>悪臭防止対策事業</v>
      </c>
      <c r="D36" s="47" t="s">
        <v>34</v>
      </c>
      <c r="E36" s="18">
        <v>481</v>
      </c>
      <c r="F36" s="18">
        <v>2257</v>
      </c>
      <c r="G36" s="18">
        <f t="shared" si="0"/>
        <v>1776</v>
      </c>
      <c r="H36" s="39" t="s">
        <v>21</v>
      </c>
      <c r="I36" s="19"/>
      <c r="J36" s="1" t="s">
        <v>22</v>
      </c>
      <c r="L36" s="20"/>
      <c r="P36" s="20"/>
      <c r="Q36" s="20"/>
    </row>
    <row r="37" spans="1:17" ht="15" customHeight="1">
      <c r="A37" s="42"/>
      <c r="B37" s="44"/>
      <c r="C37" s="46"/>
      <c r="D37" s="48"/>
      <c r="E37" s="21">
        <v>481</v>
      </c>
      <c r="F37" s="21">
        <v>2257</v>
      </c>
      <c r="G37" s="22">
        <f t="shared" si="0"/>
        <v>1776</v>
      </c>
      <c r="H37" s="40"/>
      <c r="I37" s="23"/>
      <c r="J37" s="1" t="s">
        <v>23</v>
      </c>
      <c r="L37" s="20"/>
      <c r="Q37" s="20"/>
    </row>
    <row r="38" spans="1:17" ht="15" customHeight="1">
      <c r="A38" s="41">
        <v>13</v>
      </c>
      <c r="B38" s="43" t="s">
        <v>25</v>
      </c>
      <c r="C38" s="45" t="str">
        <f>HYPERLINK("https://www.city.osaka.lg.jp/kankyo/cmsfiles/contents/0000025/25420/r60213.xlsx","土壌汚染・水質汚濁対策事業")</f>
        <v>土壌汚染・水質汚濁対策事業</v>
      </c>
      <c r="D38" s="47" t="s">
        <v>27</v>
      </c>
      <c r="E38" s="18">
        <v>73427</v>
      </c>
      <c r="F38" s="18">
        <v>95804</v>
      </c>
      <c r="G38" s="18">
        <f t="shared" si="0"/>
        <v>22377</v>
      </c>
      <c r="H38" s="39" t="s">
        <v>30</v>
      </c>
      <c r="I38" s="19">
        <v>1188</v>
      </c>
      <c r="J38" s="1" t="s">
        <v>22</v>
      </c>
      <c r="K38" s="1" t="s">
        <v>31</v>
      </c>
      <c r="L38" s="20"/>
      <c r="P38" s="20"/>
      <c r="Q38" s="20"/>
    </row>
    <row r="39" spans="1:17" ht="15" customHeight="1">
      <c r="A39" s="42"/>
      <c r="B39" s="44"/>
      <c r="C39" s="46"/>
      <c r="D39" s="48"/>
      <c r="E39" s="21">
        <v>70922</v>
      </c>
      <c r="F39" s="21">
        <v>93299</v>
      </c>
      <c r="G39" s="22">
        <f t="shared" si="0"/>
        <v>22377</v>
      </c>
      <c r="H39" s="40"/>
      <c r="I39" s="23">
        <v>1188</v>
      </c>
      <c r="J39" s="1" t="s">
        <v>23</v>
      </c>
      <c r="K39" s="1" t="s">
        <v>32</v>
      </c>
      <c r="L39" s="20"/>
      <c r="Q39" s="20"/>
    </row>
    <row r="40" spans="1:17" ht="15" customHeight="1">
      <c r="A40" s="41">
        <v>14</v>
      </c>
      <c r="B40" s="43" t="s">
        <v>25</v>
      </c>
      <c r="C40" s="45" t="str">
        <f>HYPERLINK("https://www.city.osaka.lg.jp/kankyo/cmsfiles/contents/0000025/25420/r60214.xlsx","航空機騒音対策事業")</f>
        <v>航空機騒音対策事業</v>
      </c>
      <c r="D40" s="47" t="s">
        <v>34</v>
      </c>
      <c r="E40" s="18">
        <v>111790</v>
      </c>
      <c r="F40" s="18">
        <v>150520</v>
      </c>
      <c r="G40" s="18">
        <f t="shared" si="0"/>
        <v>38730</v>
      </c>
      <c r="H40" s="39" t="s">
        <v>21</v>
      </c>
      <c r="I40" s="19"/>
      <c r="J40" s="1" t="s">
        <v>22</v>
      </c>
      <c r="L40" s="20"/>
      <c r="P40" s="20"/>
      <c r="Q40" s="20"/>
    </row>
    <row r="41" spans="1:17" ht="15" customHeight="1">
      <c r="A41" s="42"/>
      <c r="B41" s="44"/>
      <c r="C41" s="46"/>
      <c r="D41" s="48"/>
      <c r="E41" s="21">
        <v>37545</v>
      </c>
      <c r="F41" s="21">
        <v>60590</v>
      </c>
      <c r="G41" s="22">
        <f t="shared" si="0"/>
        <v>23045</v>
      </c>
      <c r="H41" s="40"/>
      <c r="I41" s="23"/>
      <c r="J41" s="1" t="s">
        <v>23</v>
      </c>
      <c r="L41" s="20"/>
      <c r="Q41" s="20"/>
    </row>
    <row r="42" spans="1:17" ht="15" customHeight="1">
      <c r="A42" s="41">
        <v>15</v>
      </c>
      <c r="B42" s="43" t="s">
        <v>25</v>
      </c>
      <c r="C42" s="45" t="str">
        <f>HYPERLINK("https://www.city.osaka.lg.jp/kankyo/cmsfiles/contents/0000025/25420/r60215.xlsx","騒音振動対策事業")</f>
        <v>騒音振動対策事業</v>
      </c>
      <c r="D42" s="47" t="s">
        <v>34</v>
      </c>
      <c r="E42" s="18">
        <v>10520</v>
      </c>
      <c r="F42" s="18">
        <v>11687</v>
      </c>
      <c r="G42" s="18">
        <f t="shared" si="0"/>
        <v>1167</v>
      </c>
      <c r="H42" s="39" t="s">
        <v>21</v>
      </c>
      <c r="I42" s="19"/>
      <c r="J42" s="1" t="s">
        <v>22</v>
      </c>
      <c r="L42" s="20"/>
      <c r="P42" s="20"/>
      <c r="Q42" s="20"/>
    </row>
    <row r="43" spans="1:17" ht="15" customHeight="1">
      <c r="A43" s="42"/>
      <c r="B43" s="44"/>
      <c r="C43" s="46"/>
      <c r="D43" s="48"/>
      <c r="E43" s="21">
        <v>10520</v>
      </c>
      <c r="F43" s="21">
        <v>11687</v>
      </c>
      <c r="G43" s="22">
        <f t="shared" si="0"/>
        <v>1167</v>
      </c>
      <c r="H43" s="40"/>
      <c r="I43" s="23"/>
      <c r="J43" s="1" t="s">
        <v>23</v>
      </c>
      <c r="L43" s="20"/>
      <c r="Q43" s="20"/>
    </row>
    <row r="44" spans="1:17" ht="15" customHeight="1">
      <c r="A44" s="41">
        <v>16</v>
      </c>
      <c r="B44" s="43" t="s">
        <v>25</v>
      </c>
      <c r="C44" s="45" t="str">
        <f>HYPERLINK("https://www.city.osaka.lg.jp/kankyo/cmsfiles/contents/0000025/25420/r60216.xlsx","環境影響評価事業")</f>
        <v>環境影響評価事業</v>
      </c>
      <c r="D44" s="47" t="s">
        <v>27</v>
      </c>
      <c r="E44" s="18">
        <v>5331</v>
      </c>
      <c r="F44" s="18">
        <v>5267</v>
      </c>
      <c r="G44" s="18">
        <f t="shared" si="0"/>
        <v>-64</v>
      </c>
      <c r="H44" s="39" t="s">
        <v>21</v>
      </c>
      <c r="I44" s="19"/>
      <c r="J44" s="1" t="s">
        <v>22</v>
      </c>
      <c r="L44" s="20"/>
      <c r="P44" s="20"/>
      <c r="Q44" s="20"/>
    </row>
    <row r="45" spans="1:17" ht="15" customHeight="1">
      <c r="A45" s="42"/>
      <c r="B45" s="44"/>
      <c r="C45" s="46"/>
      <c r="D45" s="48"/>
      <c r="E45" s="21">
        <v>5331</v>
      </c>
      <c r="F45" s="21">
        <v>5267</v>
      </c>
      <c r="G45" s="22">
        <f t="shared" si="0"/>
        <v>-64</v>
      </c>
      <c r="H45" s="40"/>
      <c r="I45" s="23"/>
      <c r="J45" s="1" t="s">
        <v>23</v>
      </c>
      <c r="L45" s="20"/>
      <c r="Q45" s="20"/>
    </row>
    <row r="46" spans="1:17" ht="15" customHeight="1">
      <c r="A46" s="41">
        <v>17</v>
      </c>
      <c r="B46" s="43" t="s">
        <v>25</v>
      </c>
      <c r="C46" s="45" t="str">
        <f>HYPERLINK("https://www.city.osaka.lg.jp/kankyo/cmsfiles/contents/0000025/25420/r60217.xlsx","地球環境保全推進事業")</f>
        <v>地球環境保全推進事業</v>
      </c>
      <c r="D46" s="47" t="s">
        <v>33</v>
      </c>
      <c r="E46" s="18">
        <v>11512</v>
      </c>
      <c r="F46" s="18">
        <v>13167</v>
      </c>
      <c r="G46" s="18">
        <f t="shared" si="0"/>
        <v>1655</v>
      </c>
      <c r="H46" s="39" t="s">
        <v>21</v>
      </c>
      <c r="I46" s="19"/>
      <c r="J46" s="1" t="s">
        <v>22</v>
      </c>
      <c r="L46" s="20"/>
      <c r="P46" s="20"/>
      <c r="Q46" s="20"/>
    </row>
    <row r="47" spans="1:17" ht="15" customHeight="1">
      <c r="A47" s="42"/>
      <c r="B47" s="44"/>
      <c r="C47" s="46"/>
      <c r="D47" s="48"/>
      <c r="E47" s="21">
        <v>2558</v>
      </c>
      <c r="F47" s="21">
        <v>3685</v>
      </c>
      <c r="G47" s="22">
        <f t="shared" si="0"/>
        <v>1127</v>
      </c>
      <c r="H47" s="40"/>
      <c r="I47" s="23"/>
      <c r="J47" s="1" t="s">
        <v>23</v>
      </c>
      <c r="L47" s="20"/>
      <c r="Q47" s="20"/>
    </row>
    <row r="48" spans="1:17" ht="15" customHeight="1">
      <c r="A48" s="41">
        <v>18</v>
      </c>
      <c r="B48" s="43" t="s">
        <v>25</v>
      </c>
      <c r="C48" s="45" t="str">
        <f>HYPERLINK("https://www.city.osaka.lg.jp/kankyo/cmsfiles/contents/0000025/25420/r60218.xlsx","地球温暖化対策推進事業")</f>
        <v>地球温暖化対策推進事業</v>
      </c>
      <c r="D48" s="47" t="s">
        <v>33</v>
      </c>
      <c r="E48" s="18">
        <v>236414</v>
      </c>
      <c r="F48" s="18">
        <v>2565</v>
      </c>
      <c r="G48" s="18">
        <f t="shared" si="0"/>
        <v>-233849</v>
      </c>
      <c r="H48" s="39" t="s">
        <v>21</v>
      </c>
      <c r="I48" s="19"/>
      <c r="J48" s="1" t="s">
        <v>22</v>
      </c>
      <c r="L48" s="20"/>
      <c r="P48" s="20"/>
      <c r="Q48" s="20"/>
    </row>
    <row r="49" spans="1:17" ht="15" customHeight="1">
      <c r="A49" s="42"/>
      <c r="B49" s="44"/>
      <c r="C49" s="46"/>
      <c r="D49" s="48"/>
      <c r="E49" s="21">
        <v>233564</v>
      </c>
      <c r="F49" s="21">
        <v>2265</v>
      </c>
      <c r="G49" s="22">
        <f t="shared" si="0"/>
        <v>-231299</v>
      </c>
      <c r="H49" s="40"/>
      <c r="I49" s="23"/>
      <c r="J49" s="1" t="s">
        <v>23</v>
      </c>
      <c r="L49" s="20"/>
      <c r="Q49" s="20"/>
    </row>
    <row r="50" spans="1:17" ht="15" customHeight="1">
      <c r="A50" s="41">
        <v>19</v>
      </c>
      <c r="B50" s="43" t="s">
        <v>25</v>
      </c>
      <c r="C50" s="45" t="str">
        <f>HYPERLINK("https://www.city.osaka.lg.jp/kankyo/cmsfiles/contents/0000025/25420/r60219.xlsx","ヒートアイランド対策事業")</f>
        <v>ヒートアイランド対策事業</v>
      </c>
      <c r="D50" s="47" t="s">
        <v>33</v>
      </c>
      <c r="E50" s="18">
        <v>262</v>
      </c>
      <c r="F50" s="18">
        <v>262</v>
      </c>
      <c r="G50" s="18">
        <f t="shared" si="0"/>
        <v>0</v>
      </c>
      <c r="H50" s="39" t="s">
        <v>21</v>
      </c>
      <c r="I50" s="19"/>
      <c r="J50" s="1" t="s">
        <v>22</v>
      </c>
      <c r="L50" s="20"/>
      <c r="P50" s="20"/>
      <c r="Q50" s="20"/>
    </row>
    <row r="51" spans="1:17" ht="15" customHeight="1">
      <c r="A51" s="42"/>
      <c r="B51" s="44"/>
      <c r="C51" s="46"/>
      <c r="D51" s="48"/>
      <c r="E51" s="21">
        <v>262</v>
      </c>
      <c r="F51" s="21">
        <v>262</v>
      </c>
      <c r="G51" s="22">
        <f t="shared" si="0"/>
        <v>0</v>
      </c>
      <c r="H51" s="40"/>
      <c r="I51" s="23"/>
      <c r="J51" s="1" t="s">
        <v>23</v>
      </c>
      <c r="L51" s="20"/>
      <c r="Q51" s="20"/>
    </row>
    <row r="52" spans="1:17" ht="15" customHeight="1">
      <c r="A52" s="41">
        <v>20</v>
      </c>
      <c r="B52" s="43" t="s">
        <v>25</v>
      </c>
      <c r="C52" s="45" t="str">
        <f>HYPERLINK("https://www.city.osaka.lg.jp/kankyo/cmsfiles/contents/0000025/25420/r60220.xlsx","水・環境技術の海外プロモーション")</f>
        <v>水・環境技術の海外プロモーション</v>
      </c>
      <c r="D52" s="47" t="s">
        <v>33</v>
      </c>
      <c r="E52" s="18">
        <v>5890</v>
      </c>
      <c r="F52" s="18">
        <v>5817</v>
      </c>
      <c r="G52" s="18">
        <f t="shared" si="0"/>
        <v>-73</v>
      </c>
      <c r="H52" s="39" t="s">
        <v>21</v>
      </c>
      <c r="I52" s="19"/>
      <c r="J52" s="1" t="s">
        <v>22</v>
      </c>
      <c r="L52" s="20"/>
      <c r="P52" s="20"/>
      <c r="Q52" s="20"/>
    </row>
    <row r="53" spans="1:17" ht="15" customHeight="1">
      <c r="A53" s="42"/>
      <c r="B53" s="44"/>
      <c r="C53" s="46"/>
      <c r="D53" s="48"/>
      <c r="E53" s="21">
        <v>5890</v>
      </c>
      <c r="F53" s="21">
        <v>5817</v>
      </c>
      <c r="G53" s="22">
        <f t="shared" si="0"/>
        <v>-73</v>
      </c>
      <c r="H53" s="40"/>
      <c r="I53" s="23"/>
      <c r="J53" s="1" t="s">
        <v>23</v>
      </c>
      <c r="L53" s="20"/>
      <c r="Q53" s="20"/>
    </row>
    <row r="54" spans="1:17" ht="15" customHeight="1">
      <c r="A54" s="41">
        <v>21</v>
      </c>
      <c r="B54" s="43" t="s">
        <v>25</v>
      </c>
      <c r="C54" s="45" t="str">
        <f>HYPERLINK("https://www.city.osaka.lg.jp/kankyo/cmsfiles/contents/0000025/25420/r60221.xlsx","ＵＮＥＰ国際環境技術センターの支援")</f>
        <v>ＵＮＥＰ国際環境技術センターの支援</v>
      </c>
      <c r="D54" s="47" t="s">
        <v>33</v>
      </c>
      <c r="E54" s="18">
        <v>203303</v>
      </c>
      <c r="F54" s="18">
        <v>47823</v>
      </c>
      <c r="G54" s="18">
        <f t="shared" si="0"/>
        <v>-155480</v>
      </c>
      <c r="H54" s="39" t="s">
        <v>21</v>
      </c>
      <c r="I54" s="19"/>
      <c r="J54" s="1" t="s">
        <v>22</v>
      </c>
      <c r="L54" s="20"/>
      <c r="P54" s="20"/>
      <c r="Q54" s="20"/>
    </row>
    <row r="55" spans="1:17" ht="15" customHeight="1">
      <c r="A55" s="42"/>
      <c r="B55" s="44"/>
      <c r="C55" s="46"/>
      <c r="D55" s="48"/>
      <c r="E55" s="21">
        <v>194335</v>
      </c>
      <c r="F55" s="21">
        <v>38866</v>
      </c>
      <c r="G55" s="22">
        <f t="shared" si="0"/>
        <v>-155469</v>
      </c>
      <c r="H55" s="40"/>
      <c r="I55" s="23"/>
      <c r="J55" s="1" t="s">
        <v>23</v>
      </c>
      <c r="L55" s="20"/>
      <c r="Q55" s="20"/>
    </row>
    <row r="56" spans="1:17" ht="15" customHeight="1">
      <c r="A56" s="41">
        <v>22</v>
      </c>
      <c r="B56" s="43" t="s">
        <v>25</v>
      </c>
      <c r="C56" s="45" t="str">
        <f>HYPERLINK("https://www.city.osaka.lg.jp/kankyo/cmsfiles/contents/0000025/25420/r60222.xlsx","環境対策普及啓発事業")</f>
        <v>環境対策普及啓発事業</v>
      </c>
      <c r="D56" s="47" t="s">
        <v>35</v>
      </c>
      <c r="E56" s="18">
        <v>554</v>
      </c>
      <c r="F56" s="18">
        <v>555</v>
      </c>
      <c r="G56" s="18">
        <f t="shared" si="0"/>
        <v>1</v>
      </c>
      <c r="H56" s="39" t="s">
        <v>21</v>
      </c>
      <c r="I56" s="19"/>
      <c r="J56" s="1" t="s">
        <v>22</v>
      </c>
      <c r="L56" s="20"/>
      <c r="P56" s="20"/>
      <c r="Q56" s="20"/>
    </row>
    <row r="57" spans="1:17" ht="15" customHeight="1">
      <c r="A57" s="42"/>
      <c r="B57" s="44"/>
      <c r="C57" s="46"/>
      <c r="D57" s="48"/>
      <c r="E57" s="21">
        <v>554</v>
      </c>
      <c r="F57" s="21">
        <v>555</v>
      </c>
      <c r="G57" s="22">
        <f t="shared" si="0"/>
        <v>1</v>
      </c>
      <c r="H57" s="40"/>
      <c r="I57" s="23"/>
      <c r="J57" s="1" t="s">
        <v>23</v>
      </c>
      <c r="L57" s="20"/>
      <c r="Q57" s="20"/>
    </row>
    <row r="58" spans="1:17" ht="15" customHeight="1">
      <c r="A58" s="41">
        <v>23</v>
      </c>
      <c r="B58" s="43" t="s">
        <v>25</v>
      </c>
      <c r="C58" s="45" t="str">
        <f>HYPERLINK("https://www.city.osaka.lg.jp/kankyo/cmsfiles/contents/0000025/25420/r60223.xlsx","環境学習推進事業")</f>
        <v>環境学習推進事業</v>
      </c>
      <c r="D58" s="47" t="s">
        <v>33</v>
      </c>
      <c r="E58" s="18">
        <v>66089</v>
      </c>
      <c r="F58" s="18">
        <v>83480</v>
      </c>
      <c r="G58" s="18">
        <f t="shared" si="0"/>
        <v>17391</v>
      </c>
      <c r="H58" s="39" t="s">
        <v>21</v>
      </c>
      <c r="I58" s="19"/>
      <c r="J58" s="1" t="s">
        <v>22</v>
      </c>
      <c r="L58" s="20"/>
      <c r="P58" s="20"/>
      <c r="Q58" s="20"/>
    </row>
    <row r="59" spans="1:17" ht="15" customHeight="1">
      <c r="A59" s="42"/>
      <c r="B59" s="44"/>
      <c r="C59" s="46"/>
      <c r="D59" s="48"/>
      <c r="E59" s="21">
        <v>7186</v>
      </c>
      <c r="F59" s="21">
        <v>10666</v>
      </c>
      <c r="G59" s="22">
        <f t="shared" si="0"/>
        <v>3480</v>
      </c>
      <c r="H59" s="40"/>
      <c r="I59" s="23"/>
      <c r="J59" s="1" t="s">
        <v>23</v>
      </c>
      <c r="L59" s="20"/>
      <c r="Q59" s="20"/>
    </row>
    <row r="60" spans="1:17" ht="15" customHeight="1">
      <c r="A60" s="41">
        <v>24</v>
      </c>
      <c r="B60" s="43" t="s">
        <v>25</v>
      </c>
      <c r="C60" s="45" t="str">
        <f>HYPERLINK("https://www.city.osaka.lg.jp/kankyo/cmsfiles/contents/0000025/25420/r60224.xlsx","小・中学校での「おおさか環境科」の実施")</f>
        <v>小・中学校での「おおさか環境科」の実施</v>
      </c>
      <c r="D60" s="47" t="s">
        <v>36</v>
      </c>
      <c r="E60" s="18">
        <v>6197</v>
      </c>
      <c r="F60" s="18">
        <v>6280</v>
      </c>
      <c r="G60" s="18">
        <f t="shared" si="0"/>
        <v>83</v>
      </c>
      <c r="H60" s="39" t="s">
        <v>21</v>
      </c>
      <c r="I60" s="19"/>
      <c r="J60" s="1" t="s">
        <v>22</v>
      </c>
      <c r="L60" s="20"/>
      <c r="P60" s="20"/>
      <c r="Q60" s="20"/>
    </row>
    <row r="61" spans="1:17" ht="15" customHeight="1">
      <c r="A61" s="42"/>
      <c r="B61" s="44"/>
      <c r="C61" s="46"/>
      <c r="D61" s="48"/>
      <c r="E61" s="21">
        <v>6197</v>
      </c>
      <c r="F61" s="21">
        <v>6280</v>
      </c>
      <c r="G61" s="22">
        <f t="shared" si="0"/>
        <v>83</v>
      </c>
      <c r="H61" s="40"/>
      <c r="I61" s="23"/>
      <c r="J61" s="1" t="s">
        <v>23</v>
      </c>
      <c r="L61" s="20"/>
      <c r="Q61" s="20"/>
    </row>
    <row r="62" spans="1:17" ht="15" customHeight="1">
      <c r="A62" s="41">
        <v>25</v>
      </c>
      <c r="B62" s="43" t="s">
        <v>25</v>
      </c>
      <c r="C62" s="45" t="str">
        <f>HYPERLINK("https://www.city.osaka.lg.jp/kankyo/cmsfiles/contents/0000025/25420/r60225.xlsx","環境保全関係業務処理システムの運用")</f>
        <v>環境保全関係業務処理システムの運用</v>
      </c>
      <c r="D62" s="47" t="s">
        <v>34</v>
      </c>
      <c r="E62" s="18">
        <v>7368</v>
      </c>
      <c r="F62" s="18">
        <v>4714</v>
      </c>
      <c r="G62" s="18">
        <f t="shared" si="0"/>
        <v>-2654</v>
      </c>
      <c r="H62" s="39" t="s">
        <v>21</v>
      </c>
      <c r="I62" s="19"/>
      <c r="J62" s="1" t="s">
        <v>22</v>
      </c>
      <c r="L62" s="20"/>
      <c r="P62" s="20"/>
      <c r="Q62" s="20"/>
    </row>
    <row r="63" spans="1:17" ht="15" customHeight="1">
      <c r="A63" s="42"/>
      <c r="B63" s="44"/>
      <c r="C63" s="46"/>
      <c r="D63" s="48"/>
      <c r="E63" s="21">
        <v>7368</v>
      </c>
      <c r="F63" s="21">
        <v>4714</v>
      </c>
      <c r="G63" s="22">
        <f t="shared" si="0"/>
        <v>-2654</v>
      </c>
      <c r="H63" s="40"/>
      <c r="I63" s="23"/>
      <c r="J63" s="1" t="s">
        <v>23</v>
      </c>
      <c r="L63" s="20"/>
      <c r="Q63" s="20"/>
    </row>
    <row r="64" spans="1:17" ht="15" customHeight="1">
      <c r="A64" s="41">
        <v>26</v>
      </c>
      <c r="B64" s="43" t="s">
        <v>25</v>
      </c>
      <c r="C64" s="45" t="str">
        <f>HYPERLINK("https://www.city.osaka.lg.jp/kankyo/cmsfiles/contents/0000025/25420/r60226.xlsx","環境保全監視運営")</f>
        <v>環境保全監視運営</v>
      </c>
      <c r="D64" s="47" t="s">
        <v>27</v>
      </c>
      <c r="E64" s="18">
        <v>8116</v>
      </c>
      <c r="F64" s="18">
        <v>8387</v>
      </c>
      <c r="G64" s="18">
        <f t="shared" si="0"/>
        <v>271</v>
      </c>
      <c r="H64" s="39" t="s">
        <v>21</v>
      </c>
      <c r="I64" s="19"/>
      <c r="J64" s="1" t="s">
        <v>22</v>
      </c>
      <c r="L64" s="20"/>
      <c r="P64" s="20"/>
      <c r="Q64" s="20"/>
    </row>
    <row r="65" spans="1:17" ht="15" customHeight="1">
      <c r="A65" s="42"/>
      <c r="B65" s="44"/>
      <c r="C65" s="46"/>
      <c r="D65" s="48"/>
      <c r="E65" s="21">
        <v>8116</v>
      </c>
      <c r="F65" s="21">
        <v>8387</v>
      </c>
      <c r="G65" s="22">
        <f t="shared" si="0"/>
        <v>271</v>
      </c>
      <c r="H65" s="40"/>
      <c r="I65" s="23"/>
      <c r="J65" s="1" t="s">
        <v>23</v>
      </c>
      <c r="L65" s="20"/>
      <c r="Q65" s="20"/>
    </row>
    <row r="66" spans="1:17" ht="22.5" customHeight="1">
      <c r="A66" s="41">
        <v>27</v>
      </c>
      <c r="B66" s="43" t="s">
        <v>25</v>
      </c>
      <c r="C66" s="45" t="str">
        <f>HYPERLINK("https://www.city.osaka.lg.jp/kankyo/cmsfiles/contents/0000025/25420/r60227.xlsx","「ゼロカーボン　おおさか」の実現に向けた大阪市地域脱炭素化推進事業")</f>
        <v>「ゼロカーボン　おおさか」の実現に向けた大阪市地域脱炭素化推進事業</v>
      </c>
      <c r="D66" s="47" t="s">
        <v>33</v>
      </c>
      <c r="E66" s="18">
        <v>53081</v>
      </c>
      <c r="F66" s="18">
        <v>1234451</v>
      </c>
      <c r="G66" s="18">
        <f t="shared" si="0"/>
        <v>1181370</v>
      </c>
      <c r="H66" s="39" t="s">
        <v>21</v>
      </c>
      <c r="I66" s="19"/>
      <c r="J66" s="1" t="s">
        <v>22</v>
      </c>
      <c r="L66" s="20"/>
      <c r="P66" s="20"/>
      <c r="Q66" s="20"/>
    </row>
    <row r="67" spans="1:17" ht="22.5" customHeight="1">
      <c r="A67" s="42"/>
      <c r="B67" s="44"/>
      <c r="C67" s="46"/>
      <c r="D67" s="48"/>
      <c r="E67" s="21">
        <v>53081</v>
      </c>
      <c r="F67" s="21">
        <v>44521</v>
      </c>
      <c r="G67" s="22">
        <f t="shared" si="0"/>
        <v>-8560</v>
      </c>
      <c r="H67" s="40"/>
      <c r="I67" s="23"/>
      <c r="J67" s="1" t="s">
        <v>23</v>
      </c>
      <c r="L67" s="20"/>
      <c r="Q67" s="20"/>
    </row>
    <row r="68" spans="1:17" ht="15" customHeight="1">
      <c r="A68" s="41">
        <v>28</v>
      </c>
      <c r="B68" s="43" t="s">
        <v>25</v>
      </c>
      <c r="C68" s="45" t="str">
        <f>HYPERLINK("https://www.city.osaka.lg.jp/kankyo/cmsfiles/contents/0000025/25420/r60228.xlsx","万博を契機としたバス事業者の脱炭素化促進事業")</f>
        <v>万博を契機としたバス事業者の脱炭素化促進事業</v>
      </c>
      <c r="D68" s="47" t="s">
        <v>33</v>
      </c>
      <c r="E68" s="18">
        <v>458500</v>
      </c>
      <c r="F68" s="18">
        <v>485500</v>
      </c>
      <c r="G68" s="18">
        <f t="shared" si="0"/>
        <v>27000</v>
      </c>
      <c r="H68" s="39" t="s">
        <v>21</v>
      </c>
      <c r="I68" s="19"/>
      <c r="J68" s="1" t="s">
        <v>22</v>
      </c>
      <c r="L68" s="20"/>
      <c r="P68" s="20"/>
      <c r="Q68" s="20"/>
    </row>
    <row r="69" spans="1:17" ht="15" customHeight="1">
      <c r="A69" s="42"/>
      <c r="B69" s="44"/>
      <c r="C69" s="46"/>
      <c r="D69" s="48"/>
      <c r="E69" s="21">
        <v>458500</v>
      </c>
      <c r="F69" s="21">
        <v>485500</v>
      </c>
      <c r="G69" s="22">
        <f t="shared" si="0"/>
        <v>27000</v>
      </c>
      <c r="H69" s="40"/>
      <c r="I69" s="23"/>
      <c r="J69" s="1" t="s">
        <v>23</v>
      </c>
      <c r="L69" s="20"/>
      <c r="Q69" s="20"/>
    </row>
    <row r="70" spans="1:17" ht="22.5" customHeight="1">
      <c r="A70" s="57">
        <v>29</v>
      </c>
      <c r="B70" s="58" t="s">
        <v>25</v>
      </c>
      <c r="C70" s="45" t="str">
        <f>HYPERLINK("https://www.city.osaka.lg.jp/kankyo/cmsfiles/contents/0000025/25420/r60229.xlsx","デジタルツインを活用したＣＯ2削減モデル化による脱炭素推進事業")</f>
        <v>デジタルツインを活用したＣＯ2削減モデル化による脱炭素推進事業</v>
      </c>
      <c r="D70" s="59" t="s">
        <v>33</v>
      </c>
      <c r="E70" s="24">
        <v>0</v>
      </c>
      <c r="F70" s="24">
        <v>50000</v>
      </c>
      <c r="G70" s="24">
        <f t="shared" si="0"/>
        <v>50000</v>
      </c>
      <c r="H70" s="60" t="s">
        <v>21</v>
      </c>
      <c r="I70" s="25"/>
      <c r="J70" s="1" t="s">
        <v>22</v>
      </c>
      <c r="L70" s="20"/>
      <c r="P70" s="20"/>
      <c r="Q70" s="20"/>
    </row>
    <row r="71" spans="1:17" ht="22.5" customHeight="1">
      <c r="A71" s="42"/>
      <c r="B71" s="44"/>
      <c r="C71" s="46"/>
      <c r="D71" s="48"/>
      <c r="E71" s="21">
        <v>0</v>
      </c>
      <c r="F71" s="21">
        <v>25000</v>
      </c>
      <c r="G71" s="22">
        <f t="shared" si="0"/>
        <v>25000</v>
      </c>
      <c r="H71" s="40"/>
      <c r="I71" s="23"/>
      <c r="J71" s="1" t="s">
        <v>23</v>
      </c>
      <c r="L71" s="20"/>
      <c r="Q71" s="20"/>
    </row>
    <row r="72" spans="1:17" ht="15" customHeight="1">
      <c r="A72" s="33" t="s">
        <v>37</v>
      </c>
      <c r="B72" s="34"/>
      <c r="C72" s="34"/>
      <c r="D72" s="35"/>
      <c r="E72" s="18">
        <f>SUM(E16,E18,E20,E22,E24,E26,E28,E30,E32,E34,E36,E38,E40,E42,E44,E46,E48,E50,E52,E54,E56,E58,E60,E62,E64,E66,E68,E70)</f>
        <v>1761966</v>
      </c>
      <c r="F72" s="18">
        <f t="shared" ref="F72:G72" si="3">SUM(F16,F18,F20,F22,F24,F26,F28,F30,F32,F34,F36,F38,F40,F42,F44,F46,F48,F50,F52,F54,F56,F58,F60,F62,F64,F66,F68,F70)</f>
        <v>2722825</v>
      </c>
      <c r="G72" s="24">
        <f t="shared" si="3"/>
        <v>960859</v>
      </c>
      <c r="H72" s="39"/>
      <c r="I72" s="25"/>
      <c r="M72" s="20"/>
      <c r="Q72" s="20"/>
    </row>
    <row r="73" spans="1:17" ht="15" customHeight="1">
      <c r="A73" s="36"/>
      <c r="B73" s="37"/>
      <c r="C73" s="37"/>
      <c r="D73" s="38"/>
      <c r="E73" s="21">
        <f t="shared" ref="E73:G73" si="4">SUM(E17,E19,E21,E23,E25,E27,E29,E31,E33,E35,E37,E39,E41,E43,E45,E47,E49,E51,E53,E55,E57,E59,E61,E63,E65,E67,E69,E71)</f>
        <v>1604111</v>
      </c>
      <c r="F73" s="21">
        <f t="shared" si="4"/>
        <v>1322662</v>
      </c>
      <c r="G73" s="22">
        <f t="shared" si="4"/>
        <v>-281449</v>
      </c>
      <c r="H73" s="40"/>
      <c r="I73" s="23"/>
      <c r="M73" s="27"/>
      <c r="Q73" s="20"/>
    </row>
    <row r="74" spans="1:17" ht="15" customHeight="1">
      <c r="A74" s="41">
        <v>30</v>
      </c>
      <c r="B74" s="43" t="s">
        <v>38</v>
      </c>
      <c r="C74" s="45" t="str">
        <f>HYPERLINK("https://www.city.osaka.lg.jp/kankyo/cmsfiles/contents/0000025/25420/r60230.xlsx","環境創造基金積立金")</f>
        <v>環境創造基金積立金</v>
      </c>
      <c r="D74" s="47" t="s">
        <v>33</v>
      </c>
      <c r="E74" s="18">
        <v>2275</v>
      </c>
      <c r="F74" s="18">
        <v>7433</v>
      </c>
      <c r="G74" s="18">
        <f t="shared" si="0"/>
        <v>5158</v>
      </c>
      <c r="H74" s="39" t="s">
        <v>21</v>
      </c>
      <c r="I74" s="19"/>
      <c r="J74" s="1" t="s">
        <v>22</v>
      </c>
      <c r="L74" s="20"/>
      <c r="P74" s="20"/>
      <c r="Q74" s="20"/>
    </row>
    <row r="75" spans="1:17" ht="15" customHeight="1">
      <c r="A75" s="42"/>
      <c r="B75" s="44"/>
      <c r="C75" s="46"/>
      <c r="D75" s="48"/>
      <c r="E75" s="21">
        <v>0</v>
      </c>
      <c r="F75" s="21">
        <v>0</v>
      </c>
      <c r="G75" s="22">
        <f t="shared" si="0"/>
        <v>0</v>
      </c>
      <c r="H75" s="40"/>
      <c r="I75" s="23"/>
      <c r="J75" s="1" t="s">
        <v>23</v>
      </c>
      <c r="L75" s="20"/>
      <c r="Q75" s="20"/>
    </row>
    <row r="76" spans="1:17" ht="15" customHeight="1">
      <c r="A76" s="33" t="s">
        <v>39</v>
      </c>
      <c r="B76" s="34"/>
      <c r="C76" s="34"/>
      <c r="D76" s="35"/>
      <c r="E76" s="18">
        <f>SUM(E74)</f>
        <v>2275</v>
      </c>
      <c r="F76" s="18">
        <f t="shared" ref="F76:G76" si="5">SUM(F74)</f>
        <v>7433</v>
      </c>
      <c r="G76" s="24">
        <f t="shared" si="5"/>
        <v>5158</v>
      </c>
      <c r="H76" s="39"/>
      <c r="I76" s="25"/>
      <c r="Q76" s="20"/>
    </row>
    <row r="77" spans="1:17" ht="15" customHeight="1">
      <c r="A77" s="36"/>
      <c r="B77" s="37"/>
      <c r="C77" s="37"/>
      <c r="D77" s="38"/>
      <c r="E77" s="21">
        <f t="shared" ref="E77:G77" si="6">SUM(E75)</f>
        <v>0</v>
      </c>
      <c r="F77" s="21">
        <f t="shared" si="6"/>
        <v>0</v>
      </c>
      <c r="G77" s="22">
        <f t="shared" si="6"/>
        <v>0</v>
      </c>
      <c r="H77" s="40"/>
      <c r="I77" s="23"/>
      <c r="Q77" s="20"/>
    </row>
    <row r="78" spans="1:17" ht="15" customHeight="1">
      <c r="A78" s="41">
        <v>31</v>
      </c>
      <c r="B78" s="43" t="s">
        <v>40</v>
      </c>
      <c r="C78" s="45" t="str">
        <f>HYPERLINK("https://www.city.osaka.lg.jp/kankyo/cmsfiles/contents/0000025/25420/r60231.xlsx","廃棄物収集輸送関係事務費")</f>
        <v>廃棄物収集輸送関係事務費</v>
      </c>
      <c r="D78" s="47" t="s">
        <v>41</v>
      </c>
      <c r="E78" s="18">
        <v>60935</v>
      </c>
      <c r="F78" s="18">
        <v>61639</v>
      </c>
      <c r="G78" s="18">
        <f t="shared" ref="G78:G141" si="7">F78-E78</f>
        <v>704</v>
      </c>
      <c r="H78" s="39" t="s">
        <v>21</v>
      </c>
      <c r="I78" s="19"/>
      <c r="J78" s="1" t="s">
        <v>22</v>
      </c>
      <c r="L78" s="20"/>
      <c r="P78" s="20"/>
      <c r="Q78" s="20"/>
    </row>
    <row r="79" spans="1:17" ht="15" customHeight="1">
      <c r="A79" s="42"/>
      <c r="B79" s="44"/>
      <c r="C79" s="46"/>
      <c r="D79" s="48"/>
      <c r="E79" s="21">
        <v>60935</v>
      </c>
      <c r="F79" s="21">
        <v>61639</v>
      </c>
      <c r="G79" s="22">
        <f t="shared" si="7"/>
        <v>704</v>
      </c>
      <c r="H79" s="40"/>
      <c r="I79" s="23"/>
      <c r="J79" s="1" t="s">
        <v>23</v>
      </c>
      <c r="L79" s="20"/>
      <c r="Q79" s="20"/>
    </row>
    <row r="80" spans="1:17" ht="15" customHeight="1">
      <c r="A80" s="41">
        <v>32</v>
      </c>
      <c r="B80" s="43" t="s">
        <v>40</v>
      </c>
      <c r="C80" s="45" t="str">
        <f>HYPERLINK("https://www.city.osaka.lg.jp/kankyo/cmsfiles/contents/0000025/25420/r60232.xlsx","未利用地売却促進等事業")</f>
        <v>未利用地売却促進等事業</v>
      </c>
      <c r="D80" s="47" t="s">
        <v>28</v>
      </c>
      <c r="E80" s="18">
        <v>37691</v>
      </c>
      <c r="F80" s="18">
        <v>37691</v>
      </c>
      <c r="G80" s="18">
        <f t="shared" si="7"/>
        <v>0</v>
      </c>
      <c r="H80" s="39" t="s">
        <v>30</v>
      </c>
      <c r="I80" s="19">
        <v>14845</v>
      </c>
      <c r="J80" s="1" t="s">
        <v>22</v>
      </c>
      <c r="K80" s="1" t="s">
        <v>31</v>
      </c>
      <c r="L80" s="20"/>
      <c r="P80" s="20"/>
      <c r="Q80" s="20"/>
    </row>
    <row r="81" spans="1:17" ht="15" customHeight="1">
      <c r="A81" s="42"/>
      <c r="B81" s="44"/>
      <c r="C81" s="46"/>
      <c r="D81" s="48"/>
      <c r="E81" s="21">
        <v>37691</v>
      </c>
      <c r="F81" s="21">
        <v>37691</v>
      </c>
      <c r="G81" s="22">
        <f t="shared" si="7"/>
        <v>0</v>
      </c>
      <c r="H81" s="40"/>
      <c r="I81" s="23">
        <v>14845</v>
      </c>
      <c r="J81" s="1" t="s">
        <v>23</v>
      </c>
      <c r="K81" s="1" t="s">
        <v>32</v>
      </c>
      <c r="L81" s="20"/>
      <c r="Q81" s="20"/>
    </row>
    <row r="82" spans="1:17" ht="15" customHeight="1">
      <c r="A82" s="41">
        <v>33</v>
      </c>
      <c r="B82" s="43" t="s">
        <v>40</v>
      </c>
      <c r="C82" s="45" t="str">
        <f>HYPERLINK("https://www.city.osaka.lg.jp/kankyo/cmsfiles/contents/0000025/25420/r60233.xlsx","渉外事故業務")</f>
        <v>渉外事故業務</v>
      </c>
      <c r="D82" s="47" t="s">
        <v>20</v>
      </c>
      <c r="E82" s="18">
        <v>33882</v>
      </c>
      <c r="F82" s="18">
        <v>31856</v>
      </c>
      <c r="G82" s="18">
        <f t="shared" si="7"/>
        <v>-2026</v>
      </c>
      <c r="H82" s="39" t="s">
        <v>21</v>
      </c>
      <c r="I82" s="19"/>
      <c r="J82" s="1" t="s">
        <v>22</v>
      </c>
      <c r="L82" s="20"/>
      <c r="P82" s="20"/>
      <c r="Q82" s="20"/>
    </row>
    <row r="83" spans="1:17" ht="15" customHeight="1">
      <c r="A83" s="42"/>
      <c r="B83" s="44"/>
      <c r="C83" s="46"/>
      <c r="D83" s="48"/>
      <c r="E83" s="21">
        <v>33882</v>
      </c>
      <c r="F83" s="21">
        <v>31856</v>
      </c>
      <c r="G83" s="22">
        <f t="shared" si="7"/>
        <v>-2026</v>
      </c>
      <c r="H83" s="40"/>
      <c r="I83" s="23"/>
      <c r="J83" s="1" t="s">
        <v>23</v>
      </c>
      <c r="L83" s="20"/>
      <c r="Q83" s="20"/>
    </row>
    <row r="84" spans="1:17" ht="15" customHeight="1">
      <c r="A84" s="41">
        <v>34</v>
      </c>
      <c r="B84" s="43" t="s">
        <v>40</v>
      </c>
      <c r="C84" s="45" t="str">
        <f>HYPERLINK("https://www.city.osaka.lg.jp/kankyo/cmsfiles/contents/0000025/25420/r60234.xlsx","廃棄物規制指導")</f>
        <v>廃棄物規制指導</v>
      </c>
      <c r="D84" s="47" t="s">
        <v>42</v>
      </c>
      <c r="E84" s="18">
        <v>16815</v>
      </c>
      <c r="F84" s="18">
        <v>13131</v>
      </c>
      <c r="G84" s="18">
        <f t="shared" si="7"/>
        <v>-3684</v>
      </c>
      <c r="H84" s="39" t="s">
        <v>21</v>
      </c>
      <c r="I84" s="19"/>
      <c r="J84" s="1" t="s">
        <v>22</v>
      </c>
      <c r="L84" s="20"/>
      <c r="P84" s="20"/>
      <c r="Q84" s="20"/>
    </row>
    <row r="85" spans="1:17" ht="15" customHeight="1">
      <c r="A85" s="42"/>
      <c r="B85" s="44"/>
      <c r="C85" s="46"/>
      <c r="D85" s="48"/>
      <c r="E85" s="21">
        <v>16815</v>
      </c>
      <c r="F85" s="21">
        <v>13131</v>
      </c>
      <c r="G85" s="22">
        <f t="shared" si="7"/>
        <v>-3684</v>
      </c>
      <c r="H85" s="40"/>
      <c r="I85" s="23"/>
      <c r="J85" s="1" t="s">
        <v>23</v>
      </c>
      <c r="L85" s="20"/>
      <c r="Q85" s="20"/>
    </row>
    <row r="86" spans="1:17" ht="15" customHeight="1">
      <c r="A86" s="41">
        <v>35</v>
      </c>
      <c r="B86" s="43" t="s">
        <v>40</v>
      </c>
      <c r="C86" s="45" t="str">
        <f>HYPERLINK("https://www.city.osaka.lg.jp/kankyo/cmsfiles/contents/0000025/25420/r60235.xlsx","許可業者禁止物搬入対策")</f>
        <v>許可業者禁止物搬入対策</v>
      </c>
      <c r="D86" s="47" t="s">
        <v>43</v>
      </c>
      <c r="E86" s="18">
        <v>100</v>
      </c>
      <c r="F86" s="18">
        <v>170</v>
      </c>
      <c r="G86" s="18">
        <f t="shared" si="7"/>
        <v>70</v>
      </c>
      <c r="H86" s="39" t="s">
        <v>21</v>
      </c>
      <c r="I86" s="19"/>
      <c r="J86" s="1" t="s">
        <v>22</v>
      </c>
      <c r="L86" s="20"/>
      <c r="P86" s="20"/>
      <c r="Q86" s="20"/>
    </row>
    <row r="87" spans="1:17" ht="15" customHeight="1">
      <c r="A87" s="42"/>
      <c r="B87" s="44"/>
      <c r="C87" s="46"/>
      <c r="D87" s="48"/>
      <c r="E87" s="21">
        <v>100</v>
      </c>
      <c r="F87" s="21">
        <v>170</v>
      </c>
      <c r="G87" s="22">
        <f t="shared" si="7"/>
        <v>70</v>
      </c>
      <c r="H87" s="40"/>
      <c r="I87" s="23"/>
      <c r="J87" s="1" t="s">
        <v>23</v>
      </c>
      <c r="L87" s="20"/>
      <c r="Q87" s="20"/>
    </row>
    <row r="88" spans="1:17" ht="15" customHeight="1">
      <c r="A88" s="41">
        <v>36</v>
      </c>
      <c r="B88" s="43" t="s">
        <v>40</v>
      </c>
      <c r="C88" s="45" t="str">
        <f>HYPERLINK("https://www.city.osaka.lg.jp/kankyo/cmsfiles/contents/0000025/25420/r60236.xlsx","産業廃棄物対策の推進")</f>
        <v>産業廃棄物対策の推進</v>
      </c>
      <c r="D88" s="47" t="s">
        <v>27</v>
      </c>
      <c r="E88" s="18">
        <v>7154</v>
      </c>
      <c r="F88" s="18">
        <v>7139</v>
      </c>
      <c r="G88" s="18">
        <f t="shared" si="7"/>
        <v>-15</v>
      </c>
      <c r="H88" s="39" t="s">
        <v>21</v>
      </c>
      <c r="I88" s="19"/>
      <c r="J88" s="1" t="s">
        <v>22</v>
      </c>
      <c r="L88" s="20"/>
      <c r="P88" s="20"/>
      <c r="Q88" s="20"/>
    </row>
    <row r="89" spans="1:17" ht="15" customHeight="1">
      <c r="A89" s="42"/>
      <c r="B89" s="44"/>
      <c r="C89" s="46"/>
      <c r="D89" s="48"/>
      <c r="E89" s="21">
        <v>7113</v>
      </c>
      <c r="F89" s="21">
        <v>7097</v>
      </c>
      <c r="G89" s="22">
        <f t="shared" si="7"/>
        <v>-16</v>
      </c>
      <c r="H89" s="40"/>
      <c r="I89" s="23"/>
      <c r="J89" s="1" t="s">
        <v>23</v>
      </c>
      <c r="L89" s="20"/>
      <c r="Q89" s="20"/>
    </row>
    <row r="90" spans="1:17" ht="15" customHeight="1">
      <c r="A90" s="41">
        <v>37</v>
      </c>
      <c r="B90" s="43" t="s">
        <v>40</v>
      </c>
      <c r="C90" s="45" t="str">
        <f>HYPERLINK("https://www.city.osaka.lg.jp/kankyo/cmsfiles/contents/0000025/25420/r60237.xlsx","ＰＣＢ廃棄物の適正処理の推進")</f>
        <v>ＰＣＢ廃棄物の適正処理の推進</v>
      </c>
      <c r="D90" s="47" t="s">
        <v>27</v>
      </c>
      <c r="E90" s="18">
        <v>8155</v>
      </c>
      <c r="F90" s="18">
        <v>7245</v>
      </c>
      <c r="G90" s="18">
        <f t="shared" si="7"/>
        <v>-910</v>
      </c>
      <c r="H90" s="39" t="s">
        <v>21</v>
      </c>
      <c r="I90" s="19"/>
      <c r="J90" s="1" t="s">
        <v>22</v>
      </c>
      <c r="L90" s="20"/>
      <c r="P90" s="20"/>
      <c r="Q90" s="20"/>
    </row>
    <row r="91" spans="1:17" ht="15" customHeight="1">
      <c r="A91" s="42"/>
      <c r="B91" s="44"/>
      <c r="C91" s="46"/>
      <c r="D91" s="48"/>
      <c r="E91" s="21">
        <v>2533</v>
      </c>
      <c r="F91" s="21">
        <v>2424</v>
      </c>
      <c r="G91" s="22">
        <f t="shared" si="7"/>
        <v>-109</v>
      </c>
      <c r="H91" s="40"/>
      <c r="I91" s="23"/>
      <c r="J91" s="1" t="s">
        <v>23</v>
      </c>
      <c r="L91" s="20"/>
      <c r="Q91" s="20"/>
    </row>
    <row r="92" spans="1:17" ht="15" customHeight="1">
      <c r="A92" s="41">
        <v>38</v>
      </c>
      <c r="B92" s="43" t="s">
        <v>40</v>
      </c>
      <c r="C92" s="45" t="str">
        <f>HYPERLINK("https://www.city.osaka.lg.jp/kankyo/cmsfiles/contents/0000025/25420/r60238.xlsx","普通ごみ等収集")</f>
        <v>普通ごみ等収集</v>
      </c>
      <c r="D92" s="47" t="s">
        <v>44</v>
      </c>
      <c r="E92" s="18">
        <v>89044</v>
      </c>
      <c r="F92" s="18">
        <v>75863</v>
      </c>
      <c r="G92" s="18">
        <f t="shared" si="7"/>
        <v>-13181</v>
      </c>
      <c r="H92" s="39" t="s">
        <v>21</v>
      </c>
      <c r="I92" s="19"/>
      <c r="J92" s="1" t="s">
        <v>22</v>
      </c>
      <c r="L92" s="20"/>
      <c r="P92" s="20"/>
      <c r="Q92" s="20"/>
    </row>
    <row r="93" spans="1:17" ht="15" customHeight="1">
      <c r="A93" s="42"/>
      <c r="B93" s="44"/>
      <c r="C93" s="46"/>
      <c r="D93" s="48"/>
      <c r="E93" s="21">
        <v>89044</v>
      </c>
      <c r="F93" s="21">
        <v>75863</v>
      </c>
      <c r="G93" s="22">
        <f t="shared" si="7"/>
        <v>-13181</v>
      </c>
      <c r="H93" s="40"/>
      <c r="I93" s="23"/>
      <c r="J93" s="1" t="s">
        <v>23</v>
      </c>
      <c r="L93" s="20"/>
      <c r="Q93" s="20"/>
    </row>
    <row r="94" spans="1:17" ht="15" customHeight="1">
      <c r="A94" s="41">
        <v>39</v>
      </c>
      <c r="B94" s="43" t="s">
        <v>40</v>
      </c>
      <c r="C94" s="45" t="str">
        <f>HYPERLINK("https://www.city.osaka.lg.jp/kankyo/cmsfiles/contents/0000025/25420/r60239.xlsx","粗大ごみ収集")</f>
        <v>粗大ごみ収集</v>
      </c>
      <c r="D94" s="47" t="s">
        <v>45</v>
      </c>
      <c r="E94" s="18">
        <v>345080</v>
      </c>
      <c r="F94" s="18">
        <v>374645</v>
      </c>
      <c r="G94" s="18">
        <f t="shared" si="7"/>
        <v>29565</v>
      </c>
      <c r="H94" s="39" t="s">
        <v>21</v>
      </c>
      <c r="I94" s="19"/>
      <c r="J94" s="1" t="s">
        <v>22</v>
      </c>
      <c r="L94" s="20"/>
      <c r="P94" s="20"/>
      <c r="Q94" s="20"/>
    </row>
    <row r="95" spans="1:17" ht="15" customHeight="1">
      <c r="A95" s="42"/>
      <c r="B95" s="44"/>
      <c r="C95" s="46"/>
      <c r="D95" s="48"/>
      <c r="E95" s="21">
        <v>345080</v>
      </c>
      <c r="F95" s="21">
        <v>374645</v>
      </c>
      <c r="G95" s="22">
        <f t="shared" si="7"/>
        <v>29565</v>
      </c>
      <c r="H95" s="40"/>
      <c r="I95" s="23"/>
      <c r="J95" s="1" t="s">
        <v>23</v>
      </c>
      <c r="L95" s="20"/>
      <c r="Q95" s="20"/>
    </row>
    <row r="96" spans="1:17" ht="15" customHeight="1">
      <c r="A96" s="41">
        <v>40</v>
      </c>
      <c r="B96" s="43" t="s">
        <v>40</v>
      </c>
      <c r="C96" s="45" t="str">
        <f>HYPERLINK("https://www.city.osaka.lg.jp/kankyo/cmsfiles/contents/0000025/25420/r60240.xlsx","家庭系ごみ収集輸送事業の民間委託")</f>
        <v>家庭系ごみ収集輸送事業の民間委託</v>
      </c>
      <c r="D96" s="47" t="s">
        <v>44</v>
      </c>
      <c r="E96" s="18">
        <v>3202736</v>
      </c>
      <c r="F96" s="18">
        <v>3835439</v>
      </c>
      <c r="G96" s="18">
        <f t="shared" si="7"/>
        <v>632703</v>
      </c>
      <c r="H96" s="39" t="s">
        <v>21</v>
      </c>
      <c r="I96" s="19"/>
      <c r="J96" s="1" t="s">
        <v>22</v>
      </c>
      <c r="L96" s="20"/>
      <c r="P96" s="20"/>
      <c r="Q96" s="20"/>
    </row>
    <row r="97" spans="1:17" ht="15" customHeight="1">
      <c r="A97" s="42"/>
      <c r="B97" s="44"/>
      <c r="C97" s="46"/>
      <c r="D97" s="48"/>
      <c r="E97" s="21">
        <v>3202736</v>
      </c>
      <c r="F97" s="21">
        <v>3835439</v>
      </c>
      <c r="G97" s="22">
        <f t="shared" si="7"/>
        <v>632703</v>
      </c>
      <c r="H97" s="40"/>
      <c r="I97" s="23"/>
      <c r="J97" s="1" t="s">
        <v>23</v>
      </c>
      <c r="L97" s="20"/>
      <c r="Q97" s="20"/>
    </row>
    <row r="98" spans="1:17" ht="15" customHeight="1">
      <c r="A98" s="41">
        <v>41</v>
      </c>
      <c r="B98" s="43" t="s">
        <v>40</v>
      </c>
      <c r="C98" s="45" t="str">
        <f>HYPERLINK("https://www.city.osaka.lg.jp/kankyo/cmsfiles/contents/0000025/25420/r60241.xlsx","環境事業センター管理運営")</f>
        <v>環境事業センター管理運営</v>
      </c>
      <c r="D98" s="47" t="s">
        <v>44</v>
      </c>
      <c r="E98" s="18">
        <v>1229443</v>
      </c>
      <c r="F98" s="18">
        <v>1208464</v>
      </c>
      <c r="G98" s="18">
        <f t="shared" si="7"/>
        <v>-20979</v>
      </c>
      <c r="H98" s="39" t="s">
        <v>21</v>
      </c>
      <c r="I98" s="19"/>
      <c r="J98" s="1" t="s">
        <v>22</v>
      </c>
      <c r="L98" s="20"/>
      <c r="P98" s="20"/>
      <c r="Q98" s="20"/>
    </row>
    <row r="99" spans="1:17" ht="15" customHeight="1">
      <c r="A99" s="42"/>
      <c r="B99" s="44"/>
      <c r="C99" s="46"/>
      <c r="D99" s="48"/>
      <c r="E99" s="21">
        <v>1227849</v>
      </c>
      <c r="F99" s="21">
        <v>1206734</v>
      </c>
      <c r="G99" s="22">
        <f t="shared" si="7"/>
        <v>-21115</v>
      </c>
      <c r="H99" s="40"/>
      <c r="I99" s="23"/>
      <c r="J99" s="1" t="s">
        <v>23</v>
      </c>
      <c r="L99" s="20"/>
      <c r="Q99" s="20"/>
    </row>
    <row r="100" spans="1:17" ht="15" customHeight="1">
      <c r="A100" s="41">
        <v>42</v>
      </c>
      <c r="B100" s="43" t="s">
        <v>40</v>
      </c>
      <c r="C100" s="45" t="str">
        <f>HYPERLINK("https://www.city.osaka.lg.jp/kankyo/cmsfiles/contents/0000025/25420/r60242.xlsx","廃棄物収集機材整備事業")</f>
        <v>廃棄物収集機材整備事業</v>
      </c>
      <c r="D100" s="47" t="s">
        <v>45</v>
      </c>
      <c r="E100" s="18">
        <v>39416</v>
      </c>
      <c r="F100" s="18">
        <v>4278</v>
      </c>
      <c r="G100" s="18">
        <f t="shared" si="7"/>
        <v>-35138</v>
      </c>
      <c r="H100" s="39" t="s">
        <v>21</v>
      </c>
      <c r="I100" s="19"/>
      <c r="J100" s="1" t="s">
        <v>22</v>
      </c>
      <c r="L100" s="20"/>
      <c r="P100" s="20"/>
      <c r="Q100" s="20"/>
    </row>
    <row r="101" spans="1:17" ht="15" customHeight="1">
      <c r="A101" s="42"/>
      <c r="B101" s="44"/>
      <c r="C101" s="46"/>
      <c r="D101" s="48"/>
      <c r="E101" s="21">
        <v>10258</v>
      </c>
      <c r="F101" s="21">
        <v>935</v>
      </c>
      <c r="G101" s="22">
        <f t="shared" si="7"/>
        <v>-9323</v>
      </c>
      <c r="H101" s="40"/>
      <c r="I101" s="23"/>
      <c r="J101" s="1" t="s">
        <v>23</v>
      </c>
      <c r="L101" s="20"/>
      <c r="Q101" s="20"/>
    </row>
    <row r="102" spans="1:17" ht="15" customHeight="1">
      <c r="A102" s="41">
        <v>43</v>
      </c>
      <c r="B102" s="43" t="s">
        <v>40</v>
      </c>
      <c r="C102" s="45" t="str">
        <f>HYPERLINK("https://www.city.osaka.lg.jp/kankyo/cmsfiles/contents/0000025/25420/r60243.xlsx","事故防止対策")</f>
        <v>事故防止対策</v>
      </c>
      <c r="D102" s="47" t="s">
        <v>45</v>
      </c>
      <c r="E102" s="18">
        <v>12391</v>
      </c>
      <c r="F102" s="18">
        <v>11298</v>
      </c>
      <c r="G102" s="18">
        <f t="shared" si="7"/>
        <v>-1093</v>
      </c>
      <c r="H102" s="39" t="s">
        <v>21</v>
      </c>
      <c r="I102" s="19"/>
      <c r="J102" s="1" t="s">
        <v>22</v>
      </c>
      <c r="L102" s="20"/>
      <c r="P102" s="20"/>
      <c r="Q102" s="20"/>
    </row>
    <row r="103" spans="1:17" ht="15" customHeight="1">
      <c r="A103" s="42"/>
      <c r="B103" s="44"/>
      <c r="C103" s="46"/>
      <c r="D103" s="48"/>
      <c r="E103" s="21">
        <v>12391</v>
      </c>
      <c r="F103" s="21">
        <v>11298</v>
      </c>
      <c r="G103" s="22">
        <f t="shared" si="7"/>
        <v>-1093</v>
      </c>
      <c r="H103" s="40"/>
      <c r="I103" s="23"/>
      <c r="J103" s="1" t="s">
        <v>23</v>
      </c>
      <c r="L103" s="20"/>
      <c r="Q103" s="20"/>
    </row>
    <row r="104" spans="1:17" ht="15" customHeight="1">
      <c r="A104" s="41">
        <v>44</v>
      </c>
      <c r="B104" s="43" t="s">
        <v>40</v>
      </c>
      <c r="C104" s="45" t="str">
        <f>HYPERLINK("https://www.city.osaka.lg.jp/kankyo/cmsfiles/contents/0000025/25420/r60244.xlsx","ごみ収集車両登録事務")</f>
        <v>ごみ収集車両登録事務</v>
      </c>
      <c r="D104" s="47" t="s">
        <v>45</v>
      </c>
      <c r="E104" s="18">
        <v>162</v>
      </c>
      <c r="F104" s="18">
        <v>18</v>
      </c>
      <c r="G104" s="18">
        <f t="shared" si="7"/>
        <v>-144</v>
      </c>
      <c r="H104" s="39" t="s">
        <v>21</v>
      </c>
      <c r="I104" s="19"/>
      <c r="J104" s="1" t="s">
        <v>22</v>
      </c>
      <c r="L104" s="20"/>
      <c r="P104" s="20"/>
      <c r="Q104" s="20"/>
    </row>
    <row r="105" spans="1:17" ht="15" customHeight="1">
      <c r="A105" s="42"/>
      <c r="B105" s="44"/>
      <c r="C105" s="46"/>
      <c r="D105" s="48"/>
      <c r="E105" s="21">
        <v>162</v>
      </c>
      <c r="F105" s="21">
        <v>18</v>
      </c>
      <c r="G105" s="22">
        <f t="shared" si="7"/>
        <v>-144</v>
      </c>
      <c r="H105" s="40"/>
      <c r="I105" s="23"/>
      <c r="J105" s="1" t="s">
        <v>23</v>
      </c>
      <c r="L105" s="20"/>
      <c r="Q105" s="20"/>
    </row>
    <row r="106" spans="1:17" ht="15" customHeight="1">
      <c r="A106" s="41">
        <v>45</v>
      </c>
      <c r="B106" s="43" t="s">
        <v>40</v>
      </c>
      <c r="C106" s="45" t="str">
        <f>HYPERLINK("https://www.city.osaka.lg.jp/kankyo/cmsfiles/contents/0000025/25420/r60245.xlsx","ごみ収集車両運行管理システム（ＧＰＳ）運用")</f>
        <v>ごみ収集車両運行管理システム（ＧＰＳ）運用</v>
      </c>
      <c r="D106" s="47" t="s">
        <v>45</v>
      </c>
      <c r="E106" s="18">
        <v>236329</v>
      </c>
      <c r="F106" s="18">
        <v>73227</v>
      </c>
      <c r="G106" s="18">
        <f t="shared" si="7"/>
        <v>-163102</v>
      </c>
      <c r="H106" s="39" t="s">
        <v>21</v>
      </c>
      <c r="I106" s="19"/>
      <c r="J106" s="1" t="s">
        <v>22</v>
      </c>
      <c r="L106" s="20"/>
      <c r="P106" s="20"/>
      <c r="Q106" s="20"/>
    </row>
    <row r="107" spans="1:17" ht="15" customHeight="1">
      <c r="A107" s="42"/>
      <c r="B107" s="44"/>
      <c r="C107" s="46"/>
      <c r="D107" s="48"/>
      <c r="E107" s="21">
        <v>236329</v>
      </c>
      <c r="F107" s="21">
        <v>73227</v>
      </c>
      <c r="G107" s="22">
        <f t="shared" si="7"/>
        <v>-163102</v>
      </c>
      <c r="H107" s="40"/>
      <c r="I107" s="23"/>
      <c r="J107" s="1" t="s">
        <v>23</v>
      </c>
      <c r="L107" s="20"/>
      <c r="Q107" s="20"/>
    </row>
    <row r="108" spans="1:17" ht="15" customHeight="1">
      <c r="A108" s="41">
        <v>46</v>
      </c>
      <c r="B108" s="43" t="s">
        <v>40</v>
      </c>
      <c r="C108" s="45" t="str">
        <f>HYPERLINK("https://www.city.osaka.lg.jp/kankyo/cmsfiles/contents/0000025/25420/r60246.xlsx","不法投棄等環境整備事業")</f>
        <v>不法投棄等環境整備事業</v>
      </c>
      <c r="D108" s="47" t="s">
        <v>45</v>
      </c>
      <c r="E108" s="18">
        <v>26894</v>
      </c>
      <c r="F108" s="18">
        <v>24678</v>
      </c>
      <c r="G108" s="18">
        <f t="shared" si="7"/>
        <v>-2216</v>
      </c>
      <c r="H108" s="39" t="s">
        <v>21</v>
      </c>
      <c r="I108" s="19"/>
      <c r="J108" s="1" t="s">
        <v>22</v>
      </c>
      <c r="L108" s="20"/>
      <c r="P108" s="20"/>
      <c r="Q108" s="20"/>
    </row>
    <row r="109" spans="1:17" ht="15" customHeight="1">
      <c r="A109" s="42"/>
      <c r="B109" s="44"/>
      <c r="C109" s="46"/>
      <c r="D109" s="48"/>
      <c r="E109" s="21">
        <v>26894</v>
      </c>
      <c r="F109" s="21">
        <v>24678</v>
      </c>
      <c r="G109" s="22">
        <f t="shared" si="7"/>
        <v>-2216</v>
      </c>
      <c r="H109" s="40"/>
      <c r="I109" s="23"/>
      <c r="J109" s="1" t="s">
        <v>23</v>
      </c>
      <c r="L109" s="20"/>
      <c r="Q109" s="20"/>
    </row>
    <row r="110" spans="1:17" ht="15" customHeight="1">
      <c r="A110" s="41">
        <v>47</v>
      </c>
      <c r="B110" s="43" t="s">
        <v>40</v>
      </c>
      <c r="C110" s="45" t="str">
        <f>HYPERLINK("https://www.city.osaka.lg.jp/kankyo/cmsfiles/contents/0000025/25420/r60247.xlsx","河川水面清掃事業")</f>
        <v>河川水面清掃事業</v>
      </c>
      <c r="D110" s="47" t="s">
        <v>45</v>
      </c>
      <c r="E110" s="18">
        <v>133739</v>
      </c>
      <c r="F110" s="18">
        <v>134064</v>
      </c>
      <c r="G110" s="18">
        <f t="shared" si="7"/>
        <v>325</v>
      </c>
      <c r="H110" s="39" t="s">
        <v>21</v>
      </c>
      <c r="I110" s="19"/>
      <c r="J110" s="1" t="s">
        <v>22</v>
      </c>
      <c r="L110" s="20"/>
      <c r="P110" s="20"/>
      <c r="Q110" s="20"/>
    </row>
    <row r="111" spans="1:17" ht="15" customHeight="1">
      <c r="A111" s="42"/>
      <c r="B111" s="44"/>
      <c r="C111" s="46"/>
      <c r="D111" s="48"/>
      <c r="E111" s="21">
        <v>49552</v>
      </c>
      <c r="F111" s="21">
        <v>51281</v>
      </c>
      <c r="G111" s="22">
        <f t="shared" si="7"/>
        <v>1729</v>
      </c>
      <c r="H111" s="40"/>
      <c r="I111" s="23"/>
      <c r="J111" s="1" t="s">
        <v>23</v>
      </c>
      <c r="L111" s="20"/>
      <c r="Q111" s="20"/>
    </row>
    <row r="112" spans="1:17" ht="15" customHeight="1">
      <c r="A112" s="41">
        <v>48</v>
      </c>
      <c r="B112" s="43" t="s">
        <v>40</v>
      </c>
      <c r="C112" s="45" t="str">
        <f>HYPERLINK("https://www.city.osaka.lg.jp/kankyo/cmsfiles/contents/0000025/25420/r60248.xlsx","し尿処理事業")</f>
        <v>し尿処理事業</v>
      </c>
      <c r="D112" s="47" t="s">
        <v>45</v>
      </c>
      <c r="E112" s="18">
        <v>14118</v>
      </c>
      <c r="F112" s="18">
        <v>10341</v>
      </c>
      <c r="G112" s="18">
        <f t="shared" si="7"/>
        <v>-3777</v>
      </c>
      <c r="H112" s="39" t="s">
        <v>21</v>
      </c>
      <c r="I112" s="19"/>
      <c r="J112" s="1" t="s">
        <v>22</v>
      </c>
      <c r="L112" s="20"/>
      <c r="P112" s="20"/>
      <c r="Q112" s="20"/>
    </row>
    <row r="113" spans="1:17" ht="15" customHeight="1">
      <c r="A113" s="42"/>
      <c r="B113" s="44"/>
      <c r="C113" s="46"/>
      <c r="D113" s="48"/>
      <c r="E113" s="21">
        <v>14118</v>
      </c>
      <c r="F113" s="21">
        <v>10341</v>
      </c>
      <c r="G113" s="22">
        <f t="shared" si="7"/>
        <v>-3777</v>
      </c>
      <c r="H113" s="40"/>
      <c r="I113" s="23"/>
      <c r="J113" s="1" t="s">
        <v>23</v>
      </c>
      <c r="L113" s="20"/>
      <c r="Q113" s="20"/>
    </row>
    <row r="114" spans="1:17" ht="15" customHeight="1">
      <c r="A114" s="41">
        <v>49</v>
      </c>
      <c r="B114" s="43" t="s">
        <v>40</v>
      </c>
      <c r="C114" s="45" t="str">
        <f>HYPERLINK("https://www.city.osaka.lg.jp/kankyo/cmsfiles/contents/0000025/25420/r60249.xlsx","公衆トイレ維持管理")</f>
        <v>公衆トイレ維持管理</v>
      </c>
      <c r="D114" s="47" t="s">
        <v>45</v>
      </c>
      <c r="E114" s="18">
        <v>49197</v>
      </c>
      <c r="F114" s="18">
        <v>208897</v>
      </c>
      <c r="G114" s="18">
        <f t="shared" si="7"/>
        <v>159700</v>
      </c>
      <c r="H114" s="39" t="s">
        <v>21</v>
      </c>
      <c r="I114" s="19"/>
      <c r="J114" s="1" t="s">
        <v>22</v>
      </c>
      <c r="L114" s="20"/>
      <c r="P114" s="20"/>
      <c r="Q114" s="20"/>
    </row>
    <row r="115" spans="1:17" ht="15" customHeight="1">
      <c r="A115" s="42"/>
      <c r="B115" s="44"/>
      <c r="C115" s="46"/>
      <c r="D115" s="48"/>
      <c r="E115" s="21">
        <v>49197</v>
      </c>
      <c r="F115" s="21">
        <v>116897</v>
      </c>
      <c r="G115" s="22">
        <f t="shared" si="7"/>
        <v>67700</v>
      </c>
      <c r="H115" s="40"/>
      <c r="I115" s="23"/>
      <c r="J115" s="1" t="s">
        <v>23</v>
      </c>
      <c r="L115" s="20"/>
      <c r="Q115" s="20"/>
    </row>
    <row r="116" spans="1:17" ht="15" customHeight="1">
      <c r="A116" s="41">
        <v>50</v>
      </c>
      <c r="B116" s="43" t="s">
        <v>40</v>
      </c>
      <c r="C116" s="45" t="str">
        <f>HYPERLINK("https://www.city.osaka.lg.jp/kankyo/cmsfiles/contents/0000025/25420/r60250.xlsx","「ごみ屋敷」課題解決推進事業")</f>
        <v>「ごみ屋敷」課題解決推進事業</v>
      </c>
      <c r="D116" s="47" t="s">
        <v>45</v>
      </c>
      <c r="E116" s="18">
        <v>400</v>
      </c>
      <c r="F116" s="18">
        <v>400</v>
      </c>
      <c r="G116" s="18">
        <f t="shared" si="7"/>
        <v>0</v>
      </c>
      <c r="H116" s="39" t="s">
        <v>21</v>
      </c>
      <c r="I116" s="19"/>
      <c r="J116" s="1" t="s">
        <v>22</v>
      </c>
      <c r="L116" s="20"/>
      <c r="P116" s="20"/>
      <c r="Q116" s="20"/>
    </row>
    <row r="117" spans="1:17" ht="15" customHeight="1">
      <c r="A117" s="42"/>
      <c r="B117" s="44"/>
      <c r="C117" s="46"/>
      <c r="D117" s="48"/>
      <c r="E117" s="21">
        <v>400</v>
      </c>
      <c r="F117" s="21">
        <v>400</v>
      </c>
      <c r="G117" s="22">
        <f t="shared" si="7"/>
        <v>0</v>
      </c>
      <c r="H117" s="40"/>
      <c r="I117" s="23"/>
      <c r="J117" s="1" t="s">
        <v>23</v>
      </c>
      <c r="L117" s="20"/>
      <c r="Q117" s="20"/>
    </row>
    <row r="118" spans="1:17" ht="15" customHeight="1">
      <c r="A118" s="41">
        <v>51</v>
      </c>
      <c r="B118" s="43" t="s">
        <v>40</v>
      </c>
      <c r="C118" s="45" t="str">
        <f>HYPERLINK("https://www.city.osaka.lg.jp/kankyo/cmsfiles/contents/0000025/25420/r60251.xlsx","焼却処理関係事務費")</f>
        <v>焼却処理関係事務費</v>
      </c>
      <c r="D118" s="47" t="s">
        <v>46</v>
      </c>
      <c r="E118" s="18">
        <v>1702</v>
      </c>
      <c r="F118" s="18">
        <v>1702</v>
      </c>
      <c r="G118" s="18">
        <f t="shared" si="7"/>
        <v>0</v>
      </c>
      <c r="H118" s="39" t="s">
        <v>21</v>
      </c>
      <c r="I118" s="19"/>
      <c r="J118" s="1" t="s">
        <v>22</v>
      </c>
      <c r="L118" s="20"/>
      <c r="P118" s="20"/>
      <c r="Q118" s="20"/>
    </row>
    <row r="119" spans="1:17" ht="15" customHeight="1">
      <c r="A119" s="42"/>
      <c r="B119" s="44"/>
      <c r="C119" s="46"/>
      <c r="D119" s="48"/>
      <c r="E119" s="21">
        <v>1702</v>
      </c>
      <c r="F119" s="21">
        <v>1702</v>
      </c>
      <c r="G119" s="22">
        <f t="shared" si="7"/>
        <v>0</v>
      </c>
      <c r="H119" s="40"/>
      <c r="I119" s="23"/>
      <c r="J119" s="1" t="s">
        <v>23</v>
      </c>
      <c r="L119" s="20"/>
      <c r="Q119" s="20"/>
    </row>
    <row r="120" spans="1:17" ht="15" customHeight="1">
      <c r="A120" s="41">
        <v>52</v>
      </c>
      <c r="B120" s="43" t="s">
        <v>40</v>
      </c>
      <c r="C120" s="45" t="str">
        <f>HYPERLINK("https://www.city.osaka.lg.jp/kankyo/cmsfiles/contents/0000025/25420/r60252.xlsx","汚染負荷量賦課金")</f>
        <v>汚染負荷量賦課金</v>
      </c>
      <c r="D120" s="47" t="s">
        <v>47</v>
      </c>
      <c r="E120" s="18">
        <v>30408</v>
      </c>
      <c r="F120" s="18">
        <v>28844</v>
      </c>
      <c r="G120" s="18">
        <f t="shared" si="7"/>
        <v>-1564</v>
      </c>
      <c r="H120" s="39" t="s">
        <v>21</v>
      </c>
      <c r="I120" s="19"/>
      <c r="J120" s="1" t="s">
        <v>22</v>
      </c>
      <c r="L120" s="20"/>
      <c r="P120" s="20"/>
      <c r="Q120" s="20"/>
    </row>
    <row r="121" spans="1:17" ht="15" customHeight="1">
      <c r="A121" s="42"/>
      <c r="B121" s="44"/>
      <c r="C121" s="46"/>
      <c r="D121" s="48"/>
      <c r="E121" s="21">
        <v>30408</v>
      </c>
      <c r="F121" s="21">
        <v>28844</v>
      </c>
      <c r="G121" s="22">
        <f t="shared" si="7"/>
        <v>-1564</v>
      </c>
      <c r="H121" s="40"/>
      <c r="I121" s="23"/>
      <c r="J121" s="1" t="s">
        <v>23</v>
      </c>
      <c r="L121" s="20"/>
      <c r="Q121" s="20"/>
    </row>
    <row r="122" spans="1:17" ht="15" customHeight="1">
      <c r="A122" s="41">
        <v>53</v>
      </c>
      <c r="B122" s="43" t="s">
        <v>40</v>
      </c>
      <c r="C122" s="45" t="str">
        <f>HYPERLINK("https://www.city.osaka.lg.jp/kankyo/cmsfiles/contents/0000025/25420/r60253.xlsx","焼却工場関連施設管理運営")</f>
        <v>焼却工場関連施設管理運営</v>
      </c>
      <c r="D122" s="47" t="s">
        <v>47</v>
      </c>
      <c r="E122" s="18">
        <v>328967</v>
      </c>
      <c r="F122" s="18">
        <v>471990</v>
      </c>
      <c r="G122" s="18">
        <f t="shared" si="7"/>
        <v>143023</v>
      </c>
      <c r="H122" s="39" t="s">
        <v>30</v>
      </c>
      <c r="I122" s="19">
        <v>172251</v>
      </c>
      <c r="J122" s="1" t="s">
        <v>22</v>
      </c>
      <c r="K122" s="1" t="s">
        <v>31</v>
      </c>
      <c r="L122" s="20"/>
      <c r="P122" s="20"/>
      <c r="Q122" s="20"/>
    </row>
    <row r="123" spans="1:17" ht="15" customHeight="1">
      <c r="A123" s="42"/>
      <c r="B123" s="44"/>
      <c r="C123" s="46"/>
      <c r="D123" s="48"/>
      <c r="E123" s="21">
        <v>323949</v>
      </c>
      <c r="F123" s="21">
        <v>398991</v>
      </c>
      <c r="G123" s="22">
        <f t="shared" si="7"/>
        <v>75042</v>
      </c>
      <c r="H123" s="40"/>
      <c r="I123" s="23">
        <v>168252</v>
      </c>
      <c r="J123" s="1" t="s">
        <v>23</v>
      </c>
      <c r="K123" s="1" t="s">
        <v>32</v>
      </c>
      <c r="L123" s="20"/>
      <c r="Q123" s="20"/>
    </row>
    <row r="124" spans="1:17" ht="15" customHeight="1">
      <c r="A124" s="41">
        <v>54</v>
      </c>
      <c r="B124" s="43" t="s">
        <v>40</v>
      </c>
      <c r="C124" s="45" t="str">
        <f>HYPERLINK("https://www.city.osaka.lg.jp/kankyo/cmsfiles/contents/0000025/25420/r60254.xlsx","焼却工場跡地等管理事業")</f>
        <v>焼却工場跡地等管理事業</v>
      </c>
      <c r="D124" s="47" t="s">
        <v>47</v>
      </c>
      <c r="E124" s="18">
        <v>663819</v>
      </c>
      <c r="F124" s="18">
        <f>45769+3300</f>
        <v>49069</v>
      </c>
      <c r="G124" s="18">
        <f t="shared" si="7"/>
        <v>-614750</v>
      </c>
      <c r="H124" s="39" t="s">
        <v>30</v>
      </c>
      <c r="I124" s="19">
        <v>1518</v>
      </c>
      <c r="J124" s="1" t="s">
        <v>22</v>
      </c>
      <c r="K124" s="1" t="s">
        <v>31</v>
      </c>
      <c r="L124" s="20"/>
      <c r="P124" s="20"/>
      <c r="Q124" s="20"/>
    </row>
    <row r="125" spans="1:17" ht="15" customHeight="1">
      <c r="A125" s="42"/>
      <c r="B125" s="44"/>
      <c r="C125" s="46"/>
      <c r="D125" s="48"/>
      <c r="E125" s="21">
        <v>139819</v>
      </c>
      <c r="F125" s="21">
        <v>49069</v>
      </c>
      <c r="G125" s="22">
        <f t="shared" si="7"/>
        <v>-90750</v>
      </c>
      <c r="H125" s="40"/>
      <c r="I125" s="23">
        <v>1518</v>
      </c>
      <c r="J125" s="1" t="s">
        <v>23</v>
      </c>
      <c r="K125" s="1" t="s">
        <v>32</v>
      </c>
      <c r="L125" s="20"/>
      <c r="Q125" s="20"/>
    </row>
    <row r="126" spans="1:17" ht="15" customHeight="1">
      <c r="A126" s="41">
        <v>55</v>
      </c>
      <c r="B126" s="43" t="s">
        <v>40</v>
      </c>
      <c r="C126" s="45" t="str">
        <f>HYPERLINK("https://www.city.osaka.lg.jp/kankyo/cmsfiles/contents/0000025/25420/r60255.xlsx","フェニックス計画の推進")</f>
        <v>フェニックス計画の推進</v>
      </c>
      <c r="D126" s="47" t="s">
        <v>36</v>
      </c>
      <c r="E126" s="18">
        <v>50718</v>
      </c>
      <c r="F126" s="18">
        <v>49629</v>
      </c>
      <c r="G126" s="18">
        <f t="shared" si="7"/>
        <v>-1089</v>
      </c>
      <c r="H126" s="39" t="s">
        <v>21</v>
      </c>
      <c r="I126" s="19"/>
      <c r="J126" s="1" t="s">
        <v>22</v>
      </c>
      <c r="L126" s="20"/>
      <c r="P126" s="20"/>
      <c r="Q126" s="20"/>
    </row>
    <row r="127" spans="1:17" ht="15" customHeight="1">
      <c r="A127" s="42"/>
      <c r="B127" s="44"/>
      <c r="C127" s="46"/>
      <c r="D127" s="48"/>
      <c r="E127" s="21">
        <v>5718</v>
      </c>
      <c r="F127" s="21">
        <v>5629</v>
      </c>
      <c r="G127" s="22">
        <f t="shared" si="7"/>
        <v>-89</v>
      </c>
      <c r="H127" s="40"/>
      <c r="I127" s="23"/>
      <c r="J127" s="1" t="s">
        <v>23</v>
      </c>
      <c r="L127" s="20"/>
      <c r="Q127" s="20"/>
    </row>
    <row r="128" spans="1:17" ht="15" customHeight="1">
      <c r="A128" s="41">
        <v>56</v>
      </c>
      <c r="B128" s="43" t="s">
        <v>40</v>
      </c>
      <c r="C128" s="45" t="str">
        <f>HYPERLINK("https://www.city.osaka.lg.jp/kankyo/cmsfiles/contents/0000025/25420/r60256.xlsx","大阪広域環境施設組合分担金")</f>
        <v>大阪広域環境施設組合分担金</v>
      </c>
      <c r="D128" s="47" t="s">
        <v>36</v>
      </c>
      <c r="E128" s="18">
        <v>10917968</v>
      </c>
      <c r="F128" s="18">
        <v>12460410</v>
      </c>
      <c r="G128" s="18">
        <f t="shared" si="7"/>
        <v>1542442</v>
      </c>
      <c r="H128" s="39" t="s">
        <v>21</v>
      </c>
      <c r="I128" s="19"/>
      <c r="J128" s="1" t="s">
        <v>22</v>
      </c>
      <c r="L128" s="20"/>
      <c r="P128" s="20"/>
      <c r="Q128" s="20"/>
    </row>
    <row r="129" spans="1:17" ht="15" customHeight="1">
      <c r="A129" s="42"/>
      <c r="B129" s="44"/>
      <c r="C129" s="46"/>
      <c r="D129" s="48"/>
      <c r="E129" s="21">
        <v>10917968</v>
      </c>
      <c r="F129" s="21">
        <v>12460410</v>
      </c>
      <c r="G129" s="22">
        <f t="shared" si="7"/>
        <v>1542442</v>
      </c>
      <c r="H129" s="40"/>
      <c r="I129" s="23"/>
      <c r="J129" s="1" t="s">
        <v>23</v>
      </c>
      <c r="L129" s="20"/>
      <c r="Q129" s="20"/>
    </row>
    <row r="130" spans="1:17" ht="15" customHeight="1">
      <c r="A130" s="41">
        <v>57</v>
      </c>
      <c r="B130" s="43" t="s">
        <v>40</v>
      </c>
      <c r="C130" s="45" t="str">
        <f>HYPERLINK("https://www.city.osaka.lg.jp/kankyo/cmsfiles/contents/0000025/25420/r60257.xlsx","南港ポートタウン一般廃棄物中継施設管理運営")</f>
        <v>南港ポートタウン一般廃棄物中継施設管理運営</v>
      </c>
      <c r="D130" s="47" t="s">
        <v>47</v>
      </c>
      <c r="E130" s="18">
        <v>213944</v>
      </c>
      <c r="F130" s="18">
        <v>222733</v>
      </c>
      <c r="G130" s="18">
        <f t="shared" si="7"/>
        <v>8789</v>
      </c>
      <c r="H130" s="39" t="s">
        <v>21</v>
      </c>
      <c r="I130" s="19"/>
      <c r="J130" s="1" t="s">
        <v>22</v>
      </c>
      <c r="L130" s="20"/>
      <c r="P130" s="20"/>
      <c r="Q130" s="20"/>
    </row>
    <row r="131" spans="1:17" ht="15" customHeight="1">
      <c r="A131" s="42"/>
      <c r="B131" s="44"/>
      <c r="C131" s="46"/>
      <c r="D131" s="48"/>
      <c r="E131" s="21">
        <v>213944</v>
      </c>
      <c r="F131" s="21">
        <v>222733</v>
      </c>
      <c r="G131" s="22">
        <f t="shared" si="7"/>
        <v>8789</v>
      </c>
      <c r="H131" s="40"/>
      <c r="I131" s="23"/>
      <c r="J131" s="1" t="s">
        <v>23</v>
      </c>
      <c r="L131" s="20"/>
      <c r="Q131" s="20"/>
    </row>
    <row r="132" spans="1:17" ht="22.5" customHeight="1">
      <c r="A132" s="57">
        <v>58</v>
      </c>
      <c r="B132" s="58" t="s">
        <v>40</v>
      </c>
      <c r="C132" s="45" t="str">
        <f>HYPERLINK("https://www.city.osaka.lg.jp/kankyo/cmsfiles/contents/0000025/25420/r60258.xlsx","家庭系ごみ収集輸送事業改革プラン3.0の取組にかかる検討")</f>
        <v>家庭系ごみ収集輸送事業改革プラン3.0の取組にかかる検討</v>
      </c>
      <c r="D132" s="59" t="s">
        <v>36</v>
      </c>
      <c r="E132" s="24">
        <v>124</v>
      </c>
      <c r="F132" s="24">
        <v>1883</v>
      </c>
      <c r="G132" s="24">
        <f t="shared" si="7"/>
        <v>1759</v>
      </c>
      <c r="H132" s="60" t="s">
        <v>21</v>
      </c>
      <c r="I132" s="25"/>
      <c r="J132" s="1" t="s">
        <v>22</v>
      </c>
      <c r="L132" s="20"/>
      <c r="P132" s="20"/>
      <c r="Q132" s="20"/>
    </row>
    <row r="133" spans="1:17" ht="22.5" customHeight="1">
      <c r="A133" s="42"/>
      <c r="B133" s="44"/>
      <c r="C133" s="46"/>
      <c r="D133" s="48"/>
      <c r="E133" s="21">
        <v>124</v>
      </c>
      <c r="F133" s="21">
        <v>1883</v>
      </c>
      <c r="G133" s="22">
        <f t="shared" si="7"/>
        <v>1759</v>
      </c>
      <c r="H133" s="40"/>
      <c r="I133" s="23"/>
      <c r="J133" s="1" t="s">
        <v>23</v>
      </c>
      <c r="L133" s="20"/>
      <c r="Q133" s="20"/>
    </row>
    <row r="134" spans="1:17" ht="15" customHeight="1">
      <c r="A134" s="33" t="s">
        <v>48</v>
      </c>
      <c r="B134" s="34"/>
      <c r="C134" s="34"/>
      <c r="D134" s="35"/>
      <c r="E134" s="18">
        <f>SUM(E78,E80,E82,E84,E86,E88,E90,E92,E94,E96,E98,E100,E102,E104,E106,E108,E110,E112,E114,E116,E118,E120,E122,E124,E126,E128,E130,E132)</f>
        <v>17751331</v>
      </c>
      <c r="F134" s="18">
        <f t="shared" ref="F134:G134" si="8">SUM(F78,F80,F82,F84,F86,F88,F90,F92,F94,F96,F98,F100,F102,F104,F106,F108,F110,F112,F114,F116,F118,F120,F122,F124,F126,F128,F130,F132)</f>
        <v>19406743</v>
      </c>
      <c r="G134" s="24">
        <f t="shared" si="8"/>
        <v>1655412</v>
      </c>
      <c r="H134" s="39"/>
      <c r="I134" s="25"/>
      <c r="M134" s="20"/>
      <c r="Q134" s="20"/>
    </row>
    <row r="135" spans="1:17" ht="15" customHeight="1">
      <c r="A135" s="36"/>
      <c r="B135" s="37"/>
      <c r="C135" s="37"/>
      <c r="D135" s="38"/>
      <c r="E135" s="21">
        <f t="shared" ref="E135:G135" si="9">SUM(E79,E81,E83,E85,E87,E89,E91,E93,E95,E97,E99,E101,E103,E105,E107,E109,E111,E113,E115,E117,E119,E121,E123,E125,E127,E129,E131,E133)</f>
        <v>17056711</v>
      </c>
      <c r="F135" s="21">
        <f t="shared" si="9"/>
        <v>19105025</v>
      </c>
      <c r="G135" s="22">
        <f t="shared" si="9"/>
        <v>2048314</v>
      </c>
      <c r="H135" s="40"/>
      <c r="I135" s="23"/>
      <c r="M135" s="27"/>
      <c r="Q135" s="20"/>
    </row>
    <row r="136" spans="1:17" ht="15" customHeight="1">
      <c r="A136" s="41">
        <v>59</v>
      </c>
      <c r="B136" s="43" t="s">
        <v>49</v>
      </c>
      <c r="C136" s="45" t="str">
        <f>HYPERLINK("https://www.city.osaka.lg.jp/kankyo/cmsfiles/contents/0000025/25420/r60259.xlsx","減量美化推進関係事務費")</f>
        <v>減量美化推進関係事務費</v>
      </c>
      <c r="D136" s="47" t="s">
        <v>50</v>
      </c>
      <c r="E136" s="18">
        <v>1981</v>
      </c>
      <c r="F136" s="18">
        <v>2028</v>
      </c>
      <c r="G136" s="18">
        <f t="shared" si="7"/>
        <v>47</v>
      </c>
      <c r="H136" s="39" t="s">
        <v>21</v>
      </c>
      <c r="I136" s="19"/>
      <c r="J136" s="1" t="s">
        <v>22</v>
      </c>
      <c r="L136" s="20"/>
      <c r="P136" s="20"/>
      <c r="Q136" s="20"/>
    </row>
    <row r="137" spans="1:17" ht="15" customHeight="1">
      <c r="A137" s="42"/>
      <c r="B137" s="44"/>
      <c r="C137" s="46"/>
      <c r="D137" s="48"/>
      <c r="E137" s="21">
        <v>1981</v>
      </c>
      <c r="F137" s="21">
        <v>2028</v>
      </c>
      <c r="G137" s="22">
        <f t="shared" si="7"/>
        <v>47</v>
      </c>
      <c r="H137" s="40"/>
      <c r="I137" s="23"/>
      <c r="J137" s="1" t="s">
        <v>23</v>
      </c>
      <c r="L137" s="20"/>
      <c r="Q137" s="20"/>
    </row>
    <row r="138" spans="1:17" ht="15" customHeight="1">
      <c r="A138" s="41">
        <v>60</v>
      </c>
      <c r="B138" s="43" t="s">
        <v>49</v>
      </c>
      <c r="C138" s="45" t="str">
        <f>HYPERLINK("https://www.city.osaka.lg.jp/kankyo/cmsfiles/contents/0000025/25420/r60260.xlsx","容器包装プラスチックの再商品化")</f>
        <v>容器包装プラスチックの再商品化</v>
      </c>
      <c r="D138" s="47" t="s">
        <v>50</v>
      </c>
      <c r="E138" s="18">
        <v>533720</v>
      </c>
      <c r="F138" s="18">
        <v>595149</v>
      </c>
      <c r="G138" s="18">
        <f t="shared" si="7"/>
        <v>61429</v>
      </c>
      <c r="H138" s="39" t="s">
        <v>21</v>
      </c>
      <c r="I138" s="19"/>
      <c r="J138" s="1" t="s">
        <v>22</v>
      </c>
      <c r="L138" s="20"/>
      <c r="P138" s="20"/>
      <c r="Q138" s="20"/>
    </row>
    <row r="139" spans="1:17" ht="15" customHeight="1">
      <c r="A139" s="42"/>
      <c r="B139" s="44"/>
      <c r="C139" s="46"/>
      <c r="D139" s="48"/>
      <c r="E139" s="21">
        <v>533720</v>
      </c>
      <c r="F139" s="21">
        <v>595149</v>
      </c>
      <c r="G139" s="22">
        <f t="shared" si="7"/>
        <v>61429</v>
      </c>
      <c r="H139" s="40"/>
      <c r="I139" s="23"/>
      <c r="J139" s="1" t="s">
        <v>23</v>
      </c>
      <c r="L139" s="20"/>
      <c r="Q139" s="20"/>
    </row>
    <row r="140" spans="1:17" ht="15" customHeight="1">
      <c r="A140" s="41">
        <v>61</v>
      </c>
      <c r="B140" s="43" t="s">
        <v>49</v>
      </c>
      <c r="C140" s="45" t="str">
        <f>HYPERLINK("https://www.city.osaka.lg.jp/kankyo/cmsfiles/contents/0000025/25420/r60261.xlsx","資源ごみの再資源化")</f>
        <v>資源ごみの再資源化</v>
      </c>
      <c r="D140" s="47" t="s">
        <v>50</v>
      </c>
      <c r="E140" s="18">
        <v>270310</v>
      </c>
      <c r="F140" s="18">
        <v>307327</v>
      </c>
      <c r="G140" s="18">
        <f t="shared" si="7"/>
        <v>37017</v>
      </c>
      <c r="H140" s="39" t="s">
        <v>21</v>
      </c>
      <c r="I140" s="19"/>
      <c r="J140" s="1" t="s">
        <v>22</v>
      </c>
      <c r="L140" s="20"/>
      <c r="P140" s="20"/>
      <c r="Q140" s="20"/>
    </row>
    <row r="141" spans="1:17" ht="15" customHeight="1">
      <c r="A141" s="42"/>
      <c r="B141" s="44"/>
      <c r="C141" s="46"/>
      <c r="D141" s="48"/>
      <c r="E141" s="21">
        <v>270310</v>
      </c>
      <c r="F141" s="21">
        <v>307327</v>
      </c>
      <c r="G141" s="22">
        <f t="shared" si="7"/>
        <v>37017</v>
      </c>
      <c r="H141" s="40"/>
      <c r="I141" s="23"/>
      <c r="J141" s="1" t="s">
        <v>23</v>
      </c>
      <c r="L141" s="20"/>
      <c r="Q141" s="20"/>
    </row>
    <row r="142" spans="1:17" ht="15" customHeight="1">
      <c r="A142" s="41">
        <v>62</v>
      </c>
      <c r="B142" s="43" t="s">
        <v>49</v>
      </c>
      <c r="C142" s="45" t="str">
        <f>HYPERLINK("https://www.city.osaka.lg.jp/kankyo/cmsfiles/contents/0000025/25420/r60262.xlsx","古紙・衣類分別収集にかかる啓発")</f>
        <v>古紙・衣類分別収集にかかる啓発</v>
      </c>
      <c r="D142" s="47" t="s">
        <v>51</v>
      </c>
      <c r="E142" s="18">
        <v>10347</v>
      </c>
      <c r="F142" s="18">
        <v>11209</v>
      </c>
      <c r="G142" s="18">
        <f t="shared" ref="G142:G187" si="10">F142-E142</f>
        <v>862</v>
      </c>
      <c r="H142" s="39" t="s">
        <v>21</v>
      </c>
      <c r="I142" s="19"/>
      <c r="J142" s="1" t="s">
        <v>22</v>
      </c>
      <c r="L142" s="20"/>
      <c r="P142" s="20"/>
      <c r="Q142" s="20"/>
    </row>
    <row r="143" spans="1:17" ht="15" customHeight="1">
      <c r="A143" s="42"/>
      <c r="B143" s="44"/>
      <c r="C143" s="46"/>
      <c r="D143" s="48"/>
      <c r="E143" s="21">
        <v>10347</v>
      </c>
      <c r="F143" s="21">
        <v>11209</v>
      </c>
      <c r="G143" s="22">
        <f t="shared" si="10"/>
        <v>862</v>
      </c>
      <c r="H143" s="40"/>
      <c r="I143" s="23"/>
      <c r="J143" s="1" t="s">
        <v>23</v>
      </c>
      <c r="L143" s="20"/>
      <c r="Q143" s="20"/>
    </row>
    <row r="144" spans="1:17" ht="15" customHeight="1">
      <c r="A144" s="41">
        <v>63</v>
      </c>
      <c r="B144" s="43" t="s">
        <v>49</v>
      </c>
      <c r="C144" s="45" t="str">
        <f>HYPERLINK("https://www.city.osaka.lg.jp/kankyo/cmsfiles/contents/0000025/25420/r60263.xlsx","ごみ減量・３Ｒ啓発推進事業")</f>
        <v>ごみ減量・３Ｒ啓発推進事業</v>
      </c>
      <c r="D144" s="47" t="s">
        <v>51</v>
      </c>
      <c r="E144" s="18">
        <v>1941</v>
      </c>
      <c r="F144" s="18">
        <v>1941</v>
      </c>
      <c r="G144" s="18">
        <f t="shared" si="10"/>
        <v>0</v>
      </c>
      <c r="H144" s="39" t="s">
        <v>30</v>
      </c>
      <c r="I144" s="19">
        <v>1941</v>
      </c>
      <c r="J144" s="1" t="s">
        <v>22</v>
      </c>
      <c r="K144" s="1" t="s">
        <v>31</v>
      </c>
      <c r="L144" s="20"/>
      <c r="P144" s="20"/>
      <c r="Q144" s="20"/>
    </row>
    <row r="145" spans="1:17" ht="15" customHeight="1">
      <c r="A145" s="42"/>
      <c r="B145" s="44"/>
      <c r="C145" s="46"/>
      <c r="D145" s="48"/>
      <c r="E145" s="21">
        <v>1941</v>
      </c>
      <c r="F145" s="21">
        <v>1941</v>
      </c>
      <c r="G145" s="22">
        <f t="shared" si="10"/>
        <v>0</v>
      </c>
      <c r="H145" s="40"/>
      <c r="I145" s="23">
        <v>1941</v>
      </c>
      <c r="J145" s="1" t="s">
        <v>23</v>
      </c>
      <c r="K145" s="1" t="s">
        <v>32</v>
      </c>
      <c r="L145" s="20"/>
      <c r="Q145" s="20"/>
    </row>
    <row r="146" spans="1:17" ht="15" customHeight="1">
      <c r="A146" s="41">
        <v>64</v>
      </c>
      <c r="B146" s="43" t="s">
        <v>49</v>
      </c>
      <c r="C146" s="45" t="str">
        <f>HYPERLINK("https://www.city.osaka.lg.jp/kankyo/cmsfiles/contents/0000025/25420/r60264.xlsx","集合式住宅における分別排出促進の啓発")</f>
        <v>集合式住宅における分別排出促進の啓発</v>
      </c>
      <c r="D146" s="47" t="s">
        <v>51</v>
      </c>
      <c r="E146" s="18">
        <v>255</v>
      </c>
      <c r="F146" s="18">
        <v>255</v>
      </c>
      <c r="G146" s="18">
        <f t="shared" si="10"/>
        <v>0</v>
      </c>
      <c r="H146" s="39" t="s">
        <v>30</v>
      </c>
      <c r="I146" s="19">
        <v>255</v>
      </c>
      <c r="J146" s="1" t="s">
        <v>22</v>
      </c>
      <c r="K146" s="1" t="s">
        <v>31</v>
      </c>
      <c r="L146" s="20"/>
      <c r="P146" s="20"/>
      <c r="Q146" s="20"/>
    </row>
    <row r="147" spans="1:17" ht="15" customHeight="1">
      <c r="A147" s="42"/>
      <c r="B147" s="44"/>
      <c r="C147" s="46"/>
      <c r="D147" s="48"/>
      <c r="E147" s="21">
        <v>255</v>
      </c>
      <c r="F147" s="21">
        <v>255</v>
      </c>
      <c r="G147" s="22">
        <f t="shared" si="10"/>
        <v>0</v>
      </c>
      <c r="H147" s="40"/>
      <c r="I147" s="23">
        <v>255</v>
      </c>
      <c r="J147" s="1" t="s">
        <v>23</v>
      </c>
      <c r="K147" s="1" t="s">
        <v>32</v>
      </c>
      <c r="L147" s="20"/>
      <c r="Q147" s="20"/>
    </row>
    <row r="148" spans="1:17" ht="15" customHeight="1">
      <c r="A148" s="41">
        <v>65</v>
      </c>
      <c r="B148" s="43" t="s">
        <v>49</v>
      </c>
      <c r="C148" s="45" t="str">
        <f>HYPERLINK("https://www.city.osaka.lg.jp/kankyo/cmsfiles/contents/0000025/25420/r60265.xlsx","地域との連携によるごみ減量・リサイクルの取組推進")</f>
        <v>地域との連携によるごみ減量・リサイクルの取組推進</v>
      </c>
      <c r="D148" s="47" t="s">
        <v>50</v>
      </c>
      <c r="E148" s="18">
        <v>14876</v>
      </c>
      <c r="F148" s="18">
        <v>14838</v>
      </c>
      <c r="G148" s="18">
        <f t="shared" si="10"/>
        <v>-38</v>
      </c>
      <c r="H148" s="39" t="s">
        <v>30</v>
      </c>
      <c r="I148" s="19">
        <v>7620</v>
      </c>
      <c r="J148" s="1" t="s">
        <v>22</v>
      </c>
      <c r="K148" s="1" t="s">
        <v>31</v>
      </c>
      <c r="L148" s="20"/>
      <c r="P148" s="20"/>
      <c r="Q148" s="20"/>
    </row>
    <row r="149" spans="1:17" ht="15" customHeight="1">
      <c r="A149" s="42"/>
      <c r="B149" s="44"/>
      <c r="C149" s="46"/>
      <c r="D149" s="48"/>
      <c r="E149" s="21">
        <v>13561</v>
      </c>
      <c r="F149" s="21">
        <v>13537</v>
      </c>
      <c r="G149" s="22">
        <f t="shared" si="10"/>
        <v>-24</v>
      </c>
      <c r="H149" s="40"/>
      <c r="I149" s="23">
        <v>7620</v>
      </c>
      <c r="J149" s="1" t="s">
        <v>23</v>
      </c>
      <c r="K149" s="1" t="s">
        <v>32</v>
      </c>
      <c r="L149" s="20"/>
      <c r="Q149" s="20"/>
    </row>
    <row r="150" spans="1:17" ht="15" customHeight="1">
      <c r="A150" s="41">
        <v>66</v>
      </c>
      <c r="B150" s="43" t="s">
        <v>49</v>
      </c>
      <c r="C150" s="45" t="str">
        <f>HYPERLINK("https://www.city.osaka.lg.jp/kankyo/cmsfiles/contents/0000025/25420/r60266.xlsx","事業系廃棄物の減量および適正処理の推進")</f>
        <v>事業系廃棄物の減量および適正処理の推進</v>
      </c>
      <c r="D150" s="47" t="s">
        <v>43</v>
      </c>
      <c r="E150" s="18">
        <v>82077</v>
      </c>
      <c r="F150" s="18">
        <v>82286</v>
      </c>
      <c r="G150" s="18">
        <f t="shared" si="10"/>
        <v>209</v>
      </c>
      <c r="H150" s="39" t="s">
        <v>21</v>
      </c>
      <c r="I150" s="19"/>
      <c r="J150" s="1" t="s">
        <v>22</v>
      </c>
      <c r="L150" s="20"/>
      <c r="P150" s="20"/>
      <c r="Q150" s="20"/>
    </row>
    <row r="151" spans="1:17" ht="15" customHeight="1">
      <c r="A151" s="42"/>
      <c r="B151" s="44"/>
      <c r="C151" s="46"/>
      <c r="D151" s="48"/>
      <c r="E151" s="21">
        <v>82077</v>
      </c>
      <c r="F151" s="21">
        <v>82286</v>
      </c>
      <c r="G151" s="22">
        <f t="shared" si="10"/>
        <v>209</v>
      </c>
      <c r="H151" s="40"/>
      <c r="I151" s="23"/>
      <c r="J151" s="1" t="s">
        <v>23</v>
      </c>
      <c r="L151" s="20"/>
      <c r="Q151" s="20"/>
    </row>
    <row r="152" spans="1:17" ht="15" customHeight="1">
      <c r="A152" s="41">
        <v>67</v>
      </c>
      <c r="B152" s="43" t="s">
        <v>49</v>
      </c>
      <c r="C152" s="45" t="str">
        <f>HYPERLINK("https://www.city.osaka.lg.jp/kankyo/cmsfiles/contents/0000025/25420/r60267.xlsx","資源集団回収活動の推進")</f>
        <v>資源集団回収活動の推進</v>
      </c>
      <c r="D152" s="47" t="s">
        <v>51</v>
      </c>
      <c r="E152" s="18">
        <v>130407</v>
      </c>
      <c r="F152" s="18">
        <v>124171</v>
      </c>
      <c r="G152" s="18">
        <f t="shared" si="10"/>
        <v>-6236</v>
      </c>
      <c r="H152" s="39" t="s">
        <v>30</v>
      </c>
      <c r="I152" s="19">
        <v>103</v>
      </c>
      <c r="J152" s="1" t="s">
        <v>22</v>
      </c>
      <c r="K152" s="1" t="s">
        <v>31</v>
      </c>
      <c r="L152" s="20"/>
      <c r="P152" s="20"/>
      <c r="Q152" s="20"/>
    </row>
    <row r="153" spans="1:17" ht="15" customHeight="1">
      <c r="A153" s="42"/>
      <c r="B153" s="44"/>
      <c r="C153" s="46"/>
      <c r="D153" s="48"/>
      <c r="E153" s="21">
        <v>130407</v>
      </c>
      <c r="F153" s="21">
        <v>124171</v>
      </c>
      <c r="G153" s="22">
        <f t="shared" si="10"/>
        <v>-6236</v>
      </c>
      <c r="H153" s="40"/>
      <c r="I153" s="23">
        <v>103</v>
      </c>
      <c r="J153" s="1" t="s">
        <v>23</v>
      </c>
      <c r="K153" s="1" t="s">
        <v>32</v>
      </c>
      <c r="L153" s="20"/>
      <c r="Q153" s="20"/>
    </row>
    <row r="154" spans="1:17" ht="15" customHeight="1">
      <c r="A154" s="41">
        <v>68</v>
      </c>
      <c r="B154" s="43" t="s">
        <v>49</v>
      </c>
      <c r="C154" s="45" t="str">
        <f>HYPERLINK("https://www.city.osaka.lg.jp/kankyo/cmsfiles/contents/0000025/25420/r60268.xlsx","拠点回収事業")</f>
        <v>拠点回収事業</v>
      </c>
      <c r="D154" s="47" t="s">
        <v>51</v>
      </c>
      <c r="E154" s="18">
        <v>18904</v>
      </c>
      <c r="F154" s="18">
        <v>35042</v>
      </c>
      <c r="G154" s="18">
        <f t="shared" si="10"/>
        <v>16138</v>
      </c>
      <c r="H154" s="39" t="s">
        <v>21</v>
      </c>
      <c r="I154" s="19"/>
      <c r="J154" s="1" t="s">
        <v>22</v>
      </c>
      <c r="L154" s="20"/>
      <c r="P154" s="20"/>
      <c r="Q154" s="20"/>
    </row>
    <row r="155" spans="1:17" ht="15" customHeight="1">
      <c r="A155" s="42"/>
      <c r="B155" s="44"/>
      <c r="C155" s="46"/>
      <c r="D155" s="48"/>
      <c r="E155" s="21">
        <v>18904</v>
      </c>
      <c r="F155" s="21">
        <v>35042</v>
      </c>
      <c r="G155" s="22">
        <f t="shared" si="10"/>
        <v>16138</v>
      </c>
      <c r="H155" s="40"/>
      <c r="I155" s="23"/>
      <c r="J155" s="1" t="s">
        <v>23</v>
      </c>
      <c r="L155" s="20"/>
      <c r="Q155" s="20"/>
    </row>
    <row r="156" spans="1:17" ht="15" customHeight="1">
      <c r="A156" s="41">
        <v>69</v>
      </c>
      <c r="B156" s="43" t="s">
        <v>49</v>
      </c>
      <c r="C156" s="45" t="str">
        <f>HYPERLINK("https://www.city.osaka.lg.jp/kankyo/cmsfiles/contents/0000025/25420/r60269.xlsx","不法投棄家電処理事業")</f>
        <v>不法投棄家電処理事業</v>
      </c>
      <c r="D156" s="47" t="s">
        <v>51</v>
      </c>
      <c r="E156" s="18">
        <v>4577</v>
      </c>
      <c r="F156" s="18">
        <v>4675</v>
      </c>
      <c r="G156" s="18">
        <f t="shared" si="10"/>
        <v>98</v>
      </c>
      <c r="H156" s="39" t="s">
        <v>21</v>
      </c>
      <c r="I156" s="19"/>
      <c r="J156" s="1" t="s">
        <v>22</v>
      </c>
      <c r="L156" s="20"/>
      <c r="P156" s="20"/>
      <c r="Q156" s="20"/>
    </row>
    <row r="157" spans="1:17" ht="15" customHeight="1">
      <c r="A157" s="42"/>
      <c r="B157" s="44"/>
      <c r="C157" s="46"/>
      <c r="D157" s="48"/>
      <c r="E157" s="21">
        <v>4577</v>
      </c>
      <c r="F157" s="21">
        <v>4675</v>
      </c>
      <c r="G157" s="22">
        <f t="shared" si="10"/>
        <v>98</v>
      </c>
      <c r="H157" s="40"/>
      <c r="I157" s="23"/>
      <c r="J157" s="1" t="s">
        <v>23</v>
      </c>
      <c r="L157" s="20"/>
      <c r="Q157" s="20"/>
    </row>
    <row r="158" spans="1:17" ht="15" customHeight="1">
      <c r="A158" s="41">
        <v>70</v>
      </c>
      <c r="B158" s="43" t="s">
        <v>49</v>
      </c>
      <c r="C158" s="45" t="str">
        <f>HYPERLINK("https://www.city.osaka.lg.jp/kankyo/cmsfiles/contents/0000025/25420/r60270.xlsx","まちの美化推進事業")</f>
        <v>まちの美化推進事業</v>
      </c>
      <c r="D158" s="47" t="s">
        <v>44</v>
      </c>
      <c r="E158" s="18">
        <v>709898</v>
      </c>
      <c r="F158" s="18">
        <v>899577</v>
      </c>
      <c r="G158" s="18">
        <f t="shared" si="10"/>
        <v>189679</v>
      </c>
      <c r="H158" s="39" t="s">
        <v>30</v>
      </c>
      <c r="I158" s="19">
        <v>326</v>
      </c>
      <c r="J158" s="1" t="s">
        <v>22</v>
      </c>
      <c r="K158" s="1" t="s">
        <v>31</v>
      </c>
      <c r="L158" s="20"/>
      <c r="P158" s="20"/>
      <c r="Q158" s="20"/>
    </row>
    <row r="159" spans="1:17" ht="15" customHeight="1">
      <c r="A159" s="42"/>
      <c r="B159" s="44"/>
      <c r="C159" s="46"/>
      <c r="D159" s="48"/>
      <c r="E159" s="21">
        <v>707225</v>
      </c>
      <c r="F159" s="21">
        <v>895350</v>
      </c>
      <c r="G159" s="22">
        <f t="shared" si="10"/>
        <v>188125</v>
      </c>
      <c r="H159" s="40"/>
      <c r="I159" s="23">
        <v>326</v>
      </c>
      <c r="J159" s="1" t="s">
        <v>23</v>
      </c>
      <c r="K159" s="1" t="s">
        <v>32</v>
      </c>
      <c r="L159" s="20"/>
      <c r="Q159" s="20"/>
    </row>
    <row r="160" spans="1:17" ht="15" customHeight="1">
      <c r="A160" s="41">
        <v>71</v>
      </c>
      <c r="B160" s="43" t="s">
        <v>49</v>
      </c>
      <c r="C160" s="45" t="str">
        <f>HYPERLINK("https://www.city.osaka.lg.jp/kankyo/cmsfiles/contents/0000025/25420/r60271.xlsx","路上喫煙対策事業")</f>
        <v>路上喫煙対策事業</v>
      </c>
      <c r="D160" s="47" t="s">
        <v>45</v>
      </c>
      <c r="E160" s="18">
        <v>1015762</v>
      </c>
      <c r="F160" s="18">
        <f>997762+122998</f>
        <v>1120760</v>
      </c>
      <c r="G160" s="18">
        <f t="shared" si="10"/>
        <v>104998</v>
      </c>
      <c r="H160" s="39" t="s">
        <v>30</v>
      </c>
      <c r="I160" s="19">
        <v>1552</v>
      </c>
      <c r="J160" s="1" t="s">
        <v>22</v>
      </c>
      <c r="K160" s="1" t="s">
        <v>31</v>
      </c>
      <c r="L160" s="20"/>
      <c r="P160" s="20"/>
      <c r="Q160" s="20"/>
    </row>
    <row r="161" spans="1:17" ht="15" customHeight="1">
      <c r="A161" s="42"/>
      <c r="B161" s="44"/>
      <c r="C161" s="46"/>
      <c r="D161" s="48"/>
      <c r="E161" s="21">
        <v>1015762</v>
      </c>
      <c r="F161" s="21">
        <f>997762+122998</f>
        <v>1120760</v>
      </c>
      <c r="G161" s="22">
        <f t="shared" si="10"/>
        <v>104998</v>
      </c>
      <c r="H161" s="40"/>
      <c r="I161" s="23">
        <v>1552</v>
      </c>
      <c r="J161" s="1" t="s">
        <v>23</v>
      </c>
      <c r="K161" s="1" t="s">
        <v>32</v>
      </c>
      <c r="L161" s="20"/>
      <c r="Q161" s="20"/>
    </row>
    <row r="162" spans="1:17" ht="15" customHeight="1">
      <c r="A162" s="41">
        <v>72</v>
      </c>
      <c r="B162" s="43" t="s">
        <v>49</v>
      </c>
      <c r="C162" s="45" t="str">
        <f>HYPERLINK("https://www.city.osaka.lg.jp/kankyo/cmsfiles/contents/0000025/25420/r60272.xlsx","「大阪ブルー・オーシャン・ビジョン」推進事業")</f>
        <v>「大阪ブルー・オーシャン・ビジョン」推進事業</v>
      </c>
      <c r="D162" s="47" t="s">
        <v>51</v>
      </c>
      <c r="E162" s="18">
        <v>3958</v>
      </c>
      <c r="F162" s="18">
        <v>3439</v>
      </c>
      <c r="G162" s="18">
        <f t="shared" si="10"/>
        <v>-519</v>
      </c>
      <c r="H162" s="39" t="s">
        <v>21</v>
      </c>
      <c r="I162" s="19"/>
      <c r="J162" s="1" t="s">
        <v>22</v>
      </c>
      <c r="L162" s="20"/>
      <c r="P162" s="20"/>
      <c r="Q162" s="20"/>
    </row>
    <row r="163" spans="1:17" ht="15" customHeight="1">
      <c r="A163" s="42"/>
      <c r="B163" s="44"/>
      <c r="C163" s="46"/>
      <c r="D163" s="48"/>
      <c r="E163" s="21">
        <v>3958</v>
      </c>
      <c r="F163" s="21">
        <v>3439</v>
      </c>
      <c r="G163" s="22">
        <f t="shared" si="10"/>
        <v>-519</v>
      </c>
      <c r="H163" s="40"/>
      <c r="I163" s="23"/>
      <c r="J163" s="1" t="s">
        <v>23</v>
      </c>
      <c r="L163" s="20"/>
      <c r="Q163" s="20"/>
    </row>
    <row r="164" spans="1:17" ht="15" customHeight="1">
      <c r="A164" s="41">
        <v>73</v>
      </c>
      <c r="B164" s="43" t="s">
        <v>49</v>
      </c>
      <c r="C164" s="45" t="str">
        <f>HYPERLINK("https://www.city.osaka.lg.jp/kankyo/cmsfiles/contents/0000025/25420/r60273.xlsx","一般廃棄物排出実態調査")</f>
        <v>一般廃棄物排出実態調査</v>
      </c>
      <c r="D164" s="47" t="s">
        <v>51</v>
      </c>
      <c r="E164" s="18">
        <v>9443</v>
      </c>
      <c r="F164" s="18">
        <v>10194</v>
      </c>
      <c r="G164" s="18">
        <f t="shared" si="10"/>
        <v>751</v>
      </c>
      <c r="H164" s="39" t="s">
        <v>21</v>
      </c>
      <c r="I164" s="19"/>
      <c r="J164" s="1" t="s">
        <v>22</v>
      </c>
      <c r="L164" s="20"/>
      <c r="P164" s="20"/>
      <c r="Q164" s="20"/>
    </row>
    <row r="165" spans="1:17" ht="15" customHeight="1">
      <c r="A165" s="42"/>
      <c r="B165" s="44"/>
      <c r="C165" s="46"/>
      <c r="D165" s="48"/>
      <c r="E165" s="21">
        <v>9443</v>
      </c>
      <c r="F165" s="21">
        <v>10194</v>
      </c>
      <c r="G165" s="22">
        <f t="shared" si="10"/>
        <v>751</v>
      </c>
      <c r="H165" s="40"/>
      <c r="I165" s="23"/>
      <c r="J165" s="1" t="s">
        <v>23</v>
      </c>
      <c r="L165" s="20"/>
      <c r="Q165" s="20"/>
    </row>
    <row r="166" spans="1:17" ht="15" customHeight="1">
      <c r="A166" s="33" t="s">
        <v>52</v>
      </c>
      <c r="B166" s="34"/>
      <c r="C166" s="34"/>
      <c r="D166" s="35"/>
      <c r="E166" s="18">
        <f>SUM(E136,E138,E140,E142,E144,E146,E148,E150,E152,E154,E156,E158,E160,E162,E164)</f>
        <v>2808456</v>
      </c>
      <c r="F166" s="18">
        <f t="shared" ref="F166:G166" si="11">SUM(F136,F138,F140,F142,F144,F146,F148,F150,F152,F154,F156,F158,F160,F162,F164)</f>
        <v>3212891</v>
      </c>
      <c r="G166" s="24">
        <f t="shared" si="11"/>
        <v>404435</v>
      </c>
      <c r="H166" s="39"/>
      <c r="I166" s="25"/>
      <c r="Q166" s="20"/>
    </row>
    <row r="167" spans="1:17" ht="15" customHeight="1">
      <c r="A167" s="36"/>
      <c r="B167" s="37"/>
      <c r="C167" s="37"/>
      <c r="D167" s="38"/>
      <c r="E167" s="21">
        <f t="shared" ref="E167:G167" si="12">SUM(E137,E139,E141,E143,E145,E147,E149,E151,E153,E155,E157,E159,E161,E163,E165)</f>
        <v>2804468</v>
      </c>
      <c r="F167" s="21">
        <f t="shared" si="12"/>
        <v>3207363</v>
      </c>
      <c r="G167" s="22">
        <f t="shared" si="12"/>
        <v>402895</v>
      </c>
      <c r="H167" s="40"/>
      <c r="I167" s="23"/>
      <c r="Q167" s="20"/>
    </row>
    <row r="168" spans="1:17" ht="15" customHeight="1">
      <c r="A168" s="41">
        <v>74</v>
      </c>
      <c r="B168" s="43" t="s">
        <v>53</v>
      </c>
      <c r="C168" s="45" t="str">
        <f>HYPERLINK("https://www.city.osaka.lg.jp/kankyo/cmsfiles/contents/0000025/25420/r60274.xlsx","環境美化運動推進基金積立金")</f>
        <v>環境美化運動推進基金積立金</v>
      </c>
      <c r="D168" s="47" t="s">
        <v>45</v>
      </c>
      <c r="E168" s="18">
        <v>200</v>
      </c>
      <c r="F168" s="18">
        <v>113</v>
      </c>
      <c r="G168" s="18">
        <f t="shared" si="10"/>
        <v>-87</v>
      </c>
      <c r="H168" s="39" t="s">
        <v>21</v>
      </c>
      <c r="I168" s="19"/>
      <c r="J168" s="1" t="s">
        <v>22</v>
      </c>
      <c r="L168" s="20"/>
      <c r="P168" s="20"/>
      <c r="Q168" s="20"/>
    </row>
    <row r="169" spans="1:17" ht="15" customHeight="1">
      <c r="A169" s="42"/>
      <c r="B169" s="44"/>
      <c r="C169" s="46"/>
      <c r="D169" s="48"/>
      <c r="E169" s="21">
        <v>0</v>
      </c>
      <c r="F169" s="21">
        <v>0</v>
      </c>
      <c r="G169" s="22">
        <f t="shared" si="10"/>
        <v>0</v>
      </c>
      <c r="H169" s="40"/>
      <c r="I169" s="23"/>
      <c r="J169" s="1" t="s">
        <v>23</v>
      </c>
      <c r="L169" s="20"/>
      <c r="Q169" s="20"/>
    </row>
    <row r="170" spans="1:17" ht="15" customHeight="1">
      <c r="A170" s="33" t="s">
        <v>54</v>
      </c>
      <c r="B170" s="34"/>
      <c r="C170" s="34"/>
      <c r="D170" s="35"/>
      <c r="E170" s="18">
        <f>SUM(E168)</f>
        <v>200</v>
      </c>
      <c r="F170" s="18">
        <f t="shared" ref="F170:G170" si="13">SUM(F168)</f>
        <v>113</v>
      </c>
      <c r="G170" s="24">
        <f t="shared" si="13"/>
        <v>-87</v>
      </c>
      <c r="H170" s="39"/>
      <c r="I170" s="25"/>
      <c r="Q170" s="20"/>
    </row>
    <row r="171" spans="1:17" ht="15" customHeight="1">
      <c r="A171" s="36"/>
      <c r="B171" s="37"/>
      <c r="C171" s="37"/>
      <c r="D171" s="38"/>
      <c r="E171" s="21">
        <f t="shared" ref="E171:G171" si="14">SUM(E169)</f>
        <v>0</v>
      </c>
      <c r="F171" s="21">
        <f t="shared" si="14"/>
        <v>0</v>
      </c>
      <c r="G171" s="22">
        <f t="shared" si="14"/>
        <v>0</v>
      </c>
      <c r="H171" s="40"/>
      <c r="I171" s="23"/>
      <c r="Q171" s="20"/>
    </row>
    <row r="172" spans="1:17" ht="15" customHeight="1">
      <c r="A172" s="41">
        <v>75</v>
      </c>
      <c r="B172" s="43" t="s">
        <v>55</v>
      </c>
      <c r="C172" s="45" t="str">
        <f>HYPERLINK("https://www.city.osaka.lg.jp/kankyo/cmsfiles/contents/0000025/25420/r60275.xlsx","斎場の管理運営")</f>
        <v>斎場の管理運営</v>
      </c>
      <c r="D172" s="47" t="s">
        <v>46</v>
      </c>
      <c r="E172" s="18">
        <v>947846</v>
      </c>
      <c r="F172" s="18">
        <v>804375</v>
      </c>
      <c r="G172" s="18">
        <f t="shared" si="10"/>
        <v>-143471</v>
      </c>
      <c r="H172" s="39" t="s">
        <v>21</v>
      </c>
      <c r="I172" s="19"/>
      <c r="J172" s="1" t="s">
        <v>22</v>
      </c>
      <c r="L172" s="20"/>
      <c r="P172" s="20"/>
      <c r="Q172" s="20"/>
    </row>
    <row r="173" spans="1:17" ht="15" customHeight="1">
      <c r="A173" s="42"/>
      <c r="B173" s="44"/>
      <c r="C173" s="46"/>
      <c r="D173" s="48"/>
      <c r="E173" s="21">
        <v>947437</v>
      </c>
      <c r="F173" s="21">
        <v>803939</v>
      </c>
      <c r="G173" s="22">
        <f t="shared" si="10"/>
        <v>-143498</v>
      </c>
      <c r="H173" s="40"/>
      <c r="I173" s="23"/>
      <c r="J173" s="1" t="s">
        <v>23</v>
      </c>
      <c r="L173" s="20"/>
      <c r="Q173" s="20"/>
    </row>
    <row r="174" spans="1:17" ht="15" customHeight="1">
      <c r="A174" s="41">
        <v>76</v>
      </c>
      <c r="B174" s="43" t="s">
        <v>55</v>
      </c>
      <c r="C174" s="45" t="str">
        <f>HYPERLINK("https://www.city.osaka.lg.jp/kankyo/cmsfiles/contents/0000025/25420/r60276.xlsx","霊園の管理運営")</f>
        <v>霊園の管理運営</v>
      </c>
      <c r="D174" s="47" t="s">
        <v>46</v>
      </c>
      <c r="E174" s="18">
        <v>302691</v>
      </c>
      <c r="F174" s="18">
        <v>282549</v>
      </c>
      <c r="G174" s="18">
        <f t="shared" si="10"/>
        <v>-20142</v>
      </c>
      <c r="H174" s="39" t="s">
        <v>30</v>
      </c>
      <c r="I174" s="19">
        <v>583</v>
      </c>
      <c r="J174" s="1" t="s">
        <v>22</v>
      </c>
      <c r="K174" s="1" t="s">
        <v>31</v>
      </c>
      <c r="L174" s="20"/>
      <c r="P174" s="20"/>
      <c r="Q174" s="20"/>
    </row>
    <row r="175" spans="1:17" ht="15" customHeight="1">
      <c r="A175" s="42"/>
      <c r="B175" s="44"/>
      <c r="C175" s="46"/>
      <c r="D175" s="48"/>
      <c r="E175" s="21">
        <v>302691</v>
      </c>
      <c r="F175" s="21">
        <v>282549</v>
      </c>
      <c r="G175" s="22">
        <f t="shared" si="10"/>
        <v>-20142</v>
      </c>
      <c r="H175" s="40"/>
      <c r="I175" s="23">
        <v>583</v>
      </c>
      <c r="J175" s="1" t="s">
        <v>23</v>
      </c>
      <c r="K175" s="1" t="s">
        <v>32</v>
      </c>
      <c r="L175" s="20"/>
      <c r="Q175" s="20"/>
    </row>
    <row r="176" spans="1:17" ht="15" customHeight="1">
      <c r="A176" s="41">
        <v>77</v>
      </c>
      <c r="B176" s="43" t="s">
        <v>55</v>
      </c>
      <c r="C176" s="45" t="str">
        <f>HYPERLINK("https://www.city.osaka.lg.jp/kankyo/cmsfiles/contents/0000025/25420/r60277.xlsx","斎場施設整備")</f>
        <v>斎場施設整備</v>
      </c>
      <c r="D176" s="47" t="s">
        <v>47</v>
      </c>
      <c r="E176" s="18">
        <v>634995</v>
      </c>
      <c r="F176" s="18">
        <v>866667</v>
      </c>
      <c r="G176" s="18">
        <f t="shared" si="10"/>
        <v>231672</v>
      </c>
      <c r="H176" s="39" t="s">
        <v>21</v>
      </c>
      <c r="I176" s="19"/>
      <c r="J176" s="1" t="s">
        <v>22</v>
      </c>
      <c r="L176" s="20"/>
      <c r="P176" s="20"/>
      <c r="Q176" s="20"/>
    </row>
    <row r="177" spans="1:17" ht="15" customHeight="1">
      <c r="A177" s="42"/>
      <c r="B177" s="44"/>
      <c r="C177" s="46"/>
      <c r="D177" s="48"/>
      <c r="E177" s="21">
        <v>634995</v>
      </c>
      <c r="F177" s="21">
        <v>691667</v>
      </c>
      <c r="G177" s="22">
        <f t="shared" si="10"/>
        <v>56672</v>
      </c>
      <c r="H177" s="40"/>
      <c r="I177" s="23"/>
      <c r="J177" s="1" t="s">
        <v>23</v>
      </c>
      <c r="L177" s="20"/>
      <c r="Q177" s="20"/>
    </row>
    <row r="178" spans="1:17" ht="15" customHeight="1">
      <c r="A178" s="41">
        <v>78</v>
      </c>
      <c r="B178" s="43" t="s">
        <v>55</v>
      </c>
      <c r="C178" s="45" t="str">
        <f>HYPERLINK("https://www.city.osaka.lg.jp/kankyo/cmsfiles/contents/0000025/25420/r60278.xlsx","霊園施設整備")</f>
        <v>霊園施設整備</v>
      </c>
      <c r="D178" s="47" t="s">
        <v>47</v>
      </c>
      <c r="E178" s="18">
        <v>74045</v>
      </c>
      <c r="F178" s="18">
        <v>59242</v>
      </c>
      <c r="G178" s="18">
        <f t="shared" si="10"/>
        <v>-14803</v>
      </c>
      <c r="H178" s="39" t="s">
        <v>30</v>
      </c>
      <c r="I178" s="19">
        <v>1684</v>
      </c>
      <c r="J178" s="1" t="s">
        <v>22</v>
      </c>
      <c r="K178" s="1" t="s">
        <v>31</v>
      </c>
      <c r="L178" s="20"/>
      <c r="P178" s="20"/>
      <c r="Q178" s="20"/>
    </row>
    <row r="179" spans="1:17" ht="15" customHeight="1">
      <c r="A179" s="42"/>
      <c r="B179" s="44"/>
      <c r="C179" s="46"/>
      <c r="D179" s="48"/>
      <c r="E179" s="21">
        <v>74045</v>
      </c>
      <c r="F179" s="21">
        <v>59242</v>
      </c>
      <c r="G179" s="22">
        <f t="shared" si="10"/>
        <v>-14803</v>
      </c>
      <c r="H179" s="40"/>
      <c r="I179" s="23">
        <v>1684</v>
      </c>
      <c r="J179" s="1" t="s">
        <v>23</v>
      </c>
      <c r="K179" s="1" t="s">
        <v>32</v>
      </c>
      <c r="L179" s="20"/>
      <c r="Q179" s="20"/>
    </row>
    <row r="180" spans="1:17" ht="15" customHeight="1">
      <c r="A180" s="41">
        <v>79</v>
      </c>
      <c r="B180" s="43" t="s">
        <v>55</v>
      </c>
      <c r="C180" s="45" t="str">
        <f>HYPERLINK("https://www.city.osaka.lg.jp/kankyo/cmsfiles/contents/0000025/25420/r60279.xlsx","泉南メモリアルパーク管理・整備")</f>
        <v>泉南メモリアルパーク管理・整備</v>
      </c>
      <c r="D180" s="47" t="s">
        <v>47</v>
      </c>
      <c r="E180" s="18">
        <v>204152</v>
      </c>
      <c r="F180" s="18">
        <v>160572</v>
      </c>
      <c r="G180" s="18">
        <f t="shared" si="10"/>
        <v>-43580</v>
      </c>
      <c r="H180" s="39"/>
      <c r="I180" s="19"/>
      <c r="J180" s="1" t="s">
        <v>22</v>
      </c>
      <c r="L180" s="20"/>
      <c r="P180" s="20"/>
      <c r="Q180" s="20"/>
    </row>
    <row r="181" spans="1:17" ht="15" customHeight="1">
      <c r="A181" s="42"/>
      <c r="B181" s="44"/>
      <c r="C181" s="46"/>
      <c r="D181" s="48"/>
      <c r="E181" s="21">
        <v>0</v>
      </c>
      <c r="F181" s="21">
        <v>0</v>
      </c>
      <c r="G181" s="22">
        <f t="shared" si="10"/>
        <v>0</v>
      </c>
      <c r="H181" s="40"/>
      <c r="I181" s="23"/>
      <c r="J181" s="1" t="s">
        <v>23</v>
      </c>
      <c r="L181" s="20"/>
      <c r="Q181" s="20"/>
    </row>
    <row r="182" spans="1:17" ht="15" customHeight="1">
      <c r="A182" s="41">
        <v>80</v>
      </c>
      <c r="B182" s="43" t="s">
        <v>55</v>
      </c>
      <c r="C182" s="45" t="str">
        <f>HYPERLINK("https://www.city.osaka.lg.jp/kankyo/cmsfiles/contents/0000025/25420/r60280.xlsx","霊地返還による霊園使用料・霊地手数料の還付金")</f>
        <v>霊地返還による霊園使用料・霊地手数料の還付金</v>
      </c>
      <c r="D182" s="47" t="s">
        <v>47</v>
      </c>
      <c r="E182" s="18">
        <v>67000</v>
      </c>
      <c r="F182" s="18">
        <v>66000</v>
      </c>
      <c r="G182" s="18">
        <f t="shared" si="10"/>
        <v>-1000</v>
      </c>
      <c r="H182" s="39" t="s">
        <v>21</v>
      </c>
      <c r="I182" s="19"/>
      <c r="J182" s="1" t="s">
        <v>22</v>
      </c>
      <c r="L182" s="20"/>
      <c r="P182" s="20"/>
      <c r="Q182" s="20"/>
    </row>
    <row r="183" spans="1:17" ht="15" customHeight="1">
      <c r="A183" s="42"/>
      <c r="B183" s="44"/>
      <c r="C183" s="46"/>
      <c r="D183" s="48"/>
      <c r="E183" s="21">
        <v>67000</v>
      </c>
      <c r="F183" s="21">
        <v>7458</v>
      </c>
      <c r="G183" s="22">
        <f t="shared" si="10"/>
        <v>-59542</v>
      </c>
      <c r="H183" s="40"/>
      <c r="I183" s="23"/>
      <c r="J183" s="1" t="s">
        <v>23</v>
      </c>
      <c r="L183" s="20"/>
      <c r="Q183" s="20"/>
    </row>
    <row r="184" spans="1:17" ht="15" customHeight="1">
      <c r="A184" s="33" t="s">
        <v>56</v>
      </c>
      <c r="B184" s="34"/>
      <c r="C184" s="34"/>
      <c r="D184" s="35"/>
      <c r="E184" s="18">
        <f>SUM(E172,E174,E176,E178,E180,E182)</f>
        <v>2230729</v>
      </c>
      <c r="F184" s="18">
        <f t="shared" ref="F184:G184" si="15">SUM(F172,F174,F176,F178,F180,F182)</f>
        <v>2239405</v>
      </c>
      <c r="G184" s="24">
        <f t="shared" si="15"/>
        <v>8676</v>
      </c>
      <c r="H184" s="39"/>
      <c r="I184" s="25"/>
      <c r="Q184" s="20"/>
    </row>
    <row r="185" spans="1:17" ht="15" customHeight="1">
      <c r="A185" s="36"/>
      <c r="B185" s="37"/>
      <c r="C185" s="37"/>
      <c r="D185" s="38"/>
      <c r="E185" s="21">
        <f t="shared" ref="E185:G185" si="16">SUM(E173,E175,E177,E179,E181,E183)</f>
        <v>2026168</v>
      </c>
      <c r="F185" s="21">
        <f t="shared" si="16"/>
        <v>1844855</v>
      </c>
      <c r="G185" s="22">
        <f t="shared" si="16"/>
        <v>-181313</v>
      </c>
      <c r="H185" s="40"/>
      <c r="I185" s="23"/>
      <c r="Q185" s="20"/>
    </row>
    <row r="186" spans="1:17" ht="15" customHeight="1">
      <c r="A186" s="41">
        <v>81</v>
      </c>
      <c r="B186" s="43" t="s">
        <v>57</v>
      </c>
      <c r="C186" s="45" t="str">
        <f>HYPERLINK("https://www.city.osaka.lg.jp/kankyo/cmsfiles/contents/0000025/25420/r60281.xlsx","泉南メモリアルパーク運営基金積立金")</f>
        <v>泉南メモリアルパーク運営基金積立金</v>
      </c>
      <c r="D186" s="47" t="s">
        <v>47</v>
      </c>
      <c r="E186" s="18">
        <v>198676</v>
      </c>
      <c r="F186" s="18">
        <v>249575</v>
      </c>
      <c r="G186" s="18">
        <f t="shared" si="10"/>
        <v>50899</v>
      </c>
      <c r="H186" s="39" t="s">
        <v>21</v>
      </c>
      <c r="I186" s="19"/>
      <c r="J186" s="1" t="s">
        <v>22</v>
      </c>
      <c r="L186" s="20"/>
      <c r="P186" s="20"/>
      <c r="Q186" s="20"/>
    </row>
    <row r="187" spans="1:17" ht="15" customHeight="1">
      <c r="A187" s="42"/>
      <c r="B187" s="44"/>
      <c r="C187" s="46"/>
      <c r="D187" s="48"/>
      <c r="E187" s="21">
        <v>0</v>
      </c>
      <c r="F187" s="21">
        <v>0</v>
      </c>
      <c r="G187" s="22">
        <f t="shared" si="10"/>
        <v>0</v>
      </c>
      <c r="H187" s="40"/>
      <c r="I187" s="23"/>
      <c r="J187" s="1" t="s">
        <v>23</v>
      </c>
      <c r="L187" s="20"/>
      <c r="Q187" s="20"/>
    </row>
    <row r="188" spans="1:17" ht="15" customHeight="1">
      <c r="A188" s="33" t="s">
        <v>58</v>
      </c>
      <c r="B188" s="34"/>
      <c r="C188" s="34"/>
      <c r="D188" s="35"/>
      <c r="E188" s="18">
        <f>SUM(E186)</f>
        <v>198676</v>
      </c>
      <c r="F188" s="18">
        <f t="shared" ref="F188:G189" si="17">SUM(F186)</f>
        <v>249575</v>
      </c>
      <c r="G188" s="24">
        <f t="shared" si="17"/>
        <v>50899</v>
      </c>
      <c r="H188" s="39"/>
      <c r="I188" s="25"/>
      <c r="Q188" s="20"/>
    </row>
    <row r="189" spans="1:17" ht="15" customHeight="1">
      <c r="A189" s="36"/>
      <c r="B189" s="37"/>
      <c r="C189" s="37"/>
      <c r="D189" s="38"/>
      <c r="E189" s="21">
        <f>SUM(E187)</f>
        <v>0</v>
      </c>
      <c r="F189" s="21">
        <f t="shared" si="17"/>
        <v>0</v>
      </c>
      <c r="G189" s="22">
        <f t="shared" si="17"/>
        <v>0</v>
      </c>
      <c r="H189" s="40"/>
      <c r="I189" s="23"/>
      <c r="Q189" s="20"/>
    </row>
    <row r="190" spans="1:17" ht="15" customHeight="1">
      <c r="A190" s="61" t="s">
        <v>59</v>
      </c>
      <c r="B190" s="62"/>
      <c r="C190" s="62"/>
      <c r="D190" s="63"/>
      <c r="E190" s="18">
        <f>+SUMIF($J$12:$J$189,$J190,E$12:E$189)</f>
        <v>38671524</v>
      </c>
      <c r="F190" s="18">
        <f t="shared" ref="F190:I191" si="18">+SUMIF($J$12:$J$189,$J190,F$12:F$189)</f>
        <v>41506448</v>
      </c>
      <c r="G190" s="28">
        <f t="shared" si="18"/>
        <v>2834924</v>
      </c>
      <c r="H190" s="39" t="str">
        <f>IF(I190="　","　","区ＣＭ")</f>
        <v>区ＣＭ</v>
      </c>
      <c r="I190" s="29">
        <f t="shared" si="18"/>
        <v>204242</v>
      </c>
      <c r="J190" s="1" t="s">
        <v>22</v>
      </c>
      <c r="K190" s="1" t="s">
        <v>31</v>
      </c>
      <c r="P190" s="20"/>
      <c r="Q190" s="20"/>
    </row>
    <row r="191" spans="1:17" ht="15" customHeight="1" thickBot="1">
      <c r="A191" s="64"/>
      <c r="B191" s="65"/>
      <c r="C191" s="65"/>
      <c r="D191" s="66"/>
      <c r="E191" s="30">
        <f>+SUMIF($J$12:$J$189,$J191,E$12:E$189)</f>
        <v>37409349</v>
      </c>
      <c r="F191" s="30">
        <f t="shared" si="18"/>
        <v>39147368</v>
      </c>
      <c r="G191" s="31">
        <f t="shared" si="18"/>
        <v>1738019</v>
      </c>
      <c r="H191" s="67"/>
      <c r="I191" s="32">
        <f t="shared" si="18"/>
        <v>200243</v>
      </c>
      <c r="J191" s="1" t="s">
        <v>23</v>
      </c>
      <c r="K191" s="1" t="s">
        <v>32</v>
      </c>
      <c r="Q191" s="20"/>
    </row>
    <row r="192" spans="1:17" ht="18" customHeight="1">
      <c r="Q192" s="20"/>
    </row>
    <row r="193" spans="17:17" ht="18" customHeight="1">
      <c r="Q193" s="20"/>
    </row>
    <row r="194" spans="17:17" ht="18" customHeight="1">
      <c r="Q194" s="20"/>
    </row>
    <row r="195" spans="17:17" ht="18" customHeight="1">
      <c r="Q195" s="20"/>
    </row>
  </sheetData>
  <autoFilter ref="A1:HM195" xr:uid="{00000000-0001-0000-0000-000000000000}"/>
  <mergeCells count="427">
    <mergeCell ref="A190:D191"/>
    <mergeCell ref="H190:H191"/>
    <mergeCell ref="A186:A187"/>
    <mergeCell ref="B186:B187"/>
    <mergeCell ref="C186:C187"/>
    <mergeCell ref="D186:D187"/>
    <mergeCell ref="H186:H187"/>
    <mergeCell ref="A188:D189"/>
    <mergeCell ref="H188:H189"/>
    <mergeCell ref="A182:A183"/>
    <mergeCell ref="B182:B183"/>
    <mergeCell ref="C182:C183"/>
    <mergeCell ref="D182:D183"/>
    <mergeCell ref="H182:H183"/>
    <mergeCell ref="A184:D185"/>
    <mergeCell ref="H184:H185"/>
    <mergeCell ref="A178:A179"/>
    <mergeCell ref="B178:B179"/>
    <mergeCell ref="C178:C179"/>
    <mergeCell ref="D178:D179"/>
    <mergeCell ref="H178:H179"/>
    <mergeCell ref="A180:A181"/>
    <mergeCell ref="B180:B181"/>
    <mergeCell ref="C180:C181"/>
    <mergeCell ref="D180:D181"/>
    <mergeCell ref="H180:H181"/>
    <mergeCell ref="A174:A175"/>
    <mergeCell ref="B174:B175"/>
    <mergeCell ref="C174:C175"/>
    <mergeCell ref="D174:D175"/>
    <mergeCell ref="H174:H175"/>
    <mergeCell ref="A176:A177"/>
    <mergeCell ref="B176:B177"/>
    <mergeCell ref="C176:C177"/>
    <mergeCell ref="D176:D177"/>
    <mergeCell ref="H176:H177"/>
    <mergeCell ref="A170:D171"/>
    <mergeCell ref="H170:H171"/>
    <mergeCell ref="A172:A173"/>
    <mergeCell ref="B172:B173"/>
    <mergeCell ref="C172:C173"/>
    <mergeCell ref="D172:D173"/>
    <mergeCell ref="H172:H173"/>
    <mergeCell ref="A166:D167"/>
    <mergeCell ref="H166:H167"/>
    <mergeCell ref="A168:A169"/>
    <mergeCell ref="B168:B169"/>
    <mergeCell ref="C168:C169"/>
    <mergeCell ref="D168:D169"/>
    <mergeCell ref="H168:H169"/>
    <mergeCell ref="A162:A163"/>
    <mergeCell ref="B162:B163"/>
    <mergeCell ref="C162:C163"/>
    <mergeCell ref="D162:D163"/>
    <mergeCell ref="H162:H163"/>
    <mergeCell ref="A164:A165"/>
    <mergeCell ref="B164:B165"/>
    <mergeCell ref="C164:C165"/>
    <mergeCell ref="D164:D165"/>
    <mergeCell ref="H164:H165"/>
    <mergeCell ref="A158:A159"/>
    <mergeCell ref="B158:B159"/>
    <mergeCell ref="C158:C159"/>
    <mergeCell ref="D158:D159"/>
    <mergeCell ref="H158:H159"/>
    <mergeCell ref="A160:A161"/>
    <mergeCell ref="B160:B161"/>
    <mergeCell ref="C160:C161"/>
    <mergeCell ref="D160:D161"/>
    <mergeCell ref="H160:H161"/>
    <mergeCell ref="A154:A155"/>
    <mergeCell ref="B154:B155"/>
    <mergeCell ref="C154:C155"/>
    <mergeCell ref="D154:D155"/>
    <mergeCell ref="H154:H155"/>
    <mergeCell ref="A156:A157"/>
    <mergeCell ref="B156:B157"/>
    <mergeCell ref="C156:C157"/>
    <mergeCell ref="D156:D157"/>
    <mergeCell ref="H156:H157"/>
    <mergeCell ref="A150:A151"/>
    <mergeCell ref="B150:B151"/>
    <mergeCell ref="C150:C151"/>
    <mergeCell ref="D150:D151"/>
    <mergeCell ref="H150:H151"/>
    <mergeCell ref="A152:A153"/>
    <mergeCell ref="B152:B153"/>
    <mergeCell ref="C152:C153"/>
    <mergeCell ref="D152:D153"/>
    <mergeCell ref="H152:H153"/>
    <mergeCell ref="A146:A147"/>
    <mergeCell ref="B146:B147"/>
    <mergeCell ref="C146:C147"/>
    <mergeCell ref="D146:D147"/>
    <mergeCell ref="H146:H147"/>
    <mergeCell ref="A148:A149"/>
    <mergeCell ref="B148:B149"/>
    <mergeCell ref="C148:C149"/>
    <mergeCell ref="D148:D149"/>
    <mergeCell ref="H148:H149"/>
    <mergeCell ref="A142:A143"/>
    <mergeCell ref="B142:B143"/>
    <mergeCell ref="C142:C143"/>
    <mergeCell ref="D142:D143"/>
    <mergeCell ref="H142:H143"/>
    <mergeCell ref="A144:A145"/>
    <mergeCell ref="B144:B145"/>
    <mergeCell ref="C144:C145"/>
    <mergeCell ref="D144:D145"/>
    <mergeCell ref="H144:H145"/>
    <mergeCell ref="A138:A139"/>
    <mergeCell ref="B138:B139"/>
    <mergeCell ref="C138:C139"/>
    <mergeCell ref="D138:D139"/>
    <mergeCell ref="H138:H139"/>
    <mergeCell ref="A140:A141"/>
    <mergeCell ref="B140:B141"/>
    <mergeCell ref="C140:C141"/>
    <mergeCell ref="D140:D141"/>
    <mergeCell ref="H140:H141"/>
    <mergeCell ref="A134:D135"/>
    <mergeCell ref="H134:H135"/>
    <mergeCell ref="A136:A137"/>
    <mergeCell ref="B136:B137"/>
    <mergeCell ref="C136:C137"/>
    <mergeCell ref="D136:D137"/>
    <mergeCell ref="H136:H137"/>
    <mergeCell ref="A130:A131"/>
    <mergeCell ref="B130:B131"/>
    <mergeCell ref="C130:C131"/>
    <mergeCell ref="D130:D131"/>
    <mergeCell ref="H130:H131"/>
    <mergeCell ref="A132:A133"/>
    <mergeCell ref="B132:B133"/>
    <mergeCell ref="C132:C133"/>
    <mergeCell ref="D132:D133"/>
    <mergeCell ref="H132:H133"/>
    <mergeCell ref="A126:A127"/>
    <mergeCell ref="B126:B127"/>
    <mergeCell ref="C126:C127"/>
    <mergeCell ref="D126:D127"/>
    <mergeCell ref="H126:H127"/>
    <mergeCell ref="A128:A129"/>
    <mergeCell ref="B128:B129"/>
    <mergeCell ref="C128:C129"/>
    <mergeCell ref="D128:D129"/>
    <mergeCell ref="H128:H129"/>
    <mergeCell ref="A122:A123"/>
    <mergeCell ref="B122:B123"/>
    <mergeCell ref="C122:C123"/>
    <mergeCell ref="D122:D123"/>
    <mergeCell ref="H122:H123"/>
    <mergeCell ref="A124:A125"/>
    <mergeCell ref="B124:B125"/>
    <mergeCell ref="C124:C125"/>
    <mergeCell ref="D124:D125"/>
    <mergeCell ref="H124:H125"/>
    <mergeCell ref="A118:A119"/>
    <mergeCell ref="B118:B119"/>
    <mergeCell ref="C118:C119"/>
    <mergeCell ref="D118:D119"/>
    <mergeCell ref="H118:H119"/>
    <mergeCell ref="A120:A121"/>
    <mergeCell ref="B120:B121"/>
    <mergeCell ref="C120:C121"/>
    <mergeCell ref="D120:D121"/>
    <mergeCell ref="H120:H121"/>
    <mergeCell ref="A114:A115"/>
    <mergeCell ref="B114:B115"/>
    <mergeCell ref="C114:C115"/>
    <mergeCell ref="D114:D115"/>
    <mergeCell ref="H114:H115"/>
    <mergeCell ref="A116:A117"/>
    <mergeCell ref="B116:B117"/>
    <mergeCell ref="C116:C117"/>
    <mergeCell ref="D116:D117"/>
    <mergeCell ref="H116:H117"/>
    <mergeCell ref="A110:A111"/>
    <mergeCell ref="B110:B111"/>
    <mergeCell ref="C110:C111"/>
    <mergeCell ref="D110:D111"/>
    <mergeCell ref="H110:H111"/>
    <mergeCell ref="A112:A113"/>
    <mergeCell ref="B112:B113"/>
    <mergeCell ref="C112:C113"/>
    <mergeCell ref="D112:D113"/>
    <mergeCell ref="H112:H113"/>
    <mergeCell ref="A106:A107"/>
    <mergeCell ref="B106:B107"/>
    <mergeCell ref="C106:C107"/>
    <mergeCell ref="D106:D107"/>
    <mergeCell ref="H106:H107"/>
    <mergeCell ref="A108:A109"/>
    <mergeCell ref="B108:B109"/>
    <mergeCell ref="C108:C109"/>
    <mergeCell ref="D108:D109"/>
    <mergeCell ref="H108:H109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98:A99"/>
    <mergeCell ref="B98:B99"/>
    <mergeCell ref="C98:C99"/>
    <mergeCell ref="D98:D99"/>
    <mergeCell ref="H98:H99"/>
    <mergeCell ref="A100:A101"/>
    <mergeCell ref="B100:B101"/>
    <mergeCell ref="C100:C101"/>
    <mergeCell ref="D100:D101"/>
    <mergeCell ref="H100:H101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H92:H93"/>
    <mergeCell ref="A86:A87"/>
    <mergeCell ref="B86:B87"/>
    <mergeCell ref="C86:C87"/>
    <mergeCell ref="D86:D87"/>
    <mergeCell ref="H86:H87"/>
    <mergeCell ref="A88:A89"/>
    <mergeCell ref="B88:B89"/>
    <mergeCell ref="C88:C89"/>
    <mergeCell ref="D88:D89"/>
    <mergeCell ref="H88:H89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74:A75"/>
    <mergeCell ref="B74:B75"/>
    <mergeCell ref="C74:C75"/>
    <mergeCell ref="D74:D75"/>
    <mergeCell ref="H74:H75"/>
    <mergeCell ref="A76:D77"/>
    <mergeCell ref="H76:H77"/>
    <mergeCell ref="A70:A71"/>
    <mergeCell ref="B70:B71"/>
    <mergeCell ref="C70:C71"/>
    <mergeCell ref="D70:D71"/>
    <mergeCell ref="H70:H71"/>
    <mergeCell ref="A72:D73"/>
    <mergeCell ref="H72:H73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3"/>
  <dataValidations disablePrompts="1" count="2">
    <dataValidation type="list" allowBlank="1" showInputMessage="1" showErrorMessage="1" sqref="F11" xr:uid="{DF783348-1DD8-4BA2-99AE-802D8D241CE2}">
      <formula1>"調 整 ③,予 算 案 ②,予 算 ②"</formula1>
    </dataValidation>
    <dataValidation type="list" allowBlank="1" showInputMessage="1" showErrorMessage="1" sqref="H12:H13 H16:H71 H74:H75 H78:H133 H136:H165 H168:H169 H172:H183 H186:H187" xr:uid="{B11786AE-3D40-44E1-8CD3-8EF692CAC950}">
      <formula1>"　　,区ＣＭ"</formula1>
    </dataValidation>
  </dataValidation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"/>
  <rowBreaks count="3" manualBreakCount="3">
    <brk id="67" max="8" man="1"/>
    <brk id="125" max="8" man="1"/>
    <brk id="1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2024-02-14T00:43:39Z</cp:lastPrinted>
  <dcterms:created xsi:type="dcterms:W3CDTF">2024-02-09T05:45:04Z</dcterms:created>
  <dcterms:modified xsi:type="dcterms:W3CDTF">2024-02-15T06:06:14Z</dcterms:modified>
</cp:coreProperties>
</file>